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PMO\Metrics\Monthly Reports\FY 1516\"/>
    </mc:Choice>
  </mc:AlternateContent>
  <bookViews>
    <workbookView xWindow="120" yWindow="45" windowWidth="18975" windowHeight="11445"/>
  </bookViews>
  <sheets>
    <sheet name="Summary Data" sheetId="1" r:id="rId1"/>
    <sheet name="Definitions" sheetId="12" r:id="rId2"/>
    <sheet name="Notes" sheetId="16" r:id="rId3"/>
    <sheet name="1st Call Resolution" sheetId="19" r:id="rId4"/>
    <sheet name="Call Volume " sheetId="4"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1">Definitions!$A$1:$D$53</definedName>
    <definedName name="_xlnm.Print_Area" localSheetId="13">'FY Comp'!$A$2:$Q$62</definedName>
    <definedName name="_xlnm.Print_Area" localSheetId="2">Notes!$A$1:$C$27</definedName>
    <definedName name="_xlnm.Print_Area" localSheetId="12">'PR Processing Table'!$A$1:$R$35</definedName>
    <definedName name="_xlnm.Print_Area" localSheetId="0">'Summary Data'!$A$10:$FK$70</definedName>
    <definedName name="_xlnm.Print_Titles" localSheetId="0">'Summary Data'!$A:$G,'Summary Data'!$10:$10</definedName>
    <definedName name="x">'Summary Data'!#REF!</definedName>
  </definedNames>
  <calcPr calcId="162913"/>
</workbook>
</file>

<file path=xl/calcChain.xml><?xml version="1.0" encoding="utf-8"?>
<calcChain xmlns="http://schemas.openxmlformats.org/spreadsheetml/2006/main">
  <c r="HU56" i="1" l="1"/>
  <c r="CJ38" i="1" l="1"/>
  <c r="CJ37" i="1"/>
  <c r="CJ18" i="1" l="1"/>
  <c r="CJ52" i="1" l="1"/>
  <c r="FI52" i="1" s="1"/>
  <c r="CJ50" i="1"/>
  <c r="FI50" i="1" s="1"/>
  <c r="CJ49" i="1"/>
  <c r="FI49" i="1" s="1"/>
  <c r="CJ39" i="1"/>
  <c r="CJ46" i="1" s="1"/>
  <c r="FI46" i="1" s="1"/>
  <c r="CJ34" i="1"/>
  <c r="FI34" i="1" s="1"/>
  <c r="CJ22" i="1"/>
  <c r="FI22" i="1" s="1"/>
  <c r="CJ19" i="1"/>
  <c r="FI19" i="1" s="1"/>
  <c r="FI18" i="1"/>
  <c r="FI13" i="1"/>
  <c r="FI70" i="1"/>
  <c r="FI69" i="1"/>
  <c r="FI68" i="1"/>
  <c r="FI67" i="1"/>
  <c r="FI66" i="1"/>
  <c r="FI64" i="1"/>
  <c r="FI63" i="1"/>
  <c r="FI62" i="1"/>
  <c r="FI61" i="1"/>
  <c r="FI60" i="1"/>
  <c r="FI59" i="1"/>
  <c r="FI58" i="1"/>
  <c r="FI57" i="1"/>
  <c r="FI56" i="1"/>
  <c r="FI55" i="1"/>
  <c r="FI54" i="1"/>
  <c r="FI53" i="1"/>
  <c r="FI48" i="1"/>
  <c r="FI45" i="1"/>
  <c r="FI42" i="1"/>
  <c r="FI38" i="1"/>
  <c r="FI37" i="1"/>
  <c r="FI32" i="1"/>
  <c r="FI30" i="1"/>
  <c r="FI29" i="1"/>
  <c r="FI28" i="1"/>
  <c r="FI27" i="1"/>
  <c r="FI26" i="1"/>
  <c r="FI25" i="1"/>
  <c r="FI24" i="1"/>
  <c r="FI23" i="1"/>
  <c r="FI17" i="1"/>
  <c r="FI16" i="1"/>
  <c r="FI15" i="1"/>
  <c r="FI10" i="1"/>
  <c r="FI7" i="1"/>
  <c r="FI6" i="1"/>
  <c r="FI5" i="1"/>
  <c r="FH70" i="1"/>
  <c r="FH69" i="1"/>
  <c r="FH68" i="1"/>
  <c r="FH67" i="1"/>
  <c r="FH66" i="1"/>
  <c r="FH64" i="1"/>
  <c r="FH63" i="1"/>
  <c r="FH62" i="1"/>
  <c r="FH61" i="1"/>
  <c r="FH60" i="1"/>
  <c r="FH59" i="1"/>
  <c r="FH58" i="1"/>
  <c r="FH57" i="1"/>
  <c r="FH56" i="1"/>
  <c r="FH55" i="1"/>
  <c r="FH54" i="1"/>
  <c r="FH53" i="1"/>
  <c r="FH52" i="1"/>
  <c r="FH50" i="1"/>
  <c r="FH49" i="1"/>
  <c r="FH48" i="1"/>
  <c r="FH46" i="1"/>
  <c r="FH45" i="1"/>
  <c r="FH43" i="1"/>
  <c r="FH42" i="1"/>
  <c r="FH39" i="1"/>
  <c r="FH38" i="1"/>
  <c r="FH37" i="1"/>
  <c r="FH35" i="1"/>
  <c r="FH34" i="1"/>
  <c r="FH32" i="1"/>
  <c r="FH30" i="1"/>
  <c r="FH29" i="1"/>
  <c r="FH28" i="1"/>
  <c r="FH27" i="1"/>
  <c r="FH26" i="1"/>
  <c r="FH25" i="1"/>
  <c r="FH24" i="1"/>
  <c r="FH23" i="1"/>
  <c r="FH22" i="1"/>
  <c r="FH20" i="1"/>
  <c r="FH17" i="1"/>
  <c r="FH16" i="1"/>
  <c r="FH15" i="1"/>
  <c r="FH13" i="1"/>
  <c r="FH11" i="1"/>
  <c r="FH10" i="1"/>
  <c r="FH7" i="1"/>
  <c r="FH6" i="1"/>
  <c r="FH5" i="1"/>
  <c r="FH4" i="1"/>
  <c r="CJ40" i="1" l="1"/>
  <c r="FI40" i="1" s="1"/>
  <c r="FI39" i="1"/>
  <c r="CI5" i="1"/>
  <c r="CI38" i="1"/>
  <c r="CI37" i="1"/>
  <c r="CI34" i="1" l="1"/>
  <c r="CI52" i="1"/>
  <c r="CI50" i="1"/>
  <c r="CI39" i="1"/>
  <c r="CI46" i="1" s="1"/>
  <c r="CI22" i="1"/>
  <c r="CI49" i="1" s="1"/>
  <c r="CI19" i="1"/>
  <c r="CI18" i="1"/>
  <c r="CI40" i="1" l="1"/>
  <c r="CH38" i="1"/>
  <c r="CH37" i="1"/>
  <c r="CH5" i="1"/>
  <c r="CH52" i="1" l="1"/>
  <c r="CH50" i="1"/>
  <c r="CH39" i="1"/>
  <c r="CH46" i="1" s="1"/>
  <c r="CH34" i="1"/>
  <c r="CH22" i="1"/>
  <c r="CH49" i="1" s="1"/>
  <c r="CH19" i="1"/>
  <c r="CH18" i="1"/>
  <c r="CH40" i="1" l="1"/>
  <c r="CG37" i="1"/>
  <c r="CG38" i="1"/>
  <c r="CG5" i="1"/>
  <c r="CF5" i="1" l="1"/>
  <c r="CG52" i="1" l="1"/>
  <c r="CG50" i="1" l="1"/>
  <c r="CG39" i="1"/>
  <c r="CG34" i="1"/>
  <c r="CG22" i="1"/>
  <c r="CG49" i="1" s="1"/>
  <c r="CG19" i="1"/>
  <c r="CG18" i="1"/>
  <c r="CG40" i="1" l="1"/>
  <c r="CG46" i="1"/>
  <c r="CF38" i="1"/>
  <c r="CF37" i="1"/>
  <c r="HQ56" i="1" l="1"/>
  <c r="CF52" i="1" l="1"/>
  <c r="CF50" i="1"/>
  <c r="CF39" i="1"/>
  <c r="CF46" i="1" s="1"/>
  <c r="CF34" i="1"/>
  <c r="CF22" i="1"/>
  <c r="CF49" i="1" s="1"/>
  <c r="CF19" i="1"/>
  <c r="CF18" i="1"/>
  <c r="CF40" i="1" l="1"/>
  <c r="HP56" i="1"/>
  <c r="CE38" i="1" l="1"/>
  <c r="CE37" i="1"/>
  <c r="CE5" i="1"/>
  <c r="CE52" i="1" l="1"/>
  <c r="CE50" i="1"/>
  <c r="CE39" i="1"/>
  <c r="CE34" i="1"/>
  <c r="CE22" i="1"/>
  <c r="CE49" i="1" s="1"/>
  <c r="CE19" i="1"/>
  <c r="CE18" i="1"/>
  <c r="CE40" i="1" l="1"/>
  <c r="CE46" i="1"/>
  <c r="CD5" i="1"/>
  <c r="CD38" i="1"/>
  <c r="CD37" i="1"/>
  <c r="HO56" i="1" l="1"/>
  <c r="CD19" i="1" l="1"/>
  <c r="CD52" i="1"/>
  <c r="CD50" i="1"/>
  <c r="CD34" i="1"/>
  <c r="CD22" i="1"/>
  <c r="CD49" i="1" s="1"/>
  <c r="CD18" i="1"/>
  <c r="CD39" i="1" l="1"/>
  <c r="CC37" i="1"/>
  <c r="CC38" i="1"/>
  <c r="CD40" i="1" l="1"/>
  <c r="CD46" i="1"/>
  <c r="CC5" i="1"/>
  <c r="HN56" i="1" l="1"/>
  <c r="CC52" i="1" l="1"/>
  <c r="CC50" i="1"/>
  <c r="CC39" i="1"/>
  <c r="CC34" i="1"/>
  <c r="CC22" i="1"/>
  <c r="CC49" i="1" s="1"/>
  <c r="CC19" i="1"/>
  <c r="CC18" i="1"/>
  <c r="CC46" i="1" l="1"/>
  <c r="CC40" i="1"/>
  <c r="HM56" i="1"/>
  <c r="CB5" i="1" l="1"/>
  <c r="CB38" i="1"/>
  <c r="CB37" i="1"/>
  <c r="CB52" i="1" l="1"/>
  <c r="CB50" i="1"/>
  <c r="CB39" i="1"/>
  <c r="CB34" i="1"/>
  <c r="CB22" i="1"/>
  <c r="CB49" i="1" s="1"/>
  <c r="CB19" i="1"/>
  <c r="CB18" i="1"/>
  <c r="CB40" i="1" l="1"/>
  <c r="CB46" i="1"/>
  <c r="CA5" i="1"/>
  <c r="CA38" i="1"/>
  <c r="CA37" i="1"/>
  <c r="CA62" i="1" l="1"/>
  <c r="HL56" i="1"/>
  <c r="CA52" i="1" l="1"/>
  <c r="CA19" i="1" l="1"/>
  <c r="CA50" i="1"/>
  <c r="CA34" i="1"/>
  <c r="CA22" i="1"/>
  <c r="CA49" i="1" s="1"/>
  <c r="CA18" i="1"/>
  <c r="CA39" i="1" l="1"/>
  <c r="CA40" i="1" l="1"/>
  <c r="CA46" i="1"/>
  <c r="BZ63" i="1"/>
  <c r="HK56" i="1" l="1"/>
  <c r="BZ38" i="1" l="1"/>
  <c r="BZ37" i="1"/>
  <c r="BZ5" i="1" l="1"/>
  <c r="BZ11" i="1" l="1"/>
  <c r="BZ52" i="1"/>
  <c r="BZ50" i="1"/>
  <c r="BZ39" i="1"/>
  <c r="BZ46" i="1" s="1"/>
  <c r="BZ34" i="1"/>
  <c r="BZ22" i="1"/>
  <c r="BZ19" i="1"/>
  <c r="BZ18" i="1"/>
  <c r="BZ49" i="1" l="1"/>
  <c r="FO56" i="1"/>
  <c r="BW38" i="1" l="1"/>
  <c r="BW37" i="1"/>
  <c r="BW5" i="1"/>
  <c r="A53" i="22" l="1"/>
  <c r="D53" i="22"/>
  <c r="E53" i="22"/>
  <c r="G53" i="22"/>
  <c r="H53" i="22" s="1"/>
  <c r="J53" i="22"/>
  <c r="K53" i="22" s="1"/>
  <c r="A54" i="22"/>
  <c r="D54" i="22"/>
  <c r="E54" i="22" s="1"/>
  <c r="G54" i="22"/>
  <c r="H54" i="22" s="1"/>
  <c r="J54" i="22"/>
  <c r="K54" i="22" s="1"/>
  <c r="CL6" i="1"/>
  <c r="S68" i="22"/>
  <c r="S67" i="22"/>
  <c r="S66" i="22"/>
  <c r="S65" i="22"/>
  <c r="S64" i="22"/>
  <c r="S63" i="22"/>
  <c r="S49" i="22"/>
  <c r="S42" i="22"/>
  <c r="S41" i="22"/>
  <c r="S40" i="22"/>
  <c r="S39" i="22"/>
  <c r="S34" i="22"/>
  <c r="S33" i="22"/>
  <c r="S32" i="22"/>
  <c r="S31" i="22"/>
  <c r="S30" i="22"/>
  <c r="S29" i="22"/>
  <c r="S28" i="22"/>
  <c r="S20" i="22"/>
  <c r="S19" i="22"/>
  <c r="S18" i="22"/>
  <c r="S16" i="22"/>
  <c r="S15" i="22"/>
  <c r="S14" i="22"/>
  <c r="S13" i="22"/>
  <c r="S11" i="22"/>
  <c r="S9" i="22"/>
  <c r="S8" i="22"/>
  <c r="BW52" i="1" l="1"/>
  <c r="BW50" i="1"/>
  <c r="BW39" i="1"/>
  <c r="BW34" i="1"/>
  <c r="BW22" i="1"/>
  <c r="BW49" i="1" s="1"/>
  <c r="BW19" i="1"/>
  <c r="BW18" i="1"/>
  <c r="BW46" i="1" l="1"/>
  <c r="BW40" i="1"/>
  <c r="BV5" i="1"/>
  <c r="BV38" i="1"/>
  <c r="BV37" i="1"/>
  <c r="HI56" i="1" l="1"/>
  <c r="BV52" i="1" l="1"/>
  <c r="BV50" i="1"/>
  <c r="BV39" i="1"/>
  <c r="BV34" i="1"/>
  <c r="BV22" i="1"/>
  <c r="BV19" i="1"/>
  <c r="FH19" i="1" s="1"/>
  <c r="BV18" i="1"/>
  <c r="FH18" i="1" s="1"/>
  <c r="BV49" i="1" l="1"/>
  <c r="BV46" i="1"/>
  <c r="BV40" i="1"/>
  <c r="FH40" i="1" s="1"/>
  <c r="BT38" i="1" l="1"/>
  <c r="BU5" i="1"/>
  <c r="BT37" i="1"/>
  <c r="BU38" i="1"/>
  <c r="BU37" i="1"/>
  <c r="D3" i="23" l="1"/>
  <c r="E3" i="23"/>
  <c r="F3" i="23"/>
  <c r="G3" i="23"/>
  <c r="H3" i="23"/>
  <c r="I3" i="23"/>
  <c r="J3" i="23"/>
  <c r="K3" i="23"/>
  <c r="L3" i="23"/>
  <c r="M3" i="23"/>
  <c r="N3" i="23"/>
  <c r="HV70" i="1" l="1"/>
  <c r="HU70" i="1"/>
  <c r="HT70" i="1"/>
  <c r="HS70" i="1"/>
  <c r="HR70" i="1"/>
  <c r="HQ70" i="1"/>
  <c r="HP70" i="1"/>
  <c r="HO70" i="1"/>
  <c r="HN70" i="1"/>
  <c r="HM70" i="1"/>
  <c r="HL70" i="1"/>
  <c r="HV69" i="1"/>
  <c r="HU69" i="1"/>
  <c r="HT69" i="1"/>
  <c r="HS69" i="1"/>
  <c r="HR69" i="1"/>
  <c r="HQ69" i="1"/>
  <c r="HP69" i="1"/>
  <c r="HO69" i="1"/>
  <c r="HN69" i="1"/>
  <c r="HM69" i="1"/>
  <c r="HL69" i="1"/>
  <c r="HV68" i="1"/>
  <c r="HU68" i="1"/>
  <c r="HT68" i="1"/>
  <c r="HS68" i="1"/>
  <c r="HR68" i="1"/>
  <c r="HQ68" i="1"/>
  <c r="HP68" i="1"/>
  <c r="HO68" i="1"/>
  <c r="HN68" i="1"/>
  <c r="HM68" i="1"/>
  <c r="HL68" i="1"/>
  <c r="HV67" i="1"/>
  <c r="HU67" i="1"/>
  <c r="HT67" i="1"/>
  <c r="HS67" i="1"/>
  <c r="HR67" i="1"/>
  <c r="HQ67" i="1"/>
  <c r="HP67" i="1"/>
  <c r="HO67" i="1"/>
  <c r="HN67" i="1"/>
  <c r="HM67" i="1"/>
  <c r="HL67" i="1"/>
  <c r="HV66" i="1"/>
  <c r="HU66" i="1"/>
  <c r="HT66" i="1"/>
  <c r="HS66" i="1"/>
  <c r="HR66" i="1"/>
  <c r="HQ66" i="1"/>
  <c r="HP66" i="1"/>
  <c r="HO66" i="1"/>
  <c r="HN66" i="1"/>
  <c r="HM66" i="1"/>
  <c r="HL66" i="1"/>
  <c r="HV64" i="1"/>
  <c r="HU64" i="1"/>
  <c r="HT64" i="1"/>
  <c r="HS64" i="1"/>
  <c r="HR64" i="1"/>
  <c r="HQ64" i="1"/>
  <c r="HP64" i="1"/>
  <c r="HO64" i="1"/>
  <c r="HN64" i="1"/>
  <c r="HM64" i="1"/>
  <c r="HL64" i="1"/>
  <c r="HV63" i="1"/>
  <c r="HU63" i="1"/>
  <c r="HT63" i="1"/>
  <c r="HS63" i="1"/>
  <c r="HR63" i="1"/>
  <c r="HQ63" i="1"/>
  <c r="HP63" i="1"/>
  <c r="HO63" i="1"/>
  <c r="HN63" i="1"/>
  <c r="HM63" i="1"/>
  <c r="HL63" i="1"/>
  <c r="HV62" i="1"/>
  <c r="HU62" i="1"/>
  <c r="HT62" i="1"/>
  <c r="HS62" i="1"/>
  <c r="HR62" i="1"/>
  <c r="HQ62" i="1"/>
  <c r="HP62" i="1"/>
  <c r="HO62" i="1"/>
  <c r="HN62" i="1"/>
  <c r="HM62" i="1"/>
  <c r="HL62" i="1"/>
  <c r="HV61" i="1"/>
  <c r="HU61" i="1"/>
  <c r="HT61" i="1"/>
  <c r="HS61" i="1"/>
  <c r="HR61" i="1"/>
  <c r="HQ61" i="1"/>
  <c r="HP61" i="1"/>
  <c r="HO61" i="1"/>
  <c r="HN61" i="1"/>
  <c r="HM61" i="1"/>
  <c r="HL61" i="1"/>
  <c r="HV60" i="1"/>
  <c r="HU60" i="1"/>
  <c r="HT60" i="1"/>
  <c r="HS60" i="1"/>
  <c r="HR60" i="1"/>
  <c r="HQ60" i="1"/>
  <c r="HP60" i="1"/>
  <c r="HO60" i="1"/>
  <c r="HN60" i="1"/>
  <c r="HM60" i="1"/>
  <c r="HL60" i="1"/>
  <c r="HV59" i="1"/>
  <c r="HU59" i="1"/>
  <c r="HT59" i="1"/>
  <c r="HS59" i="1"/>
  <c r="HR59" i="1"/>
  <c r="HQ59" i="1"/>
  <c r="HP59" i="1"/>
  <c r="HO59" i="1"/>
  <c r="HN59" i="1"/>
  <c r="HM59" i="1"/>
  <c r="HL59" i="1"/>
  <c r="HV58" i="1"/>
  <c r="HU58" i="1"/>
  <c r="HT58" i="1"/>
  <c r="HS58" i="1"/>
  <c r="HR58" i="1"/>
  <c r="HQ58" i="1"/>
  <c r="HP58" i="1"/>
  <c r="HO58" i="1"/>
  <c r="HN58" i="1"/>
  <c r="HM58" i="1"/>
  <c r="HL58" i="1"/>
  <c r="HV57" i="1"/>
  <c r="HU57" i="1"/>
  <c r="HT57" i="1"/>
  <c r="HS57" i="1"/>
  <c r="HR57" i="1"/>
  <c r="HQ57" i="1"/>
  <c r="HP57" i="1"/>
  <c r="HO57" i="1"/>
  <c r="HN57" i="1"/>
  <c r="HM57" i="1"/>
  <c r="HL57" i="1"/>
  <c r="HV55" i="1"/>
  <c r="HU55" i="1"/>
  <c r="HT55" i="1"/>
  <c r="HS55" i="1"/>
  <c r="HR55" i="1"/>
  <c r="HQ55" i="1"/>
  <c r="HP55" i="1"/>
  <c r="HO55" i="1"/>
  <c r="HN55" i="1"/>
  <c r="HM55" i="1"/>
  <c r="HL55" i="1"/>
  <c r="HV54" i="1"/>
  <c r="HU54" i="1"/>
  <c r="HT54" i="1"/>
  <c r="HS54" i="1"/>
  <c r="HR54" i="1"/>
  <c r="HQ54" i="1"/>
  <c r="HP54" i="1"/>
  <c r="HO54" i="1"/>
  <c r="HN54" i="1"/>
  <c r="HM54" i="1"/>
  <c r="HL54" i="1"/>
  <c r="HV53" i="1"/>
  <c r="HU53" i="1"/>
  <c r="HT53" i="1"/>
  <c r="HS53" i="1"/>
  <c r="HR53" i="1"/>
  <c r="HQ53" i="1"/>
  <c r="HP53" i="1"/>
  <c r="HO53" i="1"/>
  <c r="HN53" i="1"/>
  <c r="HM53" i="1"/>
  <c r="HL53" i="1"/>
  <c r="HV50" i="1"/>
  <c r="HU50" i="1"/>
  <c r="HV49" i="1"/>
  <c r="HU49" i="1"/>
  <c r="HV48" i="1"/>
  <c r="HU48" i="1"/>
  <c r="HT48" i="1"/>
  <c r="HS48" i="1"/>
  <c r="HR48" i="1"/>
  <c r="HQ48" i="1"/>
  <c r="HP48" i="1"/>
  <c r="HO48" i="1"/>
  <c r="HN48" i="1"/>
  <c r="HM48" i="1"/>
  <c r="HL48" i="1"/>
  <c r="HV47" i="1"/>
  <c r="HV46" i="1"/>
  <c r="HU46" i="1"/>
  <c r="HV45" i="1"/>
  <c r="HU45" i="1"/>
  <c r="HT45" i="1"/>
  <c r="HS45" i="1"/>
  <c r="HR45" i="1"/>
  <c r="HQ45" i="1"/>
  <c r="HP45" i="1"/>
  <c r="HO45" i="1"/>
  <c r="HN45" i="1"/>
  <c r="HM45" i="1"/>
  <c r="HL45" i="1"/>
  <c r="HV43" i="1"/>
  <c r="HV42" i="1"/>
  <c r="HU42" i="1"/>
  <c r="HT42" i="1"/>
  <c r="HS42" i="1"/>
  <c r="HR42" i="1"/>
  <c r="HQ42" i="1"/>
  <c r="HP42" i="1"/>
  <c r="HO42" i="1"/>
  <c r="HN42" i="1"/>
  <c r="HM42" i="1"/>
  <c r="HL42" i="1"/>
  <c r="HV40" i="1"/>
  <c r="HU40" i="1"/>
  <c r="HV38" i="1"/>
  <c r="HU38" i="1"/>
  <c r="HT38" i="1"/>
  <c r="HS38" i="1"/>
  <c r="HV37" i="1"/>
  <c r="HU37" i="1"/>
  <c r="HT37" i="1"/>
  <c r="HV35" i="1"/>
  <c r="HV34" i="1"/>
  <c r="HU34" i="1"/>
  <c r="HV33" i="1"/>
  <c r="HU33" i="1"/>
  <c r="HT33" i="1"/>
  <c r="HS33" i="1"/>
  <c r="HR33" i="1"/>
  <c r="HQ33" i="1"/>
  <c r="HP33" i="1"/>
  <c r="HO33" i="1"/>
  <c r="HN33" i="1"/>
  <c r="HM33" i="1"/>
  <c r="HL33" i="1"/>
  <c r="HV32" i="1"/>
  <c r="HU32" i="1"/>
  <c r="HT32" i="1"/>
  <c r="HS32" i="1"/>
  <c r="HR32" i="1"/>
  <c r="HQ32" i="1"/>
  <c r="HP32" i="1"/>
  <c r="HO32" i="1"/>
  <c r="HN32" i="1"/>
  <c r="HM32" i="1"/>
  <c r="HL32" i="1"/>
  <c r="HV30" i="1"/>
  <c r="HU30" i="1"/>
  <c r="HT30" i="1"/>
  <c r="HS30" i="1"/>
  <c r="HR30" i="1"/>
  <c r="HQ30" i="1"/>
  <c r="HP30" i="1"/>
  <c r="HO30" i="1"/>
  <c r="HN30" i="1"/>
  <c r="HM30" i="1"/>
  <c r="HL30" i="1"/>
  <c r="HV29" i="1"/>
  <c r="HU29" i="1"/>
  <c r="HT29" i="1"/>
  <c r="HS29" i="1"/>
  <c r="HR29" i="1"/>
  <c r="HQ29" i="1"/>
  <c r="HP29" i="1"/>
  <c r="HO29" i="1"/>
  <c r="HN29" i="1"/>
  <c r="HM29" i="1"/>
  <c r="HL29" i="1"/>
  <c r="HV28" i="1"/>
  <c r="HU28" i="1"/>
  <c r="HT28" i="1"/>
  <c r="HS28" i="1"/>
  <c r="HR28" i="1"/>
  <c r="HQ28" i="1"/>
  <c r="HP28" i="1"/>
  <c r="HO28" i="1"/>
  <c r="HN28" i="1"/>
  <c r="HM28" i="1"/>
  <c r="HL28" i="1"/>
  <c r="HV27" i="1"/>
  <c r="HU27" i="1"/>
  <c r="HT27" i="1"/>
  <c r="HS27" i="1"/>
  <c r="HR27" i="1"/>
  <c r="HQ27" i="1"/>
  <c r="HP27" i="1"/>
  <c r="HO27" i="1"/>
  <c r="HN27" i="1"/>
  <c r="HM27" i="1"/>
  <c r="HL27" i="1"/>
  <c r="HV26" i="1"/>
  <c r="HU26" i="1"/>
  <c r="HT26" i="1"/>
  <c r="HS26" i="1"/>
  <c r="HR26" i="1"/>
  <c r="HQ26" i="1"/>
  <c r="HP26" i="1"/>
  <c r="HO26" i="1"/>
  <c r="HN26" i="1"/>
  <c r="HM26" i="1"/>
  <c r="HL26" i="1"/>
  <c r="HV25" i="1"/>
  <c r="HU25" i="1"/>
  <c r="HT25" i="1"/>
  <c r="HS25" i="1"/>
  <c r="HR25" i="1"/>
  <c r="HQ25" i="1"/>
  <c r="HP25" i="1"/>
  <c r="HO25" i="1"/>
  <c r="HN25" i="1"/>
  <c r="HM25" i="1"/>
  <c r="HL25" i="1"/>
  <c r="HV24" i="1"/>
  <c r="HU24" i="1"/>
  <c r="HT24" i="1"/>
  <c r="HS24" i="1"/>
  <c r="HR24" i="1"/>
  <c r="HQ24" i="1"/>
  <c r="HP24" i="1"/>
  <c r="HO24" i="1"/>
  <c r="HN24" i="1"/>
  <c r="HM24" i="1"/>
  <c r="HL24" i="1"/>
  <c r="HV23" i="1"/>
  <c r="HU23" i="1"/>
  <c r="HT23" i="1"/>
  <c r="HS23" i="1"/>
  <c r="HR23" i="1"/>
  <c r="HQ23" i="1"/>
  <c r="HP23" i="1"/>
  <c r="HO23" i="1"/>
  <c r="HN23" i="1"/>
  <c r="HM23" i="1"/>
  <c r="HL23" i="1"/>
  <c r="HV20" i="1"/>
  <c r="HV19" i="1"/>
  <c r="HU19" i="1"/>
  <c r="HV18" i="1"/>
  <c r="HU18" i="1"/>
  <c r="HV17" i="1"/>
  <c r="HU17" i="1"/>
  <c r="HT17" i="1"/>
  <c r="HS17" i="1"/>
  <c r="HR17" i="1"/>
  <c r="HQ17" i="1"/>
  <c r="HP17" i="1"/>
  <c r="HO17" i="1"/>
  <c r="HN17" i="1"/>
  <c r="HM17" i="1"/>
  <c r="HL17" i="1"/>
  <c r="HV16" i="1"/>
  <c r="HU16" i="1"/>
  <c r="HT16" i="1"/>
  <c r="HS16" i="1"/>
  <c r="HR16" i="1"/>
  <c r="HQ16" i="1"/>
  <c r="HP16" i="1"/>
  <c r="HO16" i="1"/>
  <c r="HN16" i="1"/>
  <c r="HM16" i="1"/>
  <c r="HL16" i="1"/>
  <c r="HV15" i="1"/>
  <c r="HU15" i="1"/>
  <c r="HT15" i="1"/>
  <c r="HS15" i="1"/>
  <c r="HR15" i="1"/>
  <c r="HQ15" i="1"/>
  <c r="HP15" i="1"/>
  <c r="HO15" i="1"/>
  <c r="HN15" i="1"/>
  <c r="HM15" i="1"/>
  <c r="HL15" i="1"/>
  <c r="HV13" i="1"/>
  <c r="HU13" i="1"/>
  <c r="HT13" i="1"/>
  <c r="HS13" i="1"/>
  <c r="HR13" i="1"/>
  <c r="HQ13" i="1"/>
  <c r="HP13" i="1"/>
  <c r="HO13" i="1"/>
  <c r="HN13" i="1"/>
  <c r="HM13" i="1"/>
  <c r="HL13" i="1"/>
  <c r="HV10" i="1"/>
  <c r="HU10" i="1"/>
  <c r="HT10" i="1"/>
  <c r="HS10" i="1"/>
  <c r="HR10" i="1"/>
  <c r="HQ10" i="1"/>
  <c r="HP10" i="1"/>
  <c r="HO10" i="1"/>
  <c r="HN10" i="1"/>
  <c r="HM10" i="1"/>
  <c r="HL10" i="1"/>
  <c r="HK70" i="1"/>
  <c r="HK69" i="1"/>
  <c r="HK68" i="1"/>
  <c r="HK67" i="1"/>
  <c r="HK66" i="1"/>
  <c r="HK64" i="1"/>
  <c r="HK63" i="1"/>
  <c r="HK62" i="1"/>
  <c r="HK61" i="1"/>
  <c r="HK60" i="1"/>
  <c r="HK59" i="1"/>
  <c r="HK58" i="1"/>
  <c r="HK57" i="1"/>
  <c r="HK55" i="1"/>
  <c r="HK54" i="1"/>
  <c r="HK53" i="1"/>
  <c r="HK48" i="1"/>
  <c r="HK45" i="1"/>
  <c r="HK42" i="1"/>
  <c r="HK33" i="1"/>
  <c r="HK32" i="1"/>
  <c r="HK30" i="1"/>
  <c r="HK29" i="1"/>
  <c r="HK28" i="1"/>
  <c r="HK27" i="1"/>
  <c r="HK26" i="1"/>
  <c r="HK25" i="1"/>
  <c r="HK24" i="1"/>
  <c r="HK23" i="1"/>
  <c r="HK17" i="1"/>
  <c r="HK16" i="1"/>
  <c r="HK15" i="1"/>
  <c r="HK13" i="1"/>
  <c r="HK10" i="1"/>
  <c r="EJ70" i="1"/>
  <c r="EK70" i="1" s="1"/>
  <c r="EJ69" i="1"/>
  <c r="EJ68" i="1"/>
  <c r="EK68" i="1" s="1"/>
  <c r="EJ67" i="1"/>
  <c r="EJ66" i="1"/>
  <c r="EK66" i="1" s="1"/>
  <c r="EJ64" i="1"/>
  <c r="EK64" i="1" s="1"/>
  <c r="EJ63" i="1"/>
  <c r="EK63" i="1" s="1"/>
  <c r="EJ62" i="1"/>
  <c r="EK62" i="1" s="1"/>
  <c r="EJ61" i="1"/>
  <c r="EJ60" i="1"/>
  <c r="EK60" i="1" s="1"/>
  <c r="EJ59" i="1"/>
  <c r="EJ58" i="1"/>
  <c r="EK58" i="1" s="1"/>
  <c r="EJ57" i="1"/>
  <c r="EJ56" i="1"/>
  <c r="EJ55" i="1"/>
  <c r="EK55" i="1" s="1"/>
  <c r="EJ54" i="1"/>
  <c r="EJ53" i="1"/>
  <c r="EK53" i="1" s="1"/>
  <c r="EJ48" i="1"/>
  <c r="EK48" i="1" s="1"/>
  <c r="EJ45" i="1"/>
  <c r="EK45" i="1" s="1"/>
  <c r="EJ42" i="1"/>
  <c r="EK42" i="1" s="1"/>
  <c r="EJ33" i="1"/>
  <c r="EK33" i="1" s="1"/>
  <c r="EJ32" i="1"/>
  <c r="EK32" i="1" s="1"/>
  <c r="EJ30" i="1"/>
  <c r="EK30" i="1" s="1"/>
  <c r="EJ29" i="1"/>
  <c r="EK29" i="1" s="1"/>
  <c r="EJ28" i="1"/>
  <c r="EK28" i="1" s="1"/>
  <c r="EJ27" i="1"/>
  <c r="EK27" i="1" s="1"/>
  <c r="EJ26" i="1"/>
  <c r="EK26" i="1" s="1"/>
  <c r="EJ25" i="1"/>
  <c r="EK25" i="1" s="1"/>
  <c r="EJ24" i="1"/>
  <c r="EK24" i="1" s="1"/>
  <c r="EJ23" i="1"/>
  <c r="EK23" i="1" s="1"/>
  <c r="EJ17" i="1"/>
  <c r="EK17" i="1" s="1"/>
  <c r="EJ16" i="1"/>
  <c r="EK16" i="1" s="1"/>
  <c r="EJ15" i="1"/>
  <c r="EK15" i="1" s="1"/>
  <c r="EJ13" i="1"/>
  <c r="EK13" i="1" s="1"/>
  <c r="EJ7" i="1"/>
  <c r="EK7" i="1" s="1"/>
  <c r="EJ6" i="1"/>
  <c r="EK6" i="1" s="1"/>
  <c r="ER70" i="1"/>
  <c r="ES70" i="1" s="1"/>
  <c r="ER69" i="1"/>
  <c r="ER68" i="1"/>
  <c r="ES68" i="1" s="1"/>
  <c r="ER67" i="1"/>
  <c r="ER66" i="1"/>
  <c r="ES66" i="1" s="1"/>
  <c r="ER64" i="1"/>
  <c r="ES64" i="1" s="1"/>
  <c r="ER63" i="1"/>
  <c r="ES63" i="1" s="1"/>
  <c r="ER62" i="1"/>
  <c r="ES62" i="1" s="1"/>
  <c r="ER61" i="1"/>
  <c r="ER60" i="1"/>
  <c r="ES60" i="1" s="1"/>
  <c r="ER59" i="1"/>
  <c r="ER58" i="1"/>
  <c r="ES58" i="1" s="1"/>
  <c r="ER57" i="1"/>
  <c r="ER56" i="1"/>
  <c r="ER55" i="1"/>
  <c r="ES55" i="1" s="1"/>
  <c r="ER54" i="1"/>
  <c r="ES54" i="1" s="1"/>
  <c r="ER53" i="1"/>
  <c r="ES53" i="1" s="1"/>
  <c r="ER48" i="1"/>
  <c r="ES48" i="1" s="1"/>
  <c r="ER45" i="1"/>
  <c r="ES45" i="1" s="1"/>
  <c r="ER42" i="1"/>
  <c r="ES42" i="1" s="1"/>
  <c r="ER33" i="1"/>
  <c r="ES33" i="1" s="1"/>
  <c r="ER32" i="1"/>
  <c r="ES32" i="1" s="1"/>
  <c r="ER30" i="1"/>
  <c r="ES30" i="1" s="1"/>
  <c r="ER29" i="1"/>
  <c r="ES29" i="1" s="1"/>
  <c r="ER28" i="1"/>
  <c r="ES28" i="1" s="1"/>
  <c r="ER27" i="1"/>
  <c r="ES27" i="1" s="1"/>
  <c r="ER26" i="1"/>
  <c r="ES26" i="1" s="1"/>
  <c r="ER25" i="1"/>
  <c r="ES25" i="1" s="1"/>
  <c r="ER24" i="1"/>
  <c r="ES24" i="1" s="1"/>
  <c r="ER23" i="1"/>
  <c r="ES23" i="1" s="1"/>
  <c r="ER17" i="1"/>
  <c r="ES17" i="1" s="1"/>
  <c r="ER16" i="1"/>
  <c r="ES16" i="1" s="1"/>
  <c r="ER15" i="1"/>
  <c r="ES15" i="1" s="1"/>
  <c r="ER13" i="1"/>
  <c r="ES13" i="1" s="1"/>
  <c r="ER7" i="1"/>
  <c r="ES7" i="1" s="1"/>
  <c r="ER6" i="1"/>
  <c r="ES6" i="1" s="1"/>
  <c r="ET70" i="1"/>
  <c r="EU70" i="1" s="1"/>
  <c r="ET69" i="1"/>
  <c r="ET68" i="1"/>
  <c r="EU68" i="1" s="1"/>
  <c r="ET67" i="1"/>
  <c r="ET66" i="1"/>
  <c r="EU66" i="1" s="1"/>
  <c r="ET64" i="1"/>
  <c r="EU64" i="1" s="1"/>
  <c r="ET63" i="1"/>
  <c r="EU63" i="1" s="1"/>
  <c r="ET62" i="1"/>
  <c r="EU62" i="1" s="1"/>
  <c r="ET61" i="1"/>
  <c r="EU61" i="1" s="1"/>
  <c r="ET60" i="1"/>
  <c r="EU60" i="1" s="1"/>
  <c r="ET59" i="1"/>
  <c r="EU59" i="1" s="1"/>
  <c r="ET58" i="1"/>
  <c r="EU58" i="1" s="1"/>
  <c r="ET57" i="1"/>
  <c r="EU57" i="1" s="1"/>
  <c r="ET56" i="1"/>
  <c r="EU56" i="1" s="1"/>
  <c r="ET55" i="1"/>
  <c r="EU55" i="1" s="1"/>
  <c r="ET54" i="1"/>
  <c r="ET53" i="1"/>
  <c r="ET48" i="1"/>
  <c r="EU48" i="1" s="1"/>
  <c r="ET45" i="1"/>
  <c r="EU45" i="1" s="1"/>
  <c r="ET42" i="1"/>
  <c r="EU42" i="1" s="1"/>
  <c r="ET33" i="1"/>
  <c r="EU33" i="1" s="1"/>
  <c r="ET32" i="1"/>
  <c r="EU32" i="1" s="1"/>
  <c r="ET30" i="1"/>
  <c r="EU30" i="1" s="1"/>
  <c r="ET29" i="1"/>
  <c r="EU29" i="1" s="1"/>
  <c r="ET28" i="1"/>
  <c r="EU28" i="1" s="1"/>
  <c r="ET27" i="1"/>
  <c r="EU27" i="1" s="1"/>
  <c r="ET26" i="1"/>
  <c r="EU26" i="1" s="1"/>
  <c r="ET25" i="1"/>
  <c r="EU25" i="1" s="1"/>
  <c r="ET24" i="1"/>
  <c r="EU24" i="1" s="1"/>
  <c r="ET23" i="1"/>
  <c r="EU23" i="1" s="1"/>
  <c r="ET17" i="1"/>
  <c r="EU17" i="1" s="1"/>
  <c r="ET16" i="1"/>
  <c r="EU16" i="1" s="1"/>
  <c r="ET15" i="1"/>
  <c r="EU15" i="1" s="1"/>
  <c r="ET13" i="1"/>
  <c r="EU13" i="1" s="1"/>
  <c r="ET7" i="1"/>
  <c r="EU7" i="1" s="1"/>
  <c r="ET6" i="1"/>
  <c r="EU6" i="1" s="1"/>
  <c r="EV70" i="1"/>
  <c r="EW70" i="1" s="1"/>
  <c r="EV69" i="1"/>
  <c r="EV68" i="1"/>
  <c r="EW68" i="1" s="1"/>
  <c r="EV67" i="1"/>
  <c r="EV66" i="1"/>
  <c r="EW66" i="1" s="1"/>
  <c r="EV64" i="1"/>
  <c r="EW64" i="1" s="1"/>
  <c r="EV63" i="1"/>
  <c r="EW63" i="1" s="1"/>
  <c r="EV62" i="1"/>
  <c r="EW62" i="1" s="1"/>
  <c r="EV61" i="1"/>
  <c r="EV60" i="1"/>
  <c r="EW60" i="1" s="1"/>
  <c r="EV59" i="1"/>
  <c r="EW59" i="1" s="1"/>
  <c r="EV58" i="1"/>
  <c r="EW58" i="1" s="1"/>
  <c r="EV57" i="1"/>
  <c r="EW57" i="1" s="1"/>
  <c r="EV56" i="1"/>
  <c r="EV55" i="1"/>
  <c r="EW55" i="1" s="1"/>
  <c r="EV54" i="1"/>
  <c r="EW54" i="1" s="1"/>
  <c r="EV53" i="1"/>
  <c r="EW53" i="1" s="1"/>
  <c r="EV48" i="1"/>
  <c r="EW48" i="1" s="1"/>
  <c r="EV45" i="1"/>
  <c r="EW45" i="1" s="1"/>
  <c r="EV42" i="1"/>
  <c r="EW42" i="1" s="1"/>
  <c r="EV33" i="1"/>
  <c r="EW33" i="1" s="1"/>
  <c r="EV32" i="1"/>
  <c r="EW32" i="1" s="1"/>
  <c r="EV30" i="1"/>
  <c r="EW30" i="1" s="1"/>
  <c r="EV29" i="1"/>
  <c r="EW29" i="1" s="1"/>
  <c r="EV28" i="1"/>
  <c r="EW28" i="1" s="1"/>
  <c r="EV27" i="1"/>
  <c r="EW27" i="1" s="1"/>
  <c r="EV26" i="1"/>
  <c r="EW26" i="1" s="1"/>
  <c r="EV25" i="1"/>
  <c r="EW25" i="1" s="1"/>
  <c r="EV24" i="1"/>
  <c r="EW24" i="1" s="1"/>
  <c r="EV23" i="1"/>
  <c r="EW23" i="1" s="1"/>
  <c r="EV17" i="1"/>
  <c r="EW17" i="1" s="1"/>
  <c r="EV16" i="1"/>
  <c r="EW16" i="1" s="1"/>
  <c r="EV15" i="1"/>
  <c r="EW15" i="1" s="1"/>
  <c r="EV13" i="1"/>
  <c r="EW13" i="1" s="1"/>
  <c r="EV7" i="1"/>
  <c r="EW7" i="1" s="1"/>
  <c r="EV6" i="1"/>
  <c r="EW6" i="1" s="1"/>
  <c r="EX70" i="1"/>
  <c r="EY70" i="1" s="1"/>
  <c r="EX69" i="1"/>
  <c r="EX68" i="1"/>
  <c r="EY68" i="1" s="1"/>
  <c r="EX67" i="1"/>
  <c r="EX66" i="1"/>
  <c r="EY66" i="1" s="1"/>
  <c r="EX64" i="1"/>
  <c r="EY64" i="1" s="1"/>
  <c r="EX63" i="1"/>
  <c r="EY63" i="1" s="1"/>
  <c r="EX62" i="1"/>
  <c r="EY62" i="1" s="1"/>
  <c r="EX61" i="1"/>
  <c r="EX60" i="1"/>
  <c r="EY60" i="1" s="1"/>
  <c r="EX59" i="1"/>
  <c r="EY59" i="1" s="1"/>
  <c r="EX58" i="1"/>
  <c r="EY58" i="1" s="1"/>
  <c r="EX57" i="1"/>
  <c r="EY57" i="1" s="1"/>
  <c r="EX56" i="1"/>
  <c r="EX55" i="1"/>
  <c r="EY55" i="1" s="1"/>
  <c r="EX54" i="1"/>
  <c r="EX53" i="1"/>
  <c r="EY53" i="1" s="1"/>
  <c r="EX48" i="1"/>
  <c r="EY48" i="1" s="1"/>
  <c r="EX45" i="1"/>
  <c r="EY45" i="1" s="1"/>
  <c r="EX42" i="1"/>
  <c r="EY42" i="1" s="1"/>
  <c r="EX33" i="1"/>
  <c r="EY33" i="1" s="1"/>
  <c r="EX32" i="1"/>
  <c r="EY32" i="1" s="1"/>
  <c r="EX30" i="1"/>
  <c r="EY30" i="1" s="1"/>
  <c r="EX29" i="1"/>
  <c r="EY29" i="1" s="1"/>
  <c r="EX28" i="1"/>
  <c r="EY28" i="1" s="1"/>
  <c r="EX27" i="1"/>
  <c r="EY27" i="1" s="1"/>
  <c r="EX26" i="1"/>
  <c r="EY26" i="1" s="1"/>
  <c r="EX25" i="1"/>
  <c r="EY25" i="1" s="1"/>
  <c r="EX24" i="1"/>
  <c r="EY24" i="1" s="1"/>
  <c r="EX23" i="1"/>
  <c r="EY23" i="1" s="1"/>
  <c r="EX17" i="1"/>
  <c r="EY17" i="1" s="1"/>
  <c r="EX16" i="1"/>
  <c r="EY16" i="1" s="1"/>
  <c r="EX15" i="1"/>
  <c r="EY15" i="1" s="1"/>
  <c r="EX13" i="1"/>
  <c r="EY13" i="1" s="1"/>
  <c r="EX7" i="1"/>
  <c r="EY7" i="1" s="1"/>
  <c r="EX6" i="1"/>
  <c r="EY6" i="1" s="1"/>
  <c r="EZ70" i="1"/>
  <c r="FA70" i="1" s="1"/>
  <c r="EZ69" i="1"/>
  <c r="EZ68" i="1"/>
  <c r="FA68" i="1" s="1"/>
  <c r="EZ67" i="1"/>
  <c r="EZ66" i="1"/>
  <c r="FA66" i="1" s="1"/>
  <c r="EZ64" i="1"/>
  <c r="FA64" i="1" s="1"/>
  <c r="EZ63" i="1"/>
  <c r="FA63" i="1" s="1"/>
  <c r="EZ62" i="1"/>
  <c r="FA62" i="1" s="1"/>
  <c r="EZ61" i="1"/>
  <c r="EZ60" i="1"/>
  <c r="FA60" i="1" s="1"/>
  <c r="EZ59" i="1"/>
  <c r="FA59" i="1" s="1"/>
  <c r="EZ58" i="1"/>
  <c r="FA58" i="1" s="1"/>
  <c r="EZ57" i="1"/>
  <c r="FA57" i="1" s="1"/>
  <c r="EZ56" i="1"/>
  <c r="FA56" i="1" s="1"/>
  <c r="EZ55" i="1"/>
  <c r="FA55" i="1" s="1"/>
  <c r="EZ54" i="1"/>
  <c r="EZ53" i="1"/>
  <c r="FA53" i="1" s="1"/>
  <c r="EZ48" i="1"/>
  <c r="FA48" i="1" s="1"/>
  <c r="EZ45" i="1"/>
  <c r="FA45" i="1" s="1"/>
  <c r="EZ42" i="1"/>
  <c r="FA42" i="1" s="1"/>
  <c r="EZ33" i="1"/>
  <c r="FA33" i="1" s="1"/>
  <c r="EZ32" i="1"/>
  <c r="FA32" i="1" s="1"/>
  <c r="EZ30" i="1"/>
  <c r="FA30" i="1" s="1"/>
  <c r="EZ29" i="1"/>
  <c r="FA29" i="1" s="1"/>
  <c r="EZ28" i="1"/>
  <c r="FA28" i="1" s="1"/>
  <c r="EZ27" i="1"/>
  <c r="FA27" i="1" s="1"/>
  <c r="EZ26" i="1"/>
  <c r="FA26" i="1" s="1"/>
  <c r="EZ25" i="1"/>
  <c r="FA25" i="1" s="1"/>
  <c r="EZ24" i="1"/>
  <c r="FA24" i="1" s="1"/>
  <c r="EZ23" i="1"/>
  <c r="FA23" i="1" s="1"/>
  <c r="EZ17" i="1"/>
  <c r="FA17" i="1" s="1"/>
  <c r="EZ16" i="1"/>
  <c r="FA16" i="1" s="1"/>
  <c r="EZ15" i="1"/>
  <c r="FA15" i="1" s="1"/>
  <c r="EZ13" i="1"/>
  <c r="FA13" i="1" s="1"/>
  <c r="EZ7" i="1"/>
  <c r="FA7" i="1" s="1"/>
  <c r="EZ6" i="1"/>
  <c r="FA6" i="1" s="1"/>
  <c r="FB70" i="1"/>
  <c r="FC70" i="1" s="1"/>
  <c r="FB69" i="1"/>
  <c r="FB68" i="1"/>
  <c r="FC68" i="1" s="1"/>
  <c r="FB67" i="1"/>
  <c r="FB66" i="1"/>
  <c r="FC66" i="1" s="1"/>
  <c r="FB64" i="1"/>
  <c r="FC64" i="1" s="1"/>
  <c r="FB63" i="1"/>
  <c r="FC63" i="1" s="1"/>
  <c r="FB62" i="1"/>
  <c r="FC62" i="1" s="1"/>
  <c r="FB61" i="1"/>
  <c r="FC61" i="1" s="1"/>
  <c r="FB60" i="1"/>
  <c r="FC60" i="1" s="1"/>
  <c r="FB59" i="1"/>
  <c r="FC59" i="1" s="1"/>
  <c r="FB58" i="1"/>
  <c r="FC58" i="1" s="1"/>
  <c r="FB57" i="1"/>
  <c r="FC57" i="1" s="1"/>
  <c r="FB56" i="1"/>
  <c r="FC56" i="1" s="1"/>
  <c r="FB55" i="1"/>
  <c r="FC55" i="1" s="1"/>
  <c r="FB54" i="1"/>
  <c r="FC54" i="1" s="1"/>
  <c r="FB53" i="1"/>
  <c r="FC53" i="1" s="1"/>
  <c r="FB48" i="1"/>
  <c r="FC48" i="1" s="1"/>
  <c r="FB45" i="1"/>
  <c r="FC45" i="1" s="1"/>
  <c r="FB42" i="1"/>
  <c r="FC42" i="1" s="1"/>
  <c r="FB38" i="1"/>
  <c r="FC38" i="1" s="1"/>
  <c r="FB33" i="1"/>
  <c r="FC33" i="1" s="1"/>
  <c r="FB32" i="1"/>
  <c r="FC32" i="1" s="1"/>
  <c r="FB30" i="1"/>
  <c r="FC30" i="1" s="1"/>
  <c r="FB29" i="1"/>
  <c r="FC29" i="1" s="1"/>
  <c r="FB28" i="1"/>
  <c r="FC28" i="1" s="1"/>
  <c r="FB27" i="1"/>
  <c r="FC27" i="1" s="1"/>
  <c r="FB26" i="1"/>
  <c r="FC26" i="1" s="1"/>
  <c r="FB25" i="1"/>
  <c r="FC25" i="1" s="1"/>
  <c r="FB24" i="1"/>
  <c r="FC24" i="1" s="1"/>
  <c r="FB23" i="1"/>
  <c r="FC23" i="1" s="1"/>
  <c r="FB17" i="1"/>
  <c r="FC17" i="1" s="1"/>
  <c r="FB16" i="1"/>
  <c r="FC16" i="1" s="1"/>
  <c r="FB15" i="1"/>
  <c r="FC15" i="1" s="1"/>
  <c r="FB13" i="1"/>
  <c r="FC13" i="1" s="1"/>
  <c r="FB7" i="1"/>
  <c r="FC7" i="1" s="1"/>
  <c r="FB6" i="1"/>
  <c r="FC6" i="1" s="1"/>
  <c r="FB5" i="1"/>
  <c r="FC5" i="1" s="1"/>
  <c r="EP70" i="1"/>
  <c r="EQ70" i="1" s="1"/>
  <c r="EP69" i="1"/>
  <c r="EP68" i="1"/>
  <c r="EQ68" i="1" s="1"/>
  <c r="EP67" i="1"/>
  <c r="EP66" i="1"/>
  <c r="EQ66" i="1" s="1"/>
  <c r="EP64" i="1"/>
  <c r="EQ64" i="1" s="1"/>
  <c r="EP63" i="1"/>
  <c r="EQ63" i="1" s="1"/>
  <c r="EP62" i="1"/>
  <c r="EQ62" i="1" s="1"/>
  <c r="EP61" i="1"/>
  <c r="EP60" i="1"/>
  <c r="EQ60" i="1" s="1"/>
  <c r="EP59" i="1"/>
  <c r="EQ59" i="1" s="1"/>
  <c r="EP58" i="1"/>
  <c r="EQ58" i="1" s="1"/>
  <c r="EP57" i="1"/>
  <c r="EQ57" i="1" s="1"/>
  <c r="EP56" i="1"/>
  <c r="EP55" i="1"/>
  <c r="EQ55" i="1" s="1"/>
  <c r="EP54" i="1"/>
  <c r="EQ54" i="1" s="1"/>
  <c r="EP53" i="1"/>
  <c r="EQ53" i="1" s="1"/>
  <c r="EP48" i="1"/>
  <c r="EQ48" i="1" s="1"/>
  <c r="EP45" i="1"/>
  <c r="EQ45" i="1" s="1"/>
  <c r="EP42" i="1"/>
  <c r="EQ42" i="1" s="1"/>
  <c r="EP33" i="1"/>
  <c r="EQ33" i="1" s="1"/>
  <c r="EP32" i="1"/>
  <c r="EQ32" i="1" s="1"/>
  <c r="EP30" i="1"/>
  <c r="EQ30" i="1" s="1"/>
  <c r="EP29" i="1"/>
  <c r="EQ29" i="1" s="1"/>
  <c r="EP28" i="1"/>
  <c r="EQ28" i="1" s="1"/>
  <c r="EP27" i="1"/>
  <c r="EQ27" i="1" s="1"/>
  <c r="EP26" i="1"/>
  <c r="EQ26" i="1" s="1"/>
  <c r="EP25" i="1"/>
  <c r="EQ25" i="1" s="1"/>
  <c r="EP24" i="1"/>
  <c r="EQ24" i="1" s="1"/>
  <c r="EP23" i="1"/>
  <c r="EQ23" i="1" s="1"/>
  <c r="EP17" i="1"/>
  <c r="EQ17" i="1" s="1"/>
  <c r="EP16" i="1"/>
  <c r="EQ16" i="1" s="1"/>
  <c r="EP15" i="1"/>
  <c r="EQ15" i="1" s="1"/>
  <c r="EP13" i="1"/>
  <c r="EQ13" i="1" s="1"/>
  <c r="EP7" i="1"/>
  <c r="EQ7" i="1" s="1"/>
  <c r="EP6" i="1"/>
  <c r="EQ6" i="1" s="1"/>
  <c r="EN70" i="1"/>
  <c r="EO70" i="1" s="1"/>
  <c r="EN69" i="1"/>
  <c r="EN68" i="1"/>
  <c r="EO68" i="1" s="1"/>
  <c r="EN67" i="1"/>
  <c r="EN66" i="1"/>
  <c r="EO66" i="1" s="1"/>
  <c r="EN64" i="1"/>
  <c r="EO64" i="1" s="1"/>
  <c r="EN63" i="1"/>
  <c r="EO63" i="1" s="1"/>
  <c r="EN62" i="1"/>
  <c r="EO62" i="1" s="1"/>
  <c r="EN61" i="1"/>
  <c r="EO61" i="1" s="1"/>
  <c r="EN60" i="1"/>
  <c r="EO60" i="1" s="1"/>
  <c r="EN59" i="1"/>
  <c r="EO59" i="1" s="1"/>
  <c r="EN58" i="1"/>
  <c r="EO58" i="1" s="1"/>
  <c r="EN57" i="1"/>
  <c r="EO57" i="1" s="1"/>
  <c r="EN56" i="1"/>
  <c r="EN55" i="1"/>
  <c r="EO55" i="1" s="1"/>
  <c r="EN54" i="1"/>
  <c r="EO54" i="1" s="1"/>
  <c r="EN53" i="1"/>
  <c r="EN48" i="1"/>
  <c r="EO48" i="1" s="1"/>
  <c r="EN45" i="1"/>
  <c r="EO45" i="1" s="1"/>
  <c r="EN42" i="1"/>
  <c r="EO42" i="1" s="1"/>
  <c r="EN38" i="1"/>
  <c r="EO38" i="1" s="1"/>
  <c r="EN33" i="1"/>
  <c r="EO33" i="1" s="1"/>
  <c r="EN32" i="1"/>
  <c r="EO32" i="1" s="1"/>
  <c r="EN30" i="1"/>
  <c r="EO30" i="1" s="1"/>
  <c r="EN29" i="1"/>
  <c r="EO29" i="1" s="1"/>
  <c r="EN28" i="1"/>
  <c r="EO28" i="1" s="1"/>
  <c r="EN27" i="1"/>
  <c r="EO27" i="1" s="1"/>
  <c r="EN26" i="1"/>
  <c r="EO26" i="1" s="1"/>
  <c r="EN25" i="1"/>
  <c r="EO25" i="1" s="1"/>
  <c r="EN24" i="1"/>
  <c r="EO24" i="1" s="1"/>
  <c r="EN23" i="1"/>
  <c r="EO23" i="1" s="1"/>
  <c r="EN17" i="1"/>
  <c r="EO17" i="1" s="1"/>
  <c r="EN16" i="1"/>
  <c r="EO16" i="1" s="1"/>
  <c r="EN15" i="1"/>
  <c r="EO15" i="1" s="1"/>
  <c r="EN13" i="1"/>
  <c r="EO13" i="1" s="1"/>
  <c r="EN7" i="1"/>
  <c r="EO7" i="1" s="1"/>
  <c r="EN6" i="1"/>
  <c r="EO6" i="1" s="1"/>
  <c r="FD70" i="1"/>
  <c r="FE70" i="1" s="1"/>
  <c r="FD69" i="1"/>
  <c r="FD68" i="1"/>
  <c r="FE68" i="1" s="1"/>
  <c r="FD67" i="1"/>
  <c r="FD66" i="1"/>
  <c r="FE66" i="1" s="1"/>
  <c r="FD64" i="1"/>
  <c r="FE64" i="1" s="1"/>
  <c r="FD63" i="1"/>
  <c r="FE63" i="1" s="1"/>
  <c r="FD62" i="1"/>
  <c r="FE62" i="1" s="1"/>
  <c r="FD61" i="1"/>
  <c r="FE61" i="1" s="1"/>
  <c r="FD60" i="1"/>
  <c r="FE60" i="1" s="1"/>
  <c r="FD59" i="1"/>
  <c r="FE59" i="1" s="1"/>
  <c r="FD58" i="1"/>
  <c r="FE58" i="1" s="1"/>
  <c r="FD57" i="1"/>
  <c r="FE57" i="1" s="1"/>
  <c r="FD56" i="1"/>
  <c r="FD55" i="1"/>
  <c r="FE55" i="1" s="1"/>
  <c r="FD54" i="1"/>
  <c r="FD53" i="1"/>
  <c r="FE53" i="1" s="1"/>
  <c r="FD48" i="1"/>
  <c r="FE48" i="1" s="1"/>
  <c r="FD45" i="1"/>
  <c r="FE45" i="1" s="1"/>
  <c r="FD42" i="1"/>
  <c r="FE42" i="1" s="1"/>
  <c r="FD38" i="1"/>
  <c r="FE38" i="1" s="1"/>
  <c r="FD37" i="1"/>
  <c r="FE37" i="1" s="1"/>
  <c r="FD33" i="1"/>
  <c r="FE33" i="1" s="1"/>
  <c r="FD32" i="1"/>
  <c r="FE32" i="1" s="1"/>
  <c r="FD30" i="1"/>
  <c r="FE30" i="1" s="1"/>
  <c r="FD29" i="1"/>
  <c r="FE29" i="1" s="1"/>
  <c r="FD28" i="1"/>
  <c r="FE28" i="1" s="1"/>
  <c r="FD27" i="1"/>
  <c r="FE27" i="1" s="1"/>
  <c r="FD26" i="1"/>
  <c r="FE26" i="1" s="1"/>
  <c r="FD25" i="1"/>
  <c r="FE25" i="1" s="1"/>
  <c r="FD24" i="1"/>
  <c r="FE24" i="1" s="1"/>
  <c r="FD23" i="1"/>
  <c r="FE23" i="1" s="1"/>
  <c r="FD18" i="1"/>
  <c r="FE18" i="1" s="1"/>
  <c r="FD17" i="1"/>
  <c r="FE17" i="1" s="1"/>
  <c r="FD16" i="1"/>
  <c r="FE16" i="1" s="1"/>
  <c r="FD15" i="1"/>
  <c r="FE15" i="1" s="1"/>
  <c r="FD13" i="1"/>
  <c r="FE13" i="1" s="1"/>
  <c r="FD7" i="1"/>
  <c r="FE7" i="1" s="1"/>
  <c r="FD6" i="1"/>
  <c r="FE6" i="1" s="1"/>
  <c r="FD5" i="1"/>
  <c r="FE5" i="1" s="1"/>
  <c r="FF70" i="1"/>
  <c r="FG70" i="1" s="1"/>
  <c r="FF69" i="1"/>
  <c r="FG69" i="1" s="1"/>
  <c r="FF68" i="1"/>
  <c r="FG68" i="1" s="1"/>
  <c r="FF67" i="1"/>
  <c r="FG67" i="1" s="1"/>
  <c r="FF66" i="1"/>
  <c r="FG66" i="1" s="1"/>
  <c r="FF64" i="1"/>
  <c r="FG64" i="1" s="1"/>
  <c r="FF63" i="1"/>
  <c r="FG63" i="1" s="1"/>
  <c r="FF62" i="1"/>
  <c r="FG62" i="1" s="1"/>
  <c r="FF61" i="1"/>
  <c r="FG61" i="1" s="1"/>
  <c r="FF60" i="1"/>
  <c r="FG60" i="1" s="1"/>
  <c r="FF59" i="1"/>
  <c r="FG59" i="1" s="1"/>
  <c r="FF58" i="1"/>
  <c r="FG58" i="1" s="1"/>
  <c r="FF57" i="1"/>
  <c r="FG57" i="1" s="1"/>
  <c r="FF56" i="1"/>
  <c r="FG56" i="1" s="1"/>
  <c r="FF55" i="1"/>
  <c r="FG55" i="1" s="1"/>
  <c r="FF54" i="1"/>
  <c r="FG54" i="1" s="1"/>
  <c r="FF53" i="1"/>
  <c r="FG53" i="1" s="1"/>
  <c r="FF50" i="1"/>
  <c r="FG50" i="1" s="1"/>
  <c r="FF49" i="1"/>
  <c r="FG49" i="1" s="1"/>
  <c r="FF48" i="1"/>
  <c r="FG48" i="1" s="1"/>
  <c r="FF46" i="1"/>
  <c r="FG46" i="1" s="1"/>
  <c r="FF45" i="1"/>
  <c r="FG45" i="1" s="1"/>
  <c r="FF42" i="1"/>
  <c r="FG42" i="1" s="1"/>
  <c r="FF40" i="1"/>
  <c r="FG40" i="1" s="1"/>
  <c r="FF39" i="1"/>
  <c r="FG39" i="1" s="1"/>
  <c r="FF38" i="1"/>
  <c r="FG38" i="1" s="1"/>
  <c r="FF37" i="1"/>
  <c r="FG37" i="1" s="1"/>
  <c r="FF34" i="1"/>
  <c r="FG34" i="1" s="1"/>
  <c r="FF33" i="1"/>
  <c r="FG33" i="1" s="1"/>
  <c r="FF32" i="1"/>
  <c r="FG32" i="1" s="1"/>
  <c r="FF30" i="1"/>
  <c r="FG30" i="1" s="1"/>
  <c r="FF29" i="1"/>
  <c r="FG29" i="1" s="1"/>
  <c r="FF28" i="1"/>
  <c r="FG28" i="1" s="1"/>
  <c r="FF27" i="1"/>
  <c r="FG27" i="1" s="1"/>
  <c r="FF26" i="1"/>
  <c r="FG26" i="1" s="1"/>
  <c r="FF25" i="1"/>
  <c r="FG25" i="1" s="1"/>
  <c r="FF24" i="1"/>
  <c r="FG24" i="1" s="1"/>
  <c r="FF23" i="1"/>
  <c r="FG23" i="1" s="1"/>
  <c r="FF19" i="1"/>
  <c r="FG19" i="1" s="1"/>
  <c r="FF18" i="1"/>
  <c r="FG18" i="1" s="1"/>
  <c r="FF17" i="1"/>
  <c r="FG17" i="1" s="1"/>
  <c r="FF16" i="1"/>
  <c r="FG16" i="1" s="1"/>
  <c r="FF15" i="1"/>
  <c r="FG15" i="1" s="1"/>
  <c r="FF13" i="1"/>
  <c r="FG13" i="1" s="1"/>
  <c r="FF7" i="1"/>
  <c r="FG7" i="1" s="1"/>
  <c r="FF6" i="1"/>
  <c r="FG6" i="1" s="1"/>
  <c r="FF5" i="1"/>
  <c r="FG5" i="1" s="1"/>
  <c r="EL70" i="1"/>
  <c r="EM70" i="1" s="1"/>
  <c r="EL69" i="1"/>
  <c r="EL68" i="1"/>
  <c r="EM68" i="1" s="1"/>
  <c r="EL67" i="1"/>
  <c r="EL66" i="1"/>
  <c r="EM66" i="1" s="1"/>
  <c r="EL64" i="1"/>
  <c r="EM64" i="1" s="1"/>
  <c r="EL63" i="1"/>
  <c r="EM63" i="1" s="1"/>
  <c r="EL62" i="1"/>
  <c r="EM62" i="1" s="1"/>
  <c r="EL61" i="1"/>
  <c r="EL60" i="1"/>
  <c r="EM60" i="1" s="1"/>
  <c r="EL59" i="1"/>
  <c r="EM59" i="1" s="1"/>
  <c r="EL58" i="1"/>
  <c r="EM58" i="1" s="1"/>
  <c r="EL57" i="1"/>
  <c r="EM57" i="1" s="1"/>
  <c r="EL56" i="1"/>
  <c r="EL55" i="1"/>
  <c r="EM55" i="1" s="1"/>
  <c r="EL54" i="1"/>
  <c r="EM54" i="1" s="1"/>
  <c r="EL53" i="1"/>
  <c r="EL48" i="1"/>
  <c r="EM48" i="1" s="1"/>
  <c r="EL45" i="1"/>
  <c r="EM45" i="1" s="1"/>
  <c r="EL42" i="1"/>
  <c r="EM42" i="1" s="1"/>
  <c r="EL33" i="1"/>
  <c r="EM33" i="1" s="1"/>
  <c r="EL32" i="1"/>
  <c r="EM32" i="1" s="1"/>
  <c r="EL30" i="1"/>
  <c r="EM30" i="1" s="1"/>
  <c r="EL29" i="1"/>
  <c r="EM29" i="1" s="1"/>
  <c r="EL28" i="1"/>
  <c r="EM28" i="1" s="1"/>
  <c r="EL27" i="1"/>
  <c r="EM27" i="1" s="1"/>
  <c r="EL26" i="1"/>
  <c r="EM26" i="1" s="1"/>
  <c r="EL25" i="1"/>
  <c r="EM25" i="1" s="1"/>
  <c r="EL24" i="1"/>
  <c r="EM24" i="1" s="1"/>
  <c r="EL23" i="1"/>
  <c r="EM23" i="1" s="1"/>
  <c r="EL17" i="1"/>
  <c r="EM17" i="1" s="1"/>
  <c r="EL16" i="1"/>
  <c r="EM16" i="1" s="1"/>
  <c r="EL15" i="1"/>
  <c r="EM15" i="1" s="1"/>
  <c r="EL13" i="1"/>
  <c r="EM13" i="1" s="1"/>
  <c r="EL7" i="1"/>
  <c r="EM7" i="1" s="1"/>
  <c r="EL6" i="1"/>
  <c r="EM6" i="1" s="1"/>
  <c r="CK167" i="1"/>
  <c r="CJ167" i="1"/>
  <c r="CI167" i="1"/>
  <c r="CH167" i="1"/>
  <c r="CG167" i="1"/>
  <c r="CF167" i="1"/>
  <c r="CE167" i="1"/>
  <c r="CD167" i="1"/>
  <c r="CC167" i="1"/>
  <c r="CB167" i="1"/>
  <c r="CA167" i="1"/>
  <c r="BZ167" i="1"/>
  <c r="CL64" i="1"/>
  <c r="S62" i="22" s="1"/>
  <c r="CL63" i="1"/>
  <c r="S61" i="22" s="1"/>
  <c r="CL62" i="1"/>
  <c r="S60" i="22" s="1"/>
  <c r="CL61" i="1"/>
  <c r="S59" i="22" s="1"/>
  <c r="CL60" i="1"/>
  <c r="S58" i="22" s="1"/>
  <c r="CL59" i="1"/>
  <c r="S57" i="22" s="1"/>
  <c r="CL58" i="1"/>
  <c r="S56" i="22" s="1"/>
  <c r="CL57" i="1"/>
  <c r="S55" i="22" s="1"/>
  <c r="CL56" i="1"/>
  <c r="S54" i="22" s="1"/>
  <c r="CL55" i="1"/>
  <c r="S53" i="22" s="1"/>
  <c r="CL54" i="1"/>
  <c r="S52" i="22" s="1"/>
  <c r="CL53" i="1"/>
  <c r="S51" i="22" s="1"/>
  <c r="HV52" i="1"/>
  <c r="HU52" i="1"/>
  <c r="HL52" i="1"/>
  <c r="FD50" i="1"/>
  <c r="FE50" i="1" s="1"/>
  <c r="HS50" i="1"/>
  <c r="HN50" i="1"/>
  <c r="HL50" i="1"/>
  <c r="CL48" i="1"/>
  <c r="CL45" i="1"/>
  <c r="S43" i="22" s="1"/>
  <c r="HV39" i="1"/>
  <c r="HU39" i="1"/>
  <c r="HM38" i="1"/>
  <c r="HL38" i="1"/>
  <c r="HQ37" i="1"/>
  <c r="CD11" i="1"/>
  <c r="HL37" i="1"/>
  <c r="EL37" i="1"/>
  <c r="EM37" i="1" s="1"/>
  <c r="FD34" i="1"/>
  <c r="FE34" i="1" s="1"/>
  <c r="HL34" i="1"/>
  <c r="CL28" i="1"/>
  <c r="S27" i="22" s="1"/>
  <c r="CL27" i="1"/>
  <c r="S26" i="22" s="1"/>
  <c r="CL26" i="1"/>
  <c r="S25" i="22" s="1"/>
  <c r="CL25" i="1"/>
  <c r="S24" i="22" s="1"/>
  <c r="CL24" i="1"/>
  <c r="S23" i="22" s="1"/>
  <c r="CL23" i="1"/>
  <c r="S22" i="22" s="1"/>
  <c r="HV22" i="1"/>
  <c r="HU22" i="1"/>
  <c r="EZ22" i="1"/>
  <c r="FA22" i="1" s="1"/>
  <c r="EP22" i="1"/>
  <c r="EQ22" i="1" s="1"/>
  <c r="HT19" i="1"/>
  <c r="HM19" i="1"/>
  <c r="HL19" i="1"/>
  <c r="HL18" i="1"/>
  <c r="CL13" i="1"/>
  <c r="S12" i="22" s="1"/>
  <c r="CK11" i="1"/>
  <c r="N2" i="23" s="1"/>
  <c r="N4" i="23" s="1"/>
  <c r="N5" i="23" s="1"/>
  <c r="CJ11" i="1"/>
  <c r="CI11" i="1"/>
  <c r="CL7" i="1"/>
  <c r="S6" i="22" s="1"/>
  <c r="S5" i="22"/>
  <c r="EX5" i="1"/>
  <c r="EY5" i="1" s="1"/>
  <c r="EV5" i="1"/>
  <c r="EW5" i="1" s="1"/>
  <c r="ER5" i="1"/>
  <c r="ES5" i="1" s="1"/>
  <c r="EP5" i="1"/>
  <c r="EQ5" i="1" s="1"/>
  <c r="EN5" i="1"/>
  <c r="EO5" i="1" s="1"/>
  <c r="M2" i="23" l="1"/>
  <c r="M4" i="23" s="1"/>
  <c r="M5" i="23" s="1"/>
  <c r="CJ43" i="1"/>
  <c r="CJ20" i="1"/>
  <c r="CJ35" i="1"/>
  <c r="FI11" i="1"/>
  <c r="CI43" i="1"/>
  <c r="CI20" i="1"/>
  <c r="CI35" i="1"/>
  <c r="L2" i="23"/>
  <c r="L4" i="23" s="1"/>
  <c r="L5" i="23" s="1"/>
  <c r="FF11" i="1"/>
  <c r="FG11" i="1" s="1"/>
  <c r="CD35" i="1"/>
  <c r="CD43" i="1"/>
  <c r="CD20" i="1"/>
  <c r="G2" i="23"/>
  <c r="G4" i="23" s="1"/>
  <c r="G5" i="23" s="1"/>
  <c r="S46" i="22"/>
  <c r="S17" i="22"/>
  <c r="EZ18" i="1"/>
  <c r="FA18" i="1" s="1"/>
  <c r="HO11" i="1"/>
  <c r="HT11" i="1"/>
  <c r="HK18" i="1"/>
  <c r="EJ18" i="1"/>
  <c r="EK18" i="1" s="1"/>
  <c r="HO22" i="1"/>
  <c r="ER22" i="1"/>
  <c r="ES22" i="1" s="1"/>
  <c r="HM34" i="1"/>
  <c r="EN34" i="1"/>
  <c r="EO34" i="1" s="1"/>
  <c r="HQ34" i="1"/>
  <c r="EV34" i="1"/>
  <c r="EW34" i="1" s="1"/>
  <c r="HS37" i="1"/>
  <c r="EZ37" i="1"/>
  <c r="FA37" i="1" s="1"/>
  <c r="FB37" i="1"/>
  <c r="FC37" i="1" s="1"/>
  <c r="HM50" i="1"/>
  <c r="EN50" i="1"/>
  <c r="EO50" i="1" s="1"/>
  <c r="HO52" i="1"/>
  <c r="ER52" i="1"/>
  <c r="ES52" i="1" s="1"/>
  <c r="ET5" i="1"/>
  <c r="EU5" i="1" s="1"/>
  <c r="CJ4" i="1"/>
  <c r="FI4" i="1" s="1"/>
  <c r="HU11" i="1"/>
  <c r="HP18" i="1"/>
  <c r="ET18" i="1"/>
  <c r="EU18" i="1" s="1"/>
  <c r="HT18" i="1"/>
  <c r="FB18" i="1"/>
  <c r="FC18" i="1" s="1"/>
  <c r="HN19" i="1"/>
  <c r="EP19" i="1"/>
  <c r="EQ19" i="1" s="1"/>
  <c r="HR19" i="1"/>
  <c r="EX19" i="1"/>
  <c r="EY19" i="1" s="1"/>
  <c r="HL49" i="1"/>
  <c r="HL22" i="1"/>
  <c r="HP22" i="1"/>
  <c r="ET22" i="1"/>
  <c r="EU22" i="1" s="1"/>
  <c r="HT22" i="1"/>
  <c r="FB22" i="1"/>
  <c r="FC22" i="1" s="1"/>
  <c r="HN34" i="1"/>
  <c r="EP34" i="1"/>
  <c r="EQ34" i="1" s="1"/>
  <c r="HR34" i="1"/>
  <c r="EX34" i="1"/>
  <c r="EY34" i="1" s="1"/>
  <c r="HP37" i="1"/>
  <c r="ET37" i="1"/>
  <c r="EU37" i="1" s="1"/>
  <c r="EJ38" i="1"/>
  <c r="EK38" i="1" s="1"/>
  <c r="HK38" i="1"/>
  <c r="HO38" i="1"/>
  <c r="ER38" i="1"/>
  <c r="ES38" i="1" s="1"/>
  <c r="HT39" i="1"/>
  <c r="FB39" i="1"/>
  <c r="FC39" i="1" s="1"/>
  <c r="HR50" i="1"/>
  <c r="EX50" i="1"/>
  <c r="EY50" i="1" s="1"/>
  <c r="HP52" i="1"/>
  <c r="ET52" i="1"/>
  <c r="EU52" i="1" s="1"/>
  <c r="HT52" i="1"/>
  <c r="FB52" i="1"/>
  <c r="FC52" i="1" s="1"/>
  <c r="FF22" i="1"/>
  <c r="FG22" i="1" s="1"/>
  <c r="FD19" i="1"/>
  <c r="FE19" i="1" s="1"/>
  <c r="FB19" i="1"/>
  <c r="FC19" i="1" s="1"/>
  <c r="ER18" i="1"/>
  <c r="ES18" i="1" s="1"/>
  <c r="HO18" i="1"/>
  <c r="EL49" i="1"/>
  <c r="EM49" i="1" s="1"/>
  <c r="HK22" i="1"/>
  <c r="HK37" i="1"/>
  <c r="EJ37" i="1"/>
  <c r="EK37" i="1" s="1"/>
  <c r="HN38" i="1"/>
  <c r="EP38" i="1"/>
  <c r="EQ38" i="1" s="1"/>
  <c r="HQ50" i="1"/>
  <c r="EV50" i="1"/>
  <c r="EW50" i="1" s="1"/>
  <c r="HS52" i="1"/>
  <c r="EZ52" i="1"/>
  <c r="FA52" i="1" s="1"/>
  <c r="CK4" i="1"/>
  <c r="HV11" i="1"/>
  <c r="HM18" i="1"/>
  <c r="EN18" i="1"/>
  <c r="EO18" i="1" s="1"/>
  <c r="HQ18" i="1"/>
  <c r="EV18" i="1"/>
  <c r="EW18" i="1" s="1"/>
  <c r="EJ19" i="1"/>
  <c r="EK19" i="1" s="1"/>
  <c r="HK19" i="1"/>
  <c r="HO19" i="1"/>
  <c r="ER19" i="1"/>
  <c r="ES19" i="1" s="1"/>
  <c r="HS19" i="1"/>
  <c r="EZ19" i="1"/>
  <c r="FA19" i="1" s="1"/>
  <c r="HM22" i="1"/>
  <c r="EN22" i="1"/>
  <c r="EO22" i="1" s="1"/>
  <c r="HQ22" i="1"/>
  <c r="EV22" i="1"/>
  <c r="EW22" i="1" s="1"/>
  <c r="EJ34" i="1"/>
  <c r="EK34" i="1" s="1"/>
  <c r="HK34" i="1"/>
  <c r="HO34" i="1"/>
  <c r="ER34" i="1"/>
  <c r="ES34" i="1" s="1"/>
  <c r="HS34" i="1"/>
  <c r="EZ34" i="1"/>
  <c r="FA34" i="1" s="1"/>
  <c r="HM37" i="1"/>
  <c r="EN37" i="1"/>
  <c r="EO37" i="1" s="1"/>
  <c r="CE11" i="1"/>
  <c r="CE4" i="1" s="1"/>
  <c r="HP38" i="1"/>
  <c r="ET38" i="1"/>
  <c r="EU38" i="1" s="1"/>
  <c r="EJ50" i="1"/>
  <c r="EK50" i="1" s="1"/>
  <c r="HK50" i="1"/>
  <c r="HO50" i="1"/>
  <c r="ER50" i="1"/>
  <c r="ES50" i="1" s="1"/>
  <c r="HM52" i="1"/>
  <c r="EN52" i="1"/>
  <c r="EO52" i="1" s="1"/>
  <c r="HQ52" i="1"/>
  <c r="EV52" i="1"/>
  <c r="EW52" i="1" s="1"/>
  <c r="FF52" i="1"/>
  <c r="FG52" i="1" s="1"/>
  <c r="FD11" i="1"/>
  <c r="FE11" i="1" s="1"/>
  <c r="FD39" i="1"/>
  <c r="FE39" i="1" s="1"/>
  <c r="HS18" i="1"/>
  <c r="HQ19" i="1"/>
  <c r="EV19" i="1"/>
  <c r="EW19" i="1" s="1"/>
  <c r="HS22" i="1"/>
  <c r="HO37" i="1"/>
  <c r="ER37" i="1"/>
  <c r="ES37" i="1" s="1"/>
  <c r="HR38" i="1"/>
  <c r="EX38" i="1"/>
  <c r="EY38" i="1" s="1"/>
  <c r="EZ38" i="1"/>
  <c r="FA38" i="1" s="1"/>
  <c r="HK52" i="1"/>
  <c r="EN19" i="1"/>
  <c r="EO19" i="1" s="1"/>
  <c r="CG11" i="1"/>
  <c r="HN18" i="1"/>
  <c r="EP18" i="1"/>
  <c r="EQ18" i="1" s="1"/>
  <c r="HR18" i="1"/>
  <c r="EX18" i="1"/>
  <c r="EY18" i="1" s="1"/>
  <c r="ET19" i="1"/>
  <c r="EU19" i="1" s="1"/>
  <c r="HP19" i="1"/>
  <c r="HN22" i="1"/>
  <c r="HR22" i="1"/>
  <c r="EX22" i="1"/>
  <c r="EY22" i="1" s="1"/>
  <c r="HP34" i="1"/>
  <c r="ET34" i="1"/>
  <c r="EU34" i="1" s="1"/>
  <c r="HT34" i="1"/>
  <c r="FB34" i="1"/>
  <c r="FC34" i="1" s="1"/>
  <c r="HN37" i="1"/>
  <c r="EP37" i="1"/>
  <c r="EQ37" i="1" s="1"/>
  <c r="HR37" i="1"/>
  <c r="EX37" i="1"/>
  <c r="EY37" i="1" s="1"/>
  <c r="HQ38" i="1"/>
  <c r="EV38" i="1"/>
  <c r="EW38" i="1" s="1"/>
  <c r="HP50" i="1"/>
  <c r="ET50" i="1"/>
  <c r="EU50" i="1" s="1"/>
  <c r="HT50" i="1"/>
  <c r="FB50" i="1"/>
  <c r="FC50" i="1" s="1"/>
  <c r="HN52" i="1"/>
  <c r="EP52" i="1"/>
  <c r="EQ52" i="1" s="1"/>
  <c r="HR52" i="1"/>
  <c r="EX52" i="1"/>
  <c r="EY52" i="1" s="1"/>
  <c r="FD22" i="1"/>
  <c r="FE22" i="1" s="1"/>
  <c r="FD52" i="1"/>
  <c r="FE52" i="1" s="1"/>
  <c r="EP50" i="1"/>
  <c r="EQ50" i="1" s="1"/>
  <c r="EZ5" i="1"/>
  <c r="FA5" i="1" s="1"/>
  <c r="EZ50" i="1"/>
  <c r="FA50" i="1" s="1"/>
  <c r="EV37" i="1"/>
  <c r="EW37" i="1" s="1"/>
  <c r="CA11" i="1"/>
  <c r="CA43" i="1" s="1"/>
  <c r="EL38" i="1"/>
  <c r="EM38" i="1" s="1"/>
  <c r="EL18" i="1"/>
  <c r="EM18" i="1" s="1"/>
  <c r="EL52" i="1"/>
  <c r="EM52" i="1" s="1"/>
  <c r="EL34" i="1"/>
  <c r="EM34" i="1" s="1"/>
  <c r="EL50" i="1"/>
  <c r="EM50" i="1" s="1"/>
  <c r="EL19" i="1"/>
  <c r="EM19" i="1" s="1"/>
  <c r="EL22" i="1"/>
  <c r="EM22" i="1" s="1"/>
  <c r="CC11" i="1"/>
  <c r="CD4" i="1"/>
  <c r="CH11" i="1"/>
  <c r="CI4" i="1"/>
  <c r="CL50" i="1"/>
  <c r="S48" i="22" s="1"/>
  <c r="CL167" i="1"/>
  <c r="CB11" i="1"/>
  <c r="CF11" i="1"/>
  <c r="CL38" i="1"/>
  <c r="S36" i="22" s="1"/>
  <c r="CL52" i="1"/>
  <c r="S50" i="22" s="1"/>
  <c r="CL22" i="1"/>
  <c r="S21" i="22" s="1"/>
  <c r="CL37" i="1"/>
  <c r="S35" i="22" s="1"/>
  <c r="BU50" i="1"/>
  <c r="BU34" i="1"/>
  <c r="BU18" i="1"/>
  <c r="BU19" i="1"/>
  <c r="FI35" i="1" l="1"/>
  <c r="HU35" i="1"/>
  <c r="FF35" i="1"/>
  <c r="FG35" i="1" s="1"/>
  <c r="FI20" i="1"/>
  <c r="FF20" i="1"/>
  <c r="FG20" i="1" s="1"/>
  <c r="HU20" i="1"/>
  <c r="FI43" i="1"/>
  <c r="HU43" i="1"/>
  <c r="FF43" i="1"/>
  <c r="FG43" i="1" s="1"/>
  <c r="K2" i="23"/>
  <c r="K4" i="23" s="1"/>
  <c r="K5" i="23" s="1"/>
  <c r="CH43" i="1"/>
  <c r="CH20" i="1"/>
  <c r="CH35" i="1"/>
  <c r="CG43" i="1"/>
  <c r="CG20" i="1"/>
  <c r="CG35" i="1"/>
  <c r="J2" i="23"/>
  <c r="J4" i="23" s="1"/>
  <c r="J5" i="23" s="1"/>
  <c r="CF43" i="1"/>
  <c r="CF20" i="1"/>
  <c r="CF35" i="1"/>
  <c r="I2" i="23"/>
  <c r="I4" i="23" s="1"/>
  <c r="I5" i="23" s="1"/>
  <c r="CE43" i="1"/>
  <c r="CE20" i="1"/>
  <c r="CE35" i="1"/>
  <c r="H2" i="23"/>
  <c r="H4" i="23" s="1"/>
  <c r="H5" i="23" s="1"/>
  <c r="CC43" i="1"/>
  <c r="CC20" i="1"/>
  <c r="CC35" i="1"/>
  <c r="F2" i="23"/>
  <c r="F4" i="23" s="1"/>
  <c r="F5" i="23" s="1"/>
  <c r="ER11" i="1"/>
  <c r="ES11" i="1" s="1"/>
  <c r="CB43" i="1"/>
  <c r="CB20" i="1"/>
  <c r="CB35" i="1"/>
  <c r="E2" i="23"/>
  <c r="E4" i="23" s="1"/>
  <c r="E5" i="23" s="1"/>
  <c r="CL49" i="1"/>
  <c r="S47" i="22" s="1"/>
  <c r="CA4" i="1"/>
  <c r="CA20" i="1"/>
  <c r="CA35" i="1"/>
  <c r="D2" i="23"/>
  <c r="D4" i="23" s="1"/>
  <c r="D5" i="23" s="1"/>
  <c r="BZ43" i="1"/>
  <c r="BZ20" i="1"/>
  <c r="BZ35" i="1"/>
  <c r="C2" i="23"/>
  <c r="HT46" i="1"/>
  <c r="FB46" i="1"/>
  <c r="FC46" i="1" s="1"/>
  <c r="FD46" i="1"/>
  <c r="FE46" i="1" s="1"/>
  <c r="HT35" i="1"/>
  <c r="FD35" i="1"/>
  <c r="FE35" i="1" s="1"/>
  <c r="HR11" i="1"/>
  <c r="EX11" i="1"/>
  <c r="EY11" i="1" s="1"/>
  <c r="HT40" i="1"/>
  <c r="FB40" i="1"/>
  <c r="FC40" i="1" s="1"/>
  <c r="FD40" i="1"/>
  <c r="FE40" i="1" s="1"/>
  <c r="EJ46" i="1"/>
  <c r="EK46" i="1" s="1"/>
  <c r="HK46" i="1"/>
  <c r="HM11" i="1"/>
  <c r="EN11" i="1"/>
  <c r="EO11" i="1" s="1"/>
  <c r="HN39" i="1"/>
  <c r="EP39" i="1"/>
  <c r="EQ39" i="1" s="1"/>
  <c r="HL40" i="1"/>
  <c r="HL39" i="1"/>
  <c r="HR49" i="1"/>
  <c r="EX49" i="1"/>
  <c r="EY49" i="1" s="1"/>
  <c r="HP11" i="1"/>
  <c r="ET11" i="1"/>
  <c r="EU11" i="1" s="1"/>
  <c r="HS39" i="1"/>
  <c r="EZ39" i="1"/>
  <c r="FA39" i="1" s="1"/>
  <c r="HT43" i="1"/>
  <c r="FD43" i="1"/>
  <c r="FE43" i="1" s="1"/>
  <c r="FB43" i="1"/>
  <c r="FC43" i="1" s="1"/>
  <c r="EV39" i="1"/>
  <c r="EW39" i="1" s="1"/>
  <c r="HQ39" i="1"/>
  <c r="HS40" i="1"/>
  <c r="EV11" i="1"/>
  <c r="EW11" i="1" s="1"/>
  <c r="HQ11" i="1"/>
  <c r="HK11" i="1"/>
  <c r="HS11" i="1"/>
  <c r="EZ11" i="1"/>
  <c r="FA11" i="1" s="1"/>
  <c r="HN11" i="1"/>
  <c r="EP11" i="1"/>
  <c r="EQ11" i="1" s="1"/>
  <c r="HO39" i="1"/>
  <c r="ER39" i="1"/>
  <c r="ES39" i="1" s="1"/>
  <c r="HN49" i="1"/>
  <c r="EP49" i="1"/>
  <c r="EQ49" i="1" s="1"/>
  <c r="HM49" i="1"/>
  <c r="EN49" i="1"/>
  <c r="EO49" i="1" s="1"/>
  <c r="HP49" i="1"/>
  <c r="ET49" i="1"/>
  <c r="EU49" i="1" s="1"/>
  <c r="FB11" i="1"/>
  <c r="FC11" i="1" s="1"/>
  <c r="HO20" i="1"/>
  <c r="HR35" i="1"/>
  <c r="HP39" i="1"/>
  <c r="ET39" i="1"/>
  <c r="EU39" i="1" s="1"/>
  <c r="HL11" i="1"/>
  <c r="EJ49" i="1"/>
  <c r="EK49" i="1" s="1"/>
  <c r="HK49" i="1"/>
  <c r="HO43" i="1"/>
  <c r="CG4" i="1"/>
  <c r="HS46" i="1"/>
  <c r="EN39" i="1"/>
  <c r="EO39" i="1" s="1"/>
  <c r="HM39" i="1"/>
  <c r="HR39" i="1"/>
  <c r="EX39" i="1"/>
  <c r="EY39" i="1" s="1"/>
  <c r="HT20" i="1"/>
  <c r="FD20" i="1"/>
  <c r="FE20" i="1" s="1"/>
  <c r="HK39" i="1"/>
  <c r="HS49" i="1"/>
  <c r="EZ49" i="1"/>
  <c r="FA49" i="1" s="1"/>
  <c r="HQ49" i="1"/>
  <c r="EV49" i="1"/>
  <c r="EW49" i="1" s="1"/>
  <c r="HT49" i="1"/>
  <c r="FB49" i="1"/>
  <c r="FC49" i="1" s="1"/>
  <c r="FD49" i="1"/>
  <c r="FE49" i="1" s="1"/>
  <c r="HO49" i="1"/>
  <c r="ER49" i="1"/>
  <c r="ES49" i="1" s="1"/>
  <c r="HO35" i="1"/>
  <c r="EL11" i="1"/>
  <c r="EM11" i="1" s="1"/>
  <c r="CC4" i="1"/>
  <c r="EL39" i="1"/>
  <c r="EM39" i="1" s="1"/>
  <c r="CM11" i="1"/>
  <c r="CL11" i="1"/>
  <c r="EZ40" i="1"/>
  <c r="FA40" i="1" s="1"/>
  <c r="BZ4" i="1"/>
  <c r="CH4" i="1"/>
  <c r="CF4" i="1"/>
  <c r="CL39" i="1"/>
  <c r="CB4" i="1"/>
  <c r="FB20" i="1" l="1"/>
  <c r="FC20" i="1" s="1"/>
  <c r="CL4" i="1"/>
  <c r="CM20" i="1" s="1"/>
  <c r="ET35" i="1"/>
  <c r="EU35" i="1" s="1"/>
  <c r="HP35" i="1"/>
  <c r="ET20" i="1"/>
  <c r="EU20" i="1" s="1"/>
  <c r="ET43" i="1"/>
  <c r="EU43" i="1" s="1"/>
  <c r="HP20" i="1"/>
  <c r="HP43" i="1"/>
  <c r="ER35" i="1"/>
  <c r="ES35" i="1" s="1"/>
  <c r="ER20" i="1"/>
  <c r="ES20" i="1" s="1"/>
  <c r="HL35" i="1"/>
  <c r="HL43" i="1"/>
  <c r="HL20" i="1"/>
  <c r="HK20" i="1"/>
  <c r="CL46" i="1"/>
  <c r="S44" i="22" s="1"/>
  <c r="S37" i="22"/>
  <c r="S10" i="22"/>
  <c r="O2" i="23"/>
  <c r="EL20" i="1"/>
  <c r="EM20" i="1" s="1"/>
  <c r="HQ43" i="1"/>
  <c r="EV43" i="1"/>
  <c r="EW43" i="1" s="1"/>
  <c r="HN40" i="1"/>
  <c r="EP40" i="1"/>
  <c r="EQ40" i="1" s="1"/>
  <c r="HK35" i="1"/>
  <c r="HN43" i="1"/>
  <c r="EP43" i="1"/>
  <c r="EQ43" i="1" s="1"/>
  <c r="EX46" i="1"/>
  <c r="EY46" i="1" s="1"/>
  <c r="HR46" i="1"/>
  <c r="EZ46" i="1"/>
  <c r="FA46" i="1" s="1"/>
  <c r="HO46" i="1"/>
  <c r="ER46" i="1"/>
  <c r="ES46" i="1" s="1"/>
  <c r="HQ46" i="1"/>
  <c r="EV46" i="1"/>
  <c r="EW46" i="1" s="1"/>
  <c r="EL46" i="1"/>
  <c r="EM46" i="1" s="1"/>
  <c r="HL46" i="1"/>
  <c r="HR20" i="1"/>
  <c r="EX20" i="1"/>
  <c r="EY20" i="1" s="1"/>
  <c r="HM35" i="1"/>
  <c r="EN35" i="1"/>
  <c r="EO35" i="1" s="1"/>
  <c r="HP40" i="1"/>
  <c r="ET40" i="1"/>
  <c r="EU40" i="1" s="1"/>
  <c r="HN46" i="1"/>
  <c r="EP46" i="1"/>
  <c r="EQ46" i="1" s="1"/>
  <c r="HK43" i="1"/>
  <c r="HM20" i="1"/>
  <c r="EN20" i="1"/>
  <c r="EO20" i="1" s="1"/>
  <c r="EX40" i="1"/>
  <c r="EY40" i="1" s="1"/>
  <c r="HR40" i="1"/>
  <c r="HN20" i="1"/>
  <c r="EP20" i="1"/>
  <c r="EQ20" i="1" s="1"/>
  <c r="HP46" i="1"/>
  <c r="ET46" i="1"/>
  <c r="EU46" i="1" s="1"/>
  <c r="EV20" i="1"/>
  <c r="EW20" i="1" s="1"/>
  <c r="HQ20" i="1"/>
  <c r="HS35" i="1"/>
  <c r="EZ35" i="1"/>
  <c r="FA35" i="1" s="1"/>
  <c r="HS43" i="1"/>
  <c r="EZ43" i="1"/>
  <c r="FA43" i="1" s="1"/>
  <c r="HO40" i="1"/>
  <c r="ER40" i="1"/>
  <c r="ES40" i="1" s="1"/>
  <c r="HM43" i="1"/>
  <c r="EN43" i="1"/>
  <c r="EO43" i="1" s="1"/>
  <c r="HQ35" i="1"/>
  <c r="EV35" i="1"/>
  <c r="EW35" i="1" s="1"/>
  <c r="HQ40" i="1"/>
  <c r="EV40" i="1"/>
  <c r="EW40" i="1" s="1"/>
  <c r="HM40" i="1"/>
  <c r="EN40" i="1"/>
  <c r="EO40" i="1" s="1"/>
  <c r="HN35" i="1"/>
  <c r="EP35" i="1"/>
  <c r="EQ35" i="1" s="1"/>
  <c r="EL43" i="1"/>
  <c r="EM43" i="1" s="1"/>
  <c r="HM46" i="1"/>
  <c r="EN46" i="1"/>
  <c r="EO46" i="1" s="1"/>
  <c r="ER43" i="1"/>
  <c r="ES43" i="1" s="1"/>
  <c r="EX35" i="1"/>
  <c r="EY35" i="1" s="1"/>
  <c r="HS20" i="1"/>
  <c r="EZ20" i="1"/>
  <c r="FA20" i="1" s="1"/>
  <c r="HR43" i="1"/>
  <c r="EX43" i="1"/>
  <c r="EY43" i="1" s="1"/>
  <c r="FB35" i="1"/>
  <c r="FC35" i="1" s="1"/>
  <c r="EL35" i="1"/>
  <c r="EM35" i="1" s="1"/>
  <c r="HG56" i="1"/>
  <c r="CM69" i="1" l="1"/>
  <c r="CM15" i="1"/>
  <c r="CM53" i="1"/>
  <c r="CM61" i="1"/>
  <c r="CM6" i="1"/>
  <c r="CM57" i="1"/>
  <c r="CM17" i="1"/>
  <c r="CM63" i="1"/>
  <c r="CM27" i="1"/>
  <c r="CM52" i="1"/>
  <c r="CM70" i="1"/>
  <c r="CM54" i="1"/>
  <c r="CM25" i="1"/>
  <c r="CM28" i="1"/>
  <c r="CM66" i="1"/>
  <c r="CM58" i="1"/>
  <c r="CM26" i="1"/>
  <c r="CM50" i="1"/>
  <c r="CM68" i="1"/>
  <c r="CM32" i="1"/>
  <c r="CM56" i="1"/>
  <c r="CM16" i="1"/>
  <c r="CM24" i="1"/>
  <c r="CM45" i="1"/>
  <c r="CM38" i="1"/>
  <c r="CM7" i="1"/>
  <c r="CM67" i="1"/>
  <c r="CM30" i="1"/>
  <c r="CM55" i="1"/>
  <c r="CM37" i="1"/>
  <c r="CM60" i="1"/>
  <c r="CM33" i="1"/>
  <c r="CM62" i="1"/>
  <c r="CM48" i="1"/>
  <c r="CM29" i="1"/>
  <c r="CM13" i="1"/>
  <c r="CM59" i="1"/>
  <c r="CM23" i="1"/>
  <c r="CM42" i="1"/>
  <c r="CM64" i="1"/>
  <c r="CM19" i="1"/>
  <c r="CM22" i="1"/>
  <c r="CM18" i="1"/>
  <c r="CM34" i="1"/>
  <c r="CM39" i="1"/>
  <c r="CM43" i="1"/>
  <c r="CM35" i="1"/>
  <c r="BT52" i="1"/>
  <c r="BT50" i="1"/>
  <c r="BT39" i="1"/>
  <c r="BT34" i="1"/>
  <c r="BT22" i="1"/>
  <c r="BT19" i="1"/>
  <c r="BT18" i="1"/>
  <c r="CM46" i="1" l="1"/>
  <c r="CM49" i="1"/>
  <c r="BT46" i="1"/>
  <c r="BT49" i="1"/>
  <c r="BT40" i="1"/>
  <c r="BS5" i="1"/>
  <c r="BS38" i="1"/>
  <c r="BS37" i="1"/>
  <c r="HF56" i="1" l="1"/>
  <c r="BS52" i="1" l="1"/>
  <c r="BS50" i="1"/>
  <c r="BS39" i="1"/>
  <c r="BS34" i="1"/>
  <c r="BS22" i="1"/>
  <c r="BS19" i="1"/>
  <c r="BS18" i="1"/>
  <c r="BS49" i="1" l="1"/>
  <c r="BS46" i="1"/>
  <c r="BS40" i="1"/>
  <c r="BX55" i="1"/>
  <c r="P53" i="22" l="1"/>
  <c r="T53" i="22"/>
  <c r="U53" i="22" s="1"/>
  <c r="BR5" i="1"/>
  <c r="BR37" i="1"/>
  <c r="BR38" i="1"/>
  <c r="HE56" i="1" l="1"/>
  <c r="BR34" i="1" l="1"/>
  <c r="BR52" i="1"/>
  <c r="BR50" i="1"/>
  <c r="BR39" i="1"/>
  <c r="BR46" i="1" s="1"/>
  <c r="BR22" i="1"/>
  <c r="BR49" i="1" s="1"/>
  <c r="BR18" i="1"/>
  <c r="BR19" i="1" l="1"/>
  <c r="BR40" i="1"/>
  <c r="BQ5" i="1"/>
  <c r="BQ37" i="1"/>
  <c r="BQ38" i="1"/>
  <c r="HD56" i="1" l="1"/>
  <c r="DV55" i="1"/>
  <c r="DX55" i="1"/>
  <c r="DY55" i="1" s="1"/>
  <c r="DZ55" i="1"/>
  <c r="EB55" i="1"/>
  <c r="ED55" i="1"/>
  <c r="EE55" i="1" s="1"/>
  <c r="EF55" i="1"/>
  <c r="EG55" i="1" s="1"/>
  <c r="EH55" i="1"/>
  <c r="EI55" i="1" s="1"/>
  <c r="FO55" i="1"/>
  <c r="FP55" i="1"/>
  <c r="FQ55" i="1"/>
  <c r="FR55" i="1"/>
  <c r="FS55" i="1"/>
  <c r="FT55" i="1"/>
  <c r="FU55" i="1"/>
  <c r="FV55" i="1"/>
  <c r="FW55" i="1"/>
  <c r="FX55" i="1"/>
  <c r="FY55" i="1"/>
  <c r="FZ55" i="1"/>
  <c r="GA55" i="1"/>
  <c r="GB55" i="1"/>
  <c r="GC55" i="1"/>
  <c r="GD55" i="1"/>
  <c r="GE55" i="1"/>
  <c r="GF55" i="1"/>
  <c r="GG55" i="1"/>
  <c r="GH55" i="1"/>
  <c r="GI55" i="1"/>
  <c r="GJ55" i="1"/>
  <c r="GK55" i="1"/>
  <c r="GL55" i="1"/>
  <c r="GM55" i="1"/>
  <c r="GN55" i="1"/>
  <c r="GO55" i="1"/>
  <c r="GP55" i="1"/>
  <c r="GQ55" i="1"/>
  <c r="GR55" i="1"/>
  <c r="GS55" i="1"/>
  <c r="GT55" i="1"/>
  <c r="GU55" i="1"/>
  <c r="GV55" i="1"/>
  <c r="GW55" i="1"/>
  <c r="GX55" i="1"/>
  <c r="GY55" i="1"/>
  <c r="GZ55" i="1"/>
  <c r="HA55" i="1"/>
  <c r="HB55" i="1"/>
  <c r="HC55" i="1"/>
  <c r="HD55" i="1"/>
  <c r="HE55" i="1"/>
  <c r="HF55" i="1"/>
  <c r="HG55" i="1"/>
  <c r="HH55" i="1"/>
  <c r="HI55" i="1"/>
  <c r="HJ55" i="1"/>
  <c r="FJ55" i="1" l="1"/>
  <c r="FK55" i="1" s="1"/>
  <c r="BQ34" i="1"/>
  <c r="BQ52" i="1"/>
  <c r="BQ50" i="1"/>
  <c r="BQ39" i="1"/>
  <c r="BQ22" i="1"/>
  <c r="BQ49" i="1" s="1"/>
  <c r="BQ19" i="1"/>
  <c r="BQ18" i="1"/>
  <c r="BQ40" i="1" l="1"/>
  <c r="BQ46" i="1"/>
  <c r="BP5" i="1"/>
  <c r="BP38" i="1"/>
  <c r="BP37" i="1"/>
  <c r="BP50" i="1" l="1"/>
  <c r="BX56" i="1" l="1"/>
  <c r="CN56" i="1"/>
  <c r="CP56" i="1"/>
  <c r="CQ56" i="1" s="1"/>
  <c r="CR56" i="1"/>
  <c r="CS56" i="1" s="1"/>
  <c r="CT56" i="1"/>
  <c r="CU56" i="1" s="1"/>
  <c r="CV56" i="1"/>
  <c r="CW56" i="1" s="1"/>
  <c r="CX56" i="1"/>
  <c r="CZ56" i="1"/>
  <c r="DA56" i="1" s="1"/>
  <c r="DB56" i="1"/>
  <c r="DC56" i="1" s="1"/>
  <c r="DD56" i="1"/>
  <c r="DE56" i="1" s="1"/>
  <c r="DF56" i="1"/>
  <c r="DG56" i="1"/>
  <c r="DH56" i="1"/>
  <c r="DI56" i="1" s="1"/>
  <c r="DJ56" i="1"/>
  <c r="DL56" i="1"/>
  <c r="DM56" i="1"/>
  <c r="DN56" i="1"/>
  <c r="DO56" i="1" s="1"/>
  <c r="DP56" i="1"/>
  <c r="DQ56" i="1" s="1"/>
  <c r="DR56" i="1"/>
  <c r="DS56" i="1" s="1"/>
  <c r="DT56" i="1"/>
  <c r="DV56" i="1"/>
  <c r="DW56" i="1" s="1"/>
  <c r="DX56" i="1"/>
  <c r="DZ56" i="1"/>
  <c r="EB56" i="1"/>
  <c r="EC56" i="1" s="1"/>
  <c r="ED56" i="1"/>
  <c r="EF56" i="1"/>
  <c r="EG56" i="1" s="1"/>
  <c r="EH56" i="1"/>
  <c r="FJ56" i="1"/>
  <c r="FK56" i="1" s="1"/>
  <c r="T54" i="22" l="1"/>
  <c r="U54" i="22" s="1"/>
  <c r="P54" i="22"/>
  <c r="BP39" i="1"/>
  <c r="BP40" i="1" s="1"/>
  <c r="BP34" i="1"/>
  <c r="BP19" i="1"/>
  <c r="BP18" i="1"/>
  <c r="BP46" i="1" l="1"/>
  <c r="BO5" i="1" l="1"/>
  <c r="BO38" i="1"/>
  <c r="BO37" i="1"/>
  <c r="BO50" i="1" l="1"/>
  <c r="BO39" i="1"/>
  <c r="BO34" i="1"/>
  <c r="BO19" i="1"/>
  <c r="BO18" i="1"/>
  <c r="BO46" i="1" l="1"/>
  <c r="BO40" i="1"/>
  <c r="DR70" i="1"/>
  <c r="DS70" i="1" s="1"/>
  <c r="DR69" i="1"/>
  <c r="DS69" i="1" s="1"/>
  <c r="DR68" i="1"/>
  <c r="DS68" i="1" s="1"/>
  <c r="DR67" i="1"/>
  <c r="DS67" i="1" s="1"/>
  <c r="DR66" i="1"/>
  <c r="DS66" i="1" s="1"/>
  <c r="DR64" i="1"/>
  <c r="DS64" i="1" s="1"/>
  <c r="DR63" i="1"/>
  <c r="DS63" i="1" s="1"/>
  <c r="DR62" i="1"/>
  <c r="DS62" i="1" s="1"/>
  <c r="DR61" i="1"/>
  <c r="DS61" i="1" s="1"/>
  <c r="DR60" i="1"/>
  <c r="DS60" i="1" s="1"/>
  <c r="DR59" i="1"/>
  <c r="DS59" i="1" s="1"/>
  <c r="DR58" i="1"/>
  <c r="DS58" i="1" s="1"/>
  <c r="DR57" i="1"/>
  <c r="DS57" i="1" s="1"/>
  <c r="DR54" i="1"/>
  <c r="DS54" i="1" s="1"/>
  <c r="DR53" i="1"/>
  <c r="DS53" i="1" s="1"/>
  <c r="DR48" i="1"/>
  <c r="DS48" i="1" s="1"/>
  <c r="DR45" i="1"/>
  <c r="DS45" i="1" s="1"/>
  <c r="DR42" i="1"/>
  <c r="DS42" i="1" s="1"/>
  <c r="DR33" i="1"/>
  <c r="DS33" i="1" s="1"/>
  <c r="DR32" i="1"/>
  <c r="DS32" i="1" s="1"/>
  <c r="DR30" i="1"/>
  <c r="DS30" i="1" s="1"/>
  <c r="DR29" i="1"/>
  <c r="DS29" i="1" s="1"/>
  <c r="DR28" i="1"/>
  <c r="DS28" i="1" s="1"/>
  <c r="DR27" i="1"/>
  <c r="DS27" i="1" s="1"/>
  <c r="DR26" i="1"/>
  <c r="DS26" i="1" s="1"/>
  <c r="DR25" i="1"/>
  <c r="DS25" i="1" s="1"/>
  <c r="DR24" i="1"/>
  <c r="DS24" i="1" s="1"/>
  <c r="DR23" i="1"/>
  <c r="DS23" i="1" s="1"/>
  <c r="DR17" i="1"/>
  <c r="DS17" i="1" s="1"/>
  <c r="DR16" i="1"/>
  <c r="DS16" i="1" s="1"/>
  <c r="DR15" i="1"/>
  <c r="DS15" i="1" s="1"/>
  <c r="DR13" i="1"/>
  <c r="DS13" i="1" s="1"/>
  <c r="DR7" i="1"/>
  <c r="DS7" i="1" s="1"/>
  <c r="DR6" i="1"/>
  <c r="DS6" i="1" s="1"/>
  <c r="BN5" i="1" l="1"/>
  <c r="DR5" i="1" s="1"/>
  <c r="DS5" i="1" s="1"/>
  <c r="BN38" i="1"/>
  <c r="DR38" i="1" s="1"/>
  <c r="DS38" i="1" s="1"/>
  <c r="BN37" i="1"/>
  <c r="DR37" i="1" s="1"/>
  <c r="DS37" i="1" s="1"/>
  <c r="BN34" i="1" l="1"/>
  <c r="DR34" i="1" s="1"/>
  <c r="DS34" i="1" s="1"/>
  <c r="BN19" i="1"/>
  <c r="BN52" i="1"/>
  <c r="BN50" i="1"/>
  <c r="DR50" i="1" s="1"/>
  <c r="DS50" i="1" s="1"/>
  <c r="BN22" i="1"/>
  <c r="BN49" i="1" s="1"/>
  <c r="BN18" i="1"/>
  <c r="DR18" i="1" l="1"/>
  <c r="DS18" i="1" s="1"/>
  <c r="DR19" i="1"/>
  <c r="DS19" i="1" s="1"/>
  <c r="BN39" i="1"/>
  <c r="DR39" i="1" s="1"/>
  <c r="DS39" i="1" s="1"/>
  <c r="BM5" i="1"/>
  <c r="BL5" i="1"/>
  <c r="BM38" i="1"/>
  <c r="BM37" i="1"/>
  <c r="BN46" i="1" l="1"/>
  <c r="DR46" i="1" s="1"/>
  <c r="DS46" i="1" s="1"/>
  <c r="BN40" i="1"/>
  <c r="BM22" i="1"/>
  <c r="BM52" i="1"/>
  <c r="BM50" i="1"/>
  <c r="BM39" i="1"/>
  <c r="BM46" i="1" s="1"/>
  <c r="BM34" i="1"/>
  <c r="BM19" i="1"/>
  <c r="BM18" i="1"/>
  <c r="DR40" i="1" l="1"/>
  <c r="DS40" i="1" s="1"/>
  <c r="BM49" i="1"/>
  <c r="BM40" i="1"/>
  <c r="BL34" i="1"/>
  <c r="BL37" i="1" l="1"/>
  <c r="BL38" i="1"/>
  <c r="O68" i="22" l="1"/>
  <c r="T68" i="22" s="1"/>
  <c r="U68" i="22" s="1"/>
  <c r="O67" i="22"/>
  <c r="T67" i="22" s="1"/>
  <c r="U67" i="22" s="1"/>
  <c r="O66" i="22"/>
  <c r="T66" i="22" s="1"/>
  <c r="U66" i="22" s="1"/>
  <c r="O65" i="22"/>
  <c r="T65" i="22" s="1"/>
  <c r="U65" i="22" s="1"/>
  <c r="O64" i="22"/>
  <c r="T64" i="22" s="1"/>
  <c r="U64" i="22" s="1"/>
  <c r="O63" i="22"/>
  <c r="T63" i="22" s="1"/>
  <c r="U63" i="22" s="1"/>
  <c r="T49" i="22"/>
  <c r="U49" i="22" s="1"/>
  <c r="T42" i="22"/>
  <c r="T41" i="22"/>
  <c r="T40" i="22"/>
  <c r="T39" i="22"/>
  <c r="T34" i="22"/>
  <c r="T33" i="22"/>
  <c r="T32" i="22"/>
  <c r="T31" i="22"/>
  <c r="T30" i="22"/>
  <c r="T29" i="22"/>
  <c r="T28" i="22"/>
  <c r="T20" i="22"/>
  <c r="T19" i="22"/>
  <c r="T18" i="22"/>
  <c r="T16" i="22"/>
  <c r="T15" i="22"/>
  <c r="T14" i="22"/>
  <c r="T13" i="22"/>
  <c r="T11" i="22"/>
  <c r="T9" i="22"/>
  <c r="T8" i="22"/>
  <c r="BL11" i="1"/>
  <c r="E8" i="23"/>
  <c r="F8" i="23"/>
  <c r="G8" i="23"/>
  <c r="H8" i="23"/>
  <c r="I8" i="23"/>
  <c r="J8" i="23"/>
  <c r="K8" i="23"/>
  <c r="L8" i="23"/>
  <c r="M8" i="23"/>
  <c r="N8" i="23"/>
  <c r="D8" i="23"/>
  <c r="C8" i="23"/>
  <c r="V13" i="22" l="1"/>
  <c r="U13" i="22"/>
  <c r="V18" i="22"/>
  <c r="U18" i="22"/>
  <c r="V29" i="22"/>
  <c r="U29" i="22"/>
  <c r="V33" i="22"/>
  <c r="U33" i="22"/>
  <c r="V41" i="22"/>
  <c r="U41" i="22"/>
  <c r="U8" i="22"/>
  <c r="V8" i="22"/>
  <c r="V14" i="22"/>
  <c r="U14" i="22"/>
  <c r="U19" i="22"/>
  <c r="V19" i="22"/>
  <c r="U30" i="22"/>
  <c r="V30" i="22"/>
  <c r="U34" i="22"/>
  <c r="V34" i="22"/>
  <c r="U42" i="22"/>
  <c r="V42" i="22"/>
  <c r="U9" i="22"/>
  <c r="V9" i="22"/>
  <c r="V15" i="22"/>
  <c r="U15" i="22"/>
  <c r="V20" i="22"/>
  <c r="U20" i="22"/>
  <c r="V31" i="22"/>
  <c r="U31" i="22"/>
  <c r="U39" i="22"/>
  <c r="V39" i="22"/>
  <c r="V11" i="22"/>
  <c r="U11" i="22"/>
  <c r="V16" i="22"/>
  <c r="U16" i="22"/>
  <c r="V28" i="22"/>
  <c r="U28" i="22"/>
  <c r="V32" i="22"/>
  <c r="U32" i="22"/>
  <c r="V40" i="22"/>
  <c r="U40" i="22"/>
  <c r="C7" i="23"/>
  <c r="C9" i="23" s="1"/>
  <c r="BI5" i="1"/>
  <c r="BI38" i="1"/>
  <c r="BI37" i="1"/>
  <c r="C10" i="23" l="1"/>
  <c r="BG44" i="1"/>
  <c r="AG49" i="1" l="1"/>
  <c r="AF49" i="1"/>
  <c r="AE49" i="1"/>
  <c r="AD49" i="1"/>
  <c r="AC49" i="1"/>
  <c r="AB49" i="1"/>
  <c r="AA49" i="1"/>
  <c r="Z49" i="1"/>
  <c r="AU34" i="1" l="1"/>
  <c r="AT34" i="1"/>
  <c r="AS34" i="1"/>
  <c r="AR34" i="1"/>
  <c r="AQ34" i="1"/>
  <c r="AP34" i="1"/>
  <c r="AO34" i="1"/>
  <c r="AN34" i="1"/>
  <c r="AM34" i="1"/>
  <c r="AL34" i="1"/>
  <c r="AK34" i="1"/>
  <c r="AJ34" i="1"/>
  <c r="AW31" i="1" l="1"/>
  <c r="BI167" i="1"/>
  <c r="BI52" i="1"/>
  <c r="BI50" i="1"/>
  <c r="BI39" i="1"/>
  <c r="BI34" i="1"/>
  <c r="BI22" i="1"/>
  <c r="BI49" i="1" s="1"/>
  <c r="BI19" i="1"/>
  <c r="BI18" i="1"/>
  <c r="BI46" i="1" l="1"/>
  <c r="BI40" i="1"/>
  <c r="BE34" i="1"/>
  <c r="BD34" i="1"/>
  <c r="BC34" i="1"/>
  <c r="BB34" i="1"/>
  <c r="BA34" i="1"/>
  <c r="AZ34" i="1"/>
  <c r="AY34" i="1"/>
  <c r="AX34" i="1"/>
  <c r="BF34" i="1"/>
  <c r="BH5" i="1" l="1"/>
  <c r="BH38" i="1"/>
  <c r="BH37" i="1"/>
  <c r="A61" i="22" l="1"/>
  <c r="A62" i="22"/>
  <c r="A56" i="22"/>
  <c r="A57" i="22"/>
  <c r="A58" i="22"/>
  <c r="A59" i="22"/>
  <c r="A60" i="22"/>
  <c r="A52" i="22"/>
  <c r="A55" i="22"/>
  <c r="A51" i="22"/>
  <c r="A50" i="22"/>
  <c r="A48" i="22"/>
  <c r="A46" i="22"/>
  <c r="A47" i="22"/>
  <c r="A45" i="22"/>
  <c r="A44" i="22"/>
  <c r="A43" i="22"/>
  <c r="A38" i="22"/>
  <c r="A35" i="22"/>
  <c r="A36" i="22"/>
  <c r="A37" i="22"/>
  <c r="A27" i="22"/>
  <c r="A23" i="22"/>
  <c r="A24" i="22"/>
  <c r="A25" i="22"/>
  <c r="A26" i="22"/>
  <c r="A22" i="22"/>
  <c r="A21" i="22"/>
  <c r="A18" i="22"/>
  <c r="A17" i="22"/>
  <c r="A12" i="22"/>
  <c r="A10" i="22"/>
  <c r="A6" i="22"/>
  <c r="A5" i="22"/>
  <c r="A4" i="22"/>
  <c r="FJ33" i="1" l="1"/>
  <c r="FK33" i="1" s="1"/>
  <c r="DJ33" i="1"/>
  <c r="DK33" i="1" s="1"/>
  <c r="DL33" i="1"/>
  <c r="DM33" i="1" s="1"/>
  <c r="DN33" i="1"/>
  <c r="DO33" i="1" s="1"/>
  <c r="DP33" i="1"/>
  <c r="DQ33" i="1" s="1"/>
  <c r="DT33" i="1"/>
  <c r="DU33" i="1" s="1"/>
  <c r="DV33" i="1"/>
  <c r="DW33" i="1" s="1"/>
  <c r="DX33" i="1"/>
  <c r="DY33" i="1" s="1"/>
  <c r="DZ33" i="1"/>
  <c r="EA33" i="1" s="1"/>
  <c r="EB33" i="1"/>
  <c r="EC33" i="1" s="1"/>
  <c r="ED33" i="1"/>
  <c r="EE33" i="1" s="1"/>
  <c r="EF33" i="1"/>
  <c r="EG33" i="1" s="1"/>
  <c r="EH33" i="1"/>
  <c r="EI33" i="1" s="1"/>
  <c r="DH33" i="1"/>
  <c r="DI33" i="1" s="1"/>
  <c r="GL33" i="1"/>
  <c r="GM33" i="1"/>
  <c r="GN33" i="1"/>
  <c r="GO33" i="1"/>
  <c r="GP33" i="1"/>
  <c r="GQ33" i="1"/>
  <c r="GR33" i="1"/>
  <c r="GS33" i="1"/>
  <c r="GT33" i="1"/>
  <c r="GU33" i="1"/>
  <c r="GV33" i="1"/>
  <c r="GW33" i="1"/>
  <c r="GX33" i="1"/>
  <c r="GY33" i="1"/>
  <c r="GZ33" i="1"/>
  <c r="HA33" i="1"/>
  <c r="HB33" i="1"/>
  <c r="HC33" i="1"/>
  <c r="HD33" i="1"/>
  <c r="HE33" i="1"/>
  <c r="HF33" i="1"/>
  <c r="HG33" i="1"/>
  <c r="HH33" i="1"/>
  <c r="HI33" i="1"/>
  <c r="HJ33" i="1"/>
  <c r="FO33" i="1"/>
  <c r="BG34" i="1" l="1"/>
  <c r="BH34" i="1"/>
  <c r="AH49" i="1"/>
  <c r="BH167" i="1"/>
  <c r="BH52" i="1"/>
  <c r="BH50" i="1"/>
  <c r="BH39" i="1"/>
  <c r="BH22" i="1"/>
  <c r="BH49" i="1" s="1"/>
  <c r="BH19" i="1"/>
  <c r="BH18" i="1"/>
  <c r="BG5" i="1"/>
  <c r="BG38" i="1"/>
  <c r="BG37" i="1"/>
  <c r="BG167" i="1"/>
  <c r="BG52" i="1"/>
  <c r="BG50" i="1"/>
  <c r="BG22" i="1"/>
  <c r="BG19" i="1"/>
  <c r="BG18" i="1"/>
  <c r="BU11" i="1"/>
  <c r="BV11" i="1"/>
  <c r="BW11" i="1"/>
  <c r="HI18" i="1"/>
  <c r="HH19" i="1"/>
  <c r="HJ19" i="1"/>
  <c r="BU22" i="1"/>
  <c r="HI22" i="1"/>
  <c r="EJ22" i="1"/>
  <c r="EK22" i="1" s="1"/>
  <c r="HJ34" i="1"/>
  <c r="BU39" i="1"/>
  <c r="HI39" i="1"/>
  <c r="EJ39" i="1"/>
  <c r="EK39" i="1" s="1"/>
  <c r="HI40" i="1"/>
  <c r="HI46" i="1"/>
  <c r="HJ50" i="1"/>
  <c r="BU52" i="1"/>
  <c r="HI52" i="1"/>
  <c r="EJ52" i="1"/>
  <c r="EK52" i="1" s="1"/>
  <c r="BU167" i="1"/>
  <c r="BV167" i="1"/>
  <c r="BW167" i="1"/>
  <c r="HJ70" i="1"/>
  <c r="HJ69" i="1"/>
  <c r="HJ68" i="1"/>
  <c r="HJ67" i="1"/>
  <c r="HJ66" i="1"/>
  <c r="HJ64" i="1"/>
  <c r="HJ63" i="1"/>
  <c r="HJ62" i="1"/>
  <c r="HJ61" i="1"/>
  <c r="HJ60" i="1"/>
  <c r="HJ59" i="1"/>
  <c r="HJ58" i="1"/>
  <c r="HJ57" i="1"/>
  <c r="HJ54" i="1"/>
  <c r="HJ53" i="1"/>
  <c r="HJ49" i="1"/>
  <c r="HJ48" i="1"/>
  <c r="HJ45" i="1"/>
  <c r="HJ42" i="1"/>
  <c r="HJ38" i="1"/>
  <c r="HJ37" i="1"/>
  <c r="HJ32" i="1"/>
  <c r="HJ30" i="1"/>
  <c r="HJ29" i="1"/>
  <c r="HJ28" i="1"/>
  <c r="HJ27" i="1"/>
  <c r="HJ26" i="1"/>
  <c r="HJ25" i="1"/>
  <c r="HJ24" i="1"/>
  <c r="HJ23" i="1"/>
  <c r="HJ18" i="1"/>
  <c r="HJ17" i="1"/>
  <c r="HJ16" i="1"/>
  <c r="HJ15" i="1"/>
  <c r="HJ13" i="1"/>
  <c r="HJ10" i="1"/>
  <c r="HI70" i="1"/>
  <c r="HH70" i="1"/>
  <c r="HG70" i="1"/>
  <c r="HF70" i="1"/>
  <c r="HE70" i="1"/>
  <c r="HD70" i="1"/>
  <c r="HC70" i="1"/>
  <c r="HB70" i="1"/>
  <c r="HA70" i="1"/>
  <c r="GZ70" i="1"/>
  <c r="HI69" i="1"/>
  <c r="HH69" i="1"/>
  <c r="HG69" i="1"/>
  <c r="HF69" i="1"/>
  <c r="HE69" i="1"/>
  <c r="HD69" i="1"/>
  <c r="HC69" i="1"/>
  <c r="HB69" i="1"/>
  <c r="HA69" i="1"/>
  <c r="GZ69" i="1"/>
  <c r="HI68" i="1"/>
  <c r="HH68" i="1"/>
  <c r="HG68" i="1"/>
  <c r="HF68" i="1"/>
  <c r="HE68" i="1"/>
  <c r="HD68" i="1"/>
  <c r="HC68" i="1"/>
  <c r="HB68" i="1"/>
  <c r="HA68" i="1"/>
  <c r="GZ68" i="1"/>
  <c r="HI67" i="1"/>
  <c r="HH67" i="1"/>
  <c r="HG67" i="1"/>
  <c r="HF67" i="1"/>
  <c r="HE67" i="1"/>
  <c r="HD67" i="1"/>
  <c r="HC67" i="1"/>
  <c r="HB67" i="1"/>
  <c r="HA67" i="1"/>
  <c r="GZ67" i="1"/>
  <c r="HI66" i="1"/>
  <c r="HH66" i="1"/>
  <c r="HG66" i="1"/>
  <c r="HF66" i="1"/>
  <c r="HE66" i="1"/>
  <c r="HD66" i="1"/>
  <c r="HC66" i="1"/>
  <c r="HB66" i="1"/>
  <c r="HA66" i="1"/>
  <c r="GZ66" i="1"/>
  <c r="HI64" i="1"/>
  <c r="HH64" i="1"/>
  <c r="HG64" i="1"/>
  <c r="HF64" i="1"/>
  <c r="HE64" i="1"/>
  <c r="HD64" i="1"/>
  <c r="HC64" i="1"/>
  <c r="HB64" i="1"/>
  <c r="HA64" i="1"/>
  <c r="GZ64" i="1"/>
  <c r="HI63" i="1"/>
  <c r="HH63" i="1"/>
  <c r="HG63" i="1"/>
  <c r="HF63" i="1"/>
  <c r="HE63" i="1"/>
  <c r="HD63" i="1"/>
  <c r="HC63" i="1"/>
  <c r="HB63" i="1"/>
  <c r="HA63" i="1"/>
  <c r="GZ63" i="1"/>
  <c r="HI62" i="1"/>
  <c r="HH62" i="1"/>
  <c r="HG62" i="1"/>
  <c r="HF62" i="1"/>
  <c r="HE62" i="1"/>
  <c r="HD62" i="1"/>
  <c r="HC62" i="1"/>
  <c r="HB62" i="1"/>
  <c r="HA62" i="1"/>
  <c r="GZ62" i="1"/>
  <c r="HI61" i="1"/>
  <c r="HH61" i="1"/>
  <c r="HG61" i="1"/>
  <c r="HF61" i="1"/>
  <c r="HE61" i="1"/>
  <c r="HD61" i="1"/>
  <c r="HC61" i="1"/>
  <c r="HB61" i="1"/>
  <c r="HA61" i="1"/>
  <c r="GZ61" i="1"/>
  <c r="HI60" i="1"/>
  <c r="HH60" i="1"/>
  <c r="HG60" i="1"/>
  <c r="HF60" i="1"/>
  <c r="HE60" i="1"/>
  <c r="HD60" i="1"/>
  <c r="HC60" i="1"/>
  <c r="HB60" i="1"/>
  <c r="HA60" i="1"/>
  <c r="GZ60" i="1"/>
  <c r="HI59" i="1"/>
  <c r="HH59" i="1"/>
  <c r="HG59" i="1"/>
  <c r="HF59" i="1"/>
  <c r="HE59" i="1"/>
  <c r="HD59" i="1"/>
  <c r="HC59" i="1"/>
  <c r="HB59" i="1"/>
  <c r="HA59" i="1"/>
  <c r="GZ59" i="1"/>
  <c r="HI58" i="1"/>
  <c r="HH58" i="1"/>
  <c r="HG58" i="1"/>
  <c r="HF58" i="1"/>
  <c r="HE58" i="1"/>
  <c r="HD58" i="1"/>
  <c r="HC58" i="1"/>
  <c r="HB58" i="1"/>
  <c r="HA58" i="1"/>
  <c r="GZ58" i="1"/>
  <c r="HI57" i="1"/>
  <c r="HH57" i="1"/>
  <c r="HG57" i="1"/>
  <c r="HF57" i="1"/>
  <c r="HE57" i="1"/>
  <c r="HD57" i="1"/>
  <c r="HC57" i="1"/>
  <c r="HB57" i="1"/>
  <c r="HA57" i="1"/>
  <c r="GZ57" i="1"/>
  <c r="HI54" i="1"/>
  <c r="HH54" i="1"/>
  <c r="HG54" i="1"/>
  <c r="HF54" i="1"/>
  <c r="HE54" i="1"/>
  <c r="HD54" i="1"/>
  <c r="HC54" i="1"/>
  <c r="HB54" i="1"/>
  <c r="HA54" i="1"/>
  <c r="GZ54" i="1"/>
  <c r="HI53" i="1"/>
  <c r="HH53" i="1"/>
  <c r="HG53" i="1"/>
  <c r="HF53" i="1"/>
  <c r="HE53" i="1"/>
  <c r="HD53" i="1"/>
  <c r="HC53" i="1"/>
  <c r="HB53" i="1"/>
  <c r="HA53" i="1"/>
  <c r="GZ53" i="1"/>
  <c r="HI50" i="1"/>
  <c r="HH50" i="1"/>
  <c r="HI49" i="1"/>
  <c r="HI48" i="1"/>
  <c r="HH48" i="1"/>
  <c r="HG48" i="1"/>
  <c r="HF48" i="1"/>
  <c r="HE48" i="1"/>
  <c r="HD48" i="1"/>
  <c r="HC48" i="1"/>
  <c r="HB48" i="1"/>
  <c r="HA48" i="1"/>
  <c r="GZ48" i="1"/>
  <c r="HI45" i="1"/>
  <c r="HH45" i="1"/>
  <c r="HG45" i="1"/>
  <c r="HF45" i="1"/>
  <c r="HE45" i="1"/>
  <c r="HD45" i="1"/>
  <c r="HC45" i="1"/>
  <c r="HB45" i="1"/>
  <c r="HA45" i="1"/>
  <c r="GZ45" i="1"/>
  <c r="HI42" i="1"/>
  <c r="HH42" i="1"/>
  <c r="HG42" i="1"/>
  <c r="HF42" i="1"/>
  <c r="HE42" i="1"/>
  <c r="HD42" i="1"/>
  <c r="HC42" i="1"/>
  <c r="HB42" i="1"/>
  <c r="HA42" i="1"/>
  <c r="GZ42" i="1"/>
  <c r="HI38" i="1"/>
  <c r="HH38" i="1"/>
  <c r="HG38" i="1"/>
  <c r="HF38" i="1"/>
  <c r="HE38" i="1"/>
  <c r="HD38" i="1"/>
  <c r="HC38" i="1"/>
  <c r="HB38" i="1"/>
  <c r="HA38" i="1"/>
  <c r="GZ38" i="1"/>
  <c r="HI37" i="1"/>
  <c r="HH37" i="1"/>
  <c r="HG37" i="1"/>
  <c r="HF37" i="1"/>
  <c r="HE37" i="1"/>
  <c r="HD37" i="1"/>
  <c r="HC37" i="1"/>
  <c r="HB37" i="1"/>
  <c r="HA37" i="1"/>
  <c r="GZ37" i="1"/>
  <c r="HI34" i="1"/>
  <c r="HH34" i="1"/>
  <c r="HI32" i="1"/>
  <c r="HH32" i="1"/>
  <c r="HG32" i="1"/>
  <c r="HF32" i="1"/>
  <c r="HE32" i="1"/>
  <c r="HD32" i="1"/>
  <c r="HC32" i="1"/>
  <c r="HB32" i="1"/>
  <c r="HA32" i="1"/>
  <c r="GZ32" i="1"/>
  <c r="HI30" i="1"/>
  <c r="HH30" i="1"/>
  <c r="HG30" i="1"/>
  <c r="HF30" i="1"/>
  <c r="HE30" i="1"/>
  <c r="HD30" i="1"/>
  <c r="HC30" i="1"/>
  <c r="HB30" i="1"/>
  <c r="HA30" i="1"/>
  <c r="GZ30" i="1"/>
  <c r="HI29" i="1"/>
  <c r="HH29" i="1"/>
  <c r="HG29" i="1"/>
  <c r="HF29" i="1"/>
  <c r="HE29" i="1"/>
  <c r="HD29" i="1"/>
  <c r="HC29" i="1"/>
  <c r="HB29" i="1"/>
  <c r="HA29" i="1"/>
  <c r="GZ29" i="1"/>
  <c r="HI28" i="1"/>
  <c r="HH28" i="1"/>
  <c r="HG28" i="1"/>
  <c r="HF28" i="1"/>
  <c r="HE28" i="1"/>
  <c r="HD28" i="1"/>
  <c r="HC28" i="1"/>
  <c r="HB28" i="1"/>
  <c r="HA28" i="1"/>
  <c r="GZ28" i="1"/>
  <c r="HI27" i="1"/>
  <c r="HH27" i="1"/>
  <c r="HG27" i="1"/>
  <c r="HF27" i="1"/>
  <c r="HE27" i="1"/>
  <c r="HD27" i="1"/>
  <c r="HC27" i="1"/>
  <c r="HB27" i="1"/>
  <c r="HA27" i="1"/>
  <c r="GZ27" i="1"/>
  <c r="HI26" i="1"/>
  <c r="HH26" i="1"/>
  <c r="HG26" i="1"/>
  <c r="HF26" i="1"/>
  <c r="HE26" i="1"/>
  <c r="HD26" i="1"/>
  <c r="HC26" i="1"/>
  <c r="HB26" i="1"/>
  <c r="HA26" i="1"/>
  <c r="GZ26" i="1"/>
  <c r="HI25" i="1"/>
  <c r="HH25" i="1"/>
  <c r="HG25" i="1"/>
  <c r="HF25" i="1"/>
  <c r="HE25" i="1"/>
  <c r="HD25" i="1"/>
  <c r="HC25" i="1"/>
  <c r="HB25" i="1"/>
  <c r="HA25" i="1"/>
  <c r="GZ25" i="1"/>
  <c r="HI24" i="1"/>
  <c r="HH24" i="1"/>
  <c r="HG24" i="1"/>
  <c r="HF24" i="1"/>
  <c r="HE24" i="1"/>
  <c r="HD24" i="1"/>
  <c r="HC24" i="1"/>
  <c r="HB24" i="1"/>
  <c r="HA24" i="1"/>
  <c r="GZ24" i="1"/>
  <c r="HI23" i="1"/>
  <c r="HH23" i="1"/>
  <c r="HG23" i="1"/>
  <c r="HF23" i="1"/>
  <c r="HE23" i="1"/>
  <c r="HD23" i="1"/>
  <c r="HC23" i="1"/>
  <c r="HB23" i="1"/>
  <c r="HA23" i="1"/>
  <c r="GZ23" i="1"/>
  <c r="HI19" i="1"/>
  <c r="HI17" i="1"/>
  <c r="HH17" i="1"/>
  <c r="HG17" i="1"/>
  <c r="HF17" i="1"/>
  <c r="HE17" i="1"/>
  <c r="HD17" i="1"/>
  <c r="HC17" i="1"/>
  <c r="HB17" i="1"/>
  <c r="HA17" i="1"/>
  <c r="GZ17" i="1"/>
  <c r="HI16" i="1"/>
  <c r="HH16" i="1"/>
  <c r="HG16" i="1"/>
  <c r="HF16" i="1"/>
  <c r="HE16" i="1"/>
  <c r="HD16" i="1"/>
  <c r="HC16" i="1"/>
  <c r="HB16" i="1"/>
  <c r="HA16" i="1"/>
  <c r="GZ16" i="1"/>
  <c r="HI15" i="1"/>
  <c r="HH15" i="1"/>
  <c r="HG15" i="1"/>
  <c r="HF15" i="1"/>
  <c r="HE15" i="1"/>
  <c r="HD15" i="1"/>
  <c r="HC15" i="1"/>
  <c r="HB15" i="1"/>
  <c r="HA15" i="1"/>
  <c r="GZ15" i="1"/>
  <c r="HI13" i="1"/>
  <c r="HH13" i="1"/>
  <c r="HG13" i="1"/>
  <c r="HF13" i="1"/>
  <c r="HE13" i="1"/>
  <c r="HD13" i="1"/>
  <c r="HC13" i="1"/>
  <c r="HB13" i="1"/>
  <c r="HA13" i="1"/>
  <c r="GZ13" i="1"/>
  <c r="HI10" i="1"/>
  <c r="HH10" i="1"/>
  <c r="HG10" i="1"/>
  <c r="HF10" i="1"/>
  <c r="HE10" i="1"/>
  <c r="HD10" i="1"/>
  <c r="HC10" i="1"/>
  <c r="HB10" i="1"/>
  <c r="HA10" i="1"/>
  <c r="GZ10" i="1"/>
  <c r="GY70" i="1"/>
  <c r="GY69" i="1"/>
  <c r="GY68" i="1"/>
  <c r="GY67" i="1"/>
  <c r="GY66" i="1"/>
  <c r="GY64" i="1"/>
  <c r="GY63" i="1"/>
  <c r="GY62" i="1"/>
  <c r="GY61" i="1"/>
  <c r="GY60" i="1"/>
  <c r="GY59" i="1"/>
  <c r="GY58" i="1"/>
  <c r="GY57" i="1"/>
  <c r="GY54" i="1"/>
  <c r="GY53" i="1"/>
  <c r="GY48" i="1"/>
  <c r="GY45" i="1"/>
  <c r="GY42" i="1"/>
  <c r="GY38" i="1"/>
  <c r="GY37" i="1"/>
  <c r="GY32" i="1"/>
  <c r="GY30" i="1"/>
  <c r="GY29" i="1"/>
  <c r="GY28" i="1"/>
  <c r="GY27" i="1"/>
  <c r="GY26" i="1"/>
  <c r="GY25" i="1"/>
  <c r="GY24" i="1"/>
  <c r="GY23" i="1"/>
  <c r="GY17" i="1"/>
  <c r="GY16" i="1"/>
  <c r="GY15" i="1"/>
  <c r="GY13" i="1"/>
  <c r="GY10" i="1"/>
  <c r="EH70" i="1"/>
  <c r="EI70" i="1" s="1"/>
  <c r="EH69" i="1"/>
  <c r="EH68" i="1"/>
  <c r="EI68" i="1" s="1"/>
  <c r="EH67" i="1"/>
  <c r="EH66" i="1"/>
  <c r="EI66" i="1" s="1"/>
  <c r="EH64" i="1"/>
  <c r="EI64" i="1" s="1"/>
  <c r="EH63" i="1"/>
  <c r="EI63" i="1" s="1"/>
  <c r="EH62" i="1"/>
  <c r="EI62" i="1" s="1"/>
  <c r="EH61" i="1"/>
  <c r="EH60" i="1"/>
  <c r="EI60" i="1" s="1"/>
  <c r="EH59" i="1"/>
  <c r="EH58" i="1"/>
  <c r="EI58" i="1" s="1"/>
  <c r="EH57" i="1"/>
  <c r="EI57" i="1" s="1"/>
  <c r="EH54" i="1"/>
  <c r="EI54" i="1" s="1"/>
  <c r="EH53" i="1"/>
  <c r="EI53" i="1" s="1"/>
  <c r="EH50" i="1"/>
  <c r="EI50" i="1" s="1"/>
  <c r="EH49" i="1"/>
  <c r="EI49" i="1" s="1"/>
  <c r="EH48" i="1"/>
  <c r="EI48" i="1" s="1"/>
  <c r="EH45" i="1"/>
  <c r="EI45" i="1" s="1"/>
  <c r="EH42" i="1"/>
  <c r="EI42" i="1" s="1"/>
  <c r="EH38" i="1"/>
  <c r="EI38" i="1" s="1"/>
  <c r="EH37" i="1"/>
  <c r="EI37" i="1" s="1"/>
  <c r="EH34" i="1"/>
  <c r="EI34" i="1" s="1"/>
  <c r="EH32" i="1"/>
  <c r="EI32" i="1" s="1"/>
  <c r="EH30" i="1"/>
  <c r="EI30" i="1" s="1"/>
  <c r="EH29" i="1"/>
  <c r="EI29" i="1" s="1"/>
  <c r="EH28" i="1"/>
  <c r="EI28" i="1" s="1"/>
  <c r="EH27" i="1"/>
  <c r="EI27" i="1" s="1"/>
  <c r="EH26" i="1"/>
  <c r="EI26" i="1" s="1"/>
  <c r="EH25" i="1"/>
  <c r="EI25" i="1" s="1"/>
  <c r="EH24" i="1"/>
  <c r="EI24" i="1" s="1"/>
  <c r="EH23" i="1"/>
  <c r="EI23" i="1" s="1"/>
  <c r="EH17" i="1"/>
  <c r="EI17" i="1" s="1"/>
  <c r="EH16" i="1"/>
  <c r="EI16" i="1" s="1"/>
  <c r="EH15" i="1"/>
  <c r="EI15" i="1" s="1"/>
  <c r="EH13" i="1"/>
  <c r="EI13" i="1" s="1"/>
  <c r="EH7" i="1"/>
  <c r="EI7" i="1" s="1"/>
  <c r="EH6" i="1"/>
  <c r="EI6" i="1" s="1"/>
  <c r="EH5" i="1"/>
  <c r="EI5" i="1" s="1"/>
  <c r="EF70" i="1"/>
  <c r="EG70" i="1" s="1"/>
  <c r="EF69" i="1"/>
  <c r="EG69" i="1" s="1"/>
  <c r="EF68" i="1"/>
  <c r="EG68" i="1" s="1"/>
  <c r="EF67" i="1"/>
  <c r="EG67" i="1" s="1"/>
  <c r="EF66" i="1"/>
  <c r="EG66" i="1" s="1"/>
  <c r="EF64" i="1"/>
  <c r="EG64" i="1" s="1"/>
  <c r="EF63" i="1"/>
  <c r="EG63" i="1" s="1"/>
  <c r="EF62" i="1"/>
  <c r="EG62" i="1" s="1"/>
  <c r="EF61" i="1"/>
  <c r="EF60" i="1"/>
  <c r="EG60" i="1" s="1"/>
  <c r="EF59" i="1"/>
  <c r="EF58" i="1"/>
  <c r="EG58" i="1" s="1"/>
  <c r="EF57" i="1"/>
  <c r="EG57" i="1" s="1"/>
  <c r="EF54" i="1"/>
  <c r="EG54" i="1" s="1"/>
  <c r="EF53" i="1"/>
  <c r="EG53" i="1" s="1"/>
  <c r="EF50" i="1"/>
  <c r="EG50" i="1" s="1"/>
  <c r="EF48" i="1"/>
  <c r="EG48" i="1" s="1"/>
  <c r="EF45" i="1"/>
  <c r="EG45" i="1" s="1"/>
  <c r="EF42" i="1"/>
  <c r="EG42" i="1" s="1"/>
  <c r="EF38" i="1"/>
  <c r="EG38" i="1" s="1"/>
  <c r="EF37" i="1"/>
  <c r="EG37" i="1" s="1"/>
  <c r="EF34" i="1"/>
  <c r="EG34" i="1" s="1"/>
  <c r="EF32" i="1"/>
  <c r="EG32" i="1" s="1"/>
  <c r="EF30" i="1"/>
  <c r="EG30" i="1" s="1"/>
  <c r="EF29" i="1"/>
  <c r="EG29" i="1" s="1"/>
  <c r="EF28" i="1"/>
  <c r="EG28" i="1" s="1"/>
  <c r="EF27" i="1"/>
  <c r="EG27" i="1" s="1"/>
  <c r="EF26" i="1"/>
  <c r="EG26" i="1" s="1"/>
  <c r="EF25" i="1"/>
  <c r="EG25" i="1" s="1"/>
  <c r="EF24" i="1"/>
  <c r="EG24" i="1" s="1"/>
  <c r="EF23" i="1"/>
  <c r="EG23" i="1" s="1"/>
  <c r="EF17" i="1"/>
  <c r="EG17" i="1" s="1"/>
  <c r="EF16" i="1"/>
  <c r="EG16" i="1" s="1"/>
  <c r="EF15" i="1"/>
  <c r="EG15" i="1" s="1"/>
  <c r="EF13" i="1"/>
  <c r="EG13" i="1" s="1"/>
  <c r="EF7" i="1"/>
  <c r="EG7" i="1" s="1"/>
  <c r="EF6" i="1"/>
  <c r="EG6" i="1" s="1"/>
  <c r="EF5" i="1"/>
  <c r="EG5" i="1" s="1"/>
  <c r="ED70" i="1"/>
  <c r="EE70" i="1" s="1"/>
  <c r="ED69" i="1"/>
  <c r="ED68" i="1"/>
  <c r="EE68" i="1" s="1"/>
  <c r="ED67" i="1"/>
  <c r="ED66" i="1"/>
  <c r="EE66" i="1" s="1"/>
  <c r="ED64" i="1"/>
  <c r="EE64" i="1" s="1"/>
  <c r="ED63" i="1"/>
  <c r="EE63" i="1" s="1"/>
  <c r="ED62" i="1"/>
  <c r="EE62" i="1" s="1"/>
  <c r="ED61" i="1"/>
  <c r="EE61" i="1" s="1"/>
  <c r="ED60" i="1"/>
  <c r="EE60" i="1" s="1"/>
  <c r="ED59" i="1"/>
  <c r="EE59" i="1" s="1"/>
  <c r="ED58" i="1"/>
  <c r="EE58" i="1" s="1"/>
  <c r="ED57" i="1"/>
  <c r="EE57" i="1" s="1"/>
  <c r="ED54" i="1"/>
  <c r="EE54" i="1" s="1"/>
  <c r="ED53" i="1"/>
  <c r="EE53" i="1" s="1"/>
  <c r="ED48" i="1"/>
  <c r="EE48" i="1" s="1"/>
  <c r="ED45" i="1"/>
  <c r="EE45" i="1" s="1"/>
  <c r="ED42" i="1"/>
  <c r="EE42" i="1" s="1"/>
  <c r="ED38" i="1"/>
  <c r="EE38" i="1" s="1"/>
  <c r="ED37" i="1"/>
  <c r="EE37" i="1" s="1"/>
  <c r="ED32" i="1"/>
  <c r="EE32" i="1" s="1"/>
  <c r="ED30" i="1"/>
  <c r="EE30" i="1" s="1"/>
  <c r="ED29" i="1"/>
  <c r="EE29" i="1" s="1"/>
  <c r="ED28" i="1"/>
  <c r="EE28" i="1" s="1"/>
  <c r="ED27" i="1"/>
  <c r="EE27" i="1" s="1"/>
  <c r="ED26" i="1"/>
  <c r="EE26" i="1" s="1"/>
  <c r="ED25" i="1"/>
  <c r="EE25" i="1" s="1"/>
  <c r="ED24" i="1"/>
  <c r="EE24" i="1" s="1"/>
  <c r="ED23" i="1"/>
  <c r="EE23" i="1" s="1"/>
  <c r="ED17" i="1"/>
  <c r="EE17" i="1" s="1"/>
  <c r="ED16" i="1"/>
  <c r="EE16" i="1" s="1"/>
  <c r="ED15" i="1"/>
  <c r="EE15" i="1" s="1"/>
  <c r="ED13" i="1"/>
  <c r="EE13" i="1" s="1"/>
  <c r="ED7" i="1"/>
  <c r="EE7" i="1" s="1"/>
  <c r="ED6" i="1"/>
  <c r="EE6" i="1" s="1"/>
  <c r="ED5" i="1"/>
  <c r="EE5" i="1" s="1"/>
  <c r="EB70" i="1"/>
  <c r="EC70" i="1" s="1"/>
  <c r="EB69" i="1"/>
  <c r="EB68" i="1"/>
  <c r="EC68" i="1" s="1"/>
  <c r="EB67" i="1"/>
  <c r="EB66" i="1"/>
  <c r="EC66" i="1" s="1"/>
  <c r="EB64" i="1"/>
  <c r="EC64" i="1" s="1"/>
  <c r="EB63" i="1"/>
  <c r="EC63" i="1" s="1"/>
  <c r="EB62" i="1"/>
  <c r="EC62" i="1" s="1"/>
  <c r="EB61" i="1"/>
  <c r="EC61" i="1" s="1"/>
  <c r="EB60" i="1"/>
  <c r="EC60" i="1" s="1"/>
  <c r="EB59" i="1"/>
  <c r="EC59" i="1" s="1"/>
  <c r="EB58" i="1"/>
  <c r="EC58" i="1" s="1"/>
  <c r="EB57" i="1"/>
  <c r="EC57" i="1" s="1"/>
  <c r="EB54" i="1"/>
  <c r="EC54" i="1" s="1"/>
  <c r="EB53" i="1"/>
  <c r="EB48" i="1"/>
  <c r="EC48" i="1" s="1"/>
  <c r="EB45" i="1"/>
  <c r="EC45" i="1" s="1"/>
  <c r="EB42" i="1"/>
  <c r="EC42" i="1" s="1"/>
  <c r="EB38" i="1"/>
  <c r="EC38" i="1" s="1"/>
  <c r="EB37" i="1"/>
  <c r="EC37" i="1" s="1"/>
  <c r="EB32" i="1"/>
  <c r="EC32" i="1" s="1"/>
  <c r="EB30" i="1"/>
  <c r="EC30" i="1" s="1"/>
  <c r="EB29" i="1"/>
  <c r="EC29" i="1" s="1"/>
  <c r="EB28" i="1"/>
  <c r="EC28" i="1" s="1"/>
  <c r="EB27" i="1"/>
  <c r="EC27" i="1" s="1"/>
  <c r="EB26" i="1"/>
  <c r="EC26" i="1" s="1"/>
  <c r="EB25" i="1"/>
  <c r="EC25" i="1" s="1"/>
  <c r="EB24" i="1"/>
  <c r="EC24" i="1" s="1"/>
  <c r="EB23" i="1"/>
  <c r="EC23" i="1" s="1"/>
  <c r="EB17" i="1"/>
  <c r="EC17" i="1" s="1"/>
  <c r="EB16" i="1"/>
  <c r="EC16" i="1" s="1"/>
  <c r="EB15" i="1"/>
  <c r="EC15" i="1" s="1"/>
  <c r="EB13" i="1"/>
  <c r="EC13" i="1" s="1"/>
  <c r="EB7" i="1"/>
  <c r="EC7" i="1" s="1"/>
  <c r="EB6" i="1"/>
  <c r="EC6" i="1" s="1"/>
  <c r="EB5" i="1"/>
  <c r="EC5" i="1" s="1"/>
  <c r="DZ70" i="1"/>
  <c r="EA70" i="1" s="1"/>
  <c r="DZ69" i="1"/>
  <c r="DZ68" i="1"/>
  <c r="EA68" i="1" s="1"/>
  <c r="DZ67" i="1"/>
  <c r="DZ66" i="1"/>
  <c r="EA66" i="1" s="1"/>
  <c r="DZ64" i="1"/>
  <c r="EA64" i="1" s="1"/>
  <c r="DZ63" i="1"/>
  <c r="EA63" i="1" s="1"/>
  <c r="DZ62" i="1"/>
  <c r="EA62" i="1" s="1"/>
  <c r="DZ61" i="1"/>
  <c r="DZ60" i="1"/>
  <c r="EA60" i="1" s="1"/>
  <c r="DZ59" i="1"/>
  <c r="DZ58" i="1"/>
  <c r="EA58" i="1" s="1"/>
  <c r="DZ57" i="1"/>
  <c r="EA57" i="1" s="1"/>
  <c r="DZ54" i="1"/>
  <c r="EA54" i="1" s="1"/>
  <c r="DZ53" i="1"/>
  <c r="EA53" i="1" s="1"/>
  <c r="DZ48" i="1"/>
  <c r="EA48" i="1" s="1"/>
  <c r="DZ45" i="1"/>
  <c r="EA45" i="1" s="1"/>
  <c r="DZ42" i="1"/>
  <c r="EA42" i="1" s="1"/>
  <c r="DZ38" i="1"/>
  <c r="EA38" i="1" s="1"/>
  <c r="DZ37" i="1"/>
  <c r="EA37" i="1" s="1"/>
  <c r="DZ32" i="1"/>
  <c r="EA32" i="1" s="1"/>
  <c r="DZ30" i="1"/>
  <c r="EA30" i="1" s="1"/>
  <c r="DZ29" i="1"/>
  <c r="EA29" i="1" s="1"/>
  <c r="DZ28" i="1"/>
  <c r="EA28" i="1" s="1"/>
  <c r="DZ27" i="1"/>
  <c r="EA27" i="1" s="1"/>
  <c r="DZ26" i="1"/>
  <c r="EA26" i="1" s="1"/>
  <c r="DZ25" i="1"/>
  <c r="EA25" i="1" s="1"/>
  <c r="DZ24" i="1"/>
  <c r="EA24" i="1" s="1"/>
  <c r="DZ23" i="1"/>
  <c r="EA23" i="1" s="1"/>
  <c r="DZ17" i="1"/>
  <c r="EA17" i="1" s="1"/>
  <c r="DZ16" i="1"/>
  <c r="EA16" i="1" s="1"/>
  <c r="DZ15" i="1"/>
  <c r="EA15" i="1" s="1"/>
  <c r="DZ13" i="1"/>
  <c r="EA13" i="1" s="1"/>
  <c r="DZ7" i="1"/>
  <c r="EA7" i="1" s="1"/>
  <c r="DZ6" i="1"/>
  <c r="EA6" i="1" s="1"/>
  <c r="DZ5" i="1"/>
  <c r="EA5" i="1" s="1"/>
  <c r="DX70" i="1"/>
  <c r="DY70" i="1" s="1"/>
  <c r="DX69" i="1"/>
  <c r="DX68" i="1"/>
  <c r="DY68" i="1" s="1"/>
  <c r="DX67" i="1"/>
  <c r="DX66" i="1"/>
  <c r="DY66" i="1" s="1"/>
  <c r="DX64" i="1"/>
  <c r="DY64" i="1" s="1"/>
  <c r="DX63" i="1"/>
  <c r="DY63" i="1" s="1"/>
  <c r="DX62" i="1"/>
  <c r="DY62" i="1" s="1"/>
  <c r="DX61" i="1"/>
  <c r="DX60" i="1"/>
  <c r="DY60" i="1" s="1"/>
  <c r="DX59" i="1"/>
  <c r="DY59" i="1" s="1"/>
  <c r="DX58" i="1"/>
  <c r="DY58" i="1" s="1"/>
  <c r="DX57" i="1"/>
  <c r="DY57" i="1" s="1"/>
  <c r="DX54" i="1"/>
  <c r="DY54" i="1" s="1"/>
  <c r="DX53" i="1"/>
  <c r="DY53" i="1" s="1"/>
  <c r="DX48" i="1"/>
  <c r="DY48" i="1" s="1"/>
  <c r="DX45" i="1"/>
  <c r="DY45" i="1" s="1"/>
  <c r="DX42" i="1"/>
  <c r="DY42" i="1" s="1"/>
  <c r="DX38" i="1"/>
  <c r="DY38" i="1" s="1"/>
  <c r="DX37" i="1"/>
  <c r="DY37" i="1" s="1"/>
  <c r="DX32" i="1"/>
  <c r="DY32" i="1" s="1"/>
  <c r="DX30" i="1"/>
  <c r="DY30" i="1" s="1"/>
  <c r="DX29" i="1"/>
  <c r="DY29" i="1" s="1"/>
  <c r="DX28" i="1"/>
  <c r="DY28" i="1" s="1"/>
  <c r="DX27" i="1"/>
  <c r="DY27" i="1" s="1"/>
  <c r="DX26" i="1"/>
  <c r="DY26" i="1" s="1"/>
  <c r="DX25" i="1"/>
  <c r="DY25" i="1" s="1"/>
  <c r="DX24" i="1"/>
  <c r="DY24" i="1" s="1"/>
  <c r="DX23" i="1"/>
  <c r="DY23" i="1" s="1"/>
  <c r="DX17" i="1"/>
  <c r="DY17" i="1" s="1"/>
  <c r="DX16" i="1"/>
  <c r="DY16" i="1" s="1"/>
  <c r="DX15" i="1"/>
  <c r="DY15" i="1" s="1"/>
  <c r="DX13" i="1"/>
  <c r="DY13" i="1" s="1"/>
  <c r="DX7" i="1"/>
  <c r="DY7" i="1" s="1"/>
  <c r="DX6" i="1"/>
  <c r="DY6" i="1" s="1"/>
  <c r="DX5" i="1"/>
  <c r="DY5" i="1" s="1"/>
  <c r="HH22" i="1" l="1"/>
  <c r="EJ11" i="1"/>
  <c r="EK11" i="1" s="1"/>
  <c r="BW20" i="1"/>
  <c r="BW35" i="1"/>
  <c r="HJ35" i="1" s="1"/>
  <c r="BW43" i="1"/>
  <c r="M7" i="23"/>
  <c r="M9" i="23" s="1"/>
  <c r="M10" i="23" s="1"/>
  <c r="BV43" i="1"/>
  <c r="BV20" i="1"/>
  <c r="BV35" i="1"/>
  <c r="HJ39" i="1"/>
  <c r="HJ22" i="1"/>
  <c r="HJ52" i="1"/>
  <c r="N7" i="23"/>
  <c r="N9" i="23" s="1"/>
  <c r="N10" i="23" s="1"/>
  <c r="BG39" i="1"/>
  <c r="EF39" i="1"/>
  <c r="EG39" i="1" s="1"/>
  <c r="HH52" i="1"/>
  <c r="L7" i="23"/>
  <c r="L9" i="23" s="1"/>
  <c r="L10" i="23" s="1"/>
  <c r="BU20" i="1"/>
  <c r="BU35" i="1"/>
  <c r="BU43" i="1"/>
  <c r="HH39" i="1"/>
  <c r="BU46" i="1"/>
  <c r="BU40" i="1"/>
  <c r="BU49" i="1"/>
  <c r="BG49" i="1"/>
  <c r="EH39" i="1"/>
  <c r="EI39" i="1" s="1"/>
  <c r="EH18" i="1"/>
  <c r="EI18" i="1" s="1"/>
  <c r="EF18" i="1"/>
  <c r="EG18" i="1" s="1"/>
  <c r="EH19" i="1"/>
  <c r="EI19" i="1" s="1"/>
  <c r="EF19" i="1"/>
  <c r="EG19" i="1" s="1"/>
  <c r="EF22" i="1"/>
  <c r="EG22" i="1" s="1"/>
  <c r="EF52" i="1"/>
  <c r="EG52" i="1" s="1"/>
  <c r="EH22" i="1"/>
  <c r="EI22" i="1" s="1"/>
  <c r="EH52" i="1"/>
  <c r="EI52" i="1" s="1"/>
  <c r="HH18" i="1"/>
  <c r="BH46" i="1"/>
  <c r="BH40" i="1"/>
  <c r="HJ40" i="1"/>
  <c r="EH40" i="1"/>
  <c r="EI40" i="1" s="1"/>
  <c r="DV70" i="1"/>
  <c r="DW70" i="1" s="1"/>
  <c r="DV69" i="1"/>
  <c r="DV68" i="1"/>
  <c r="DW68" i="1" s="1"/>
  <c r="DV67" i="1"/>
  <c r="DV66" i="1"/>
  <c r="DW66" i="1" s="1"/>
  <c r="DV64" i="1"/>
  <c r="DW64" i="1" s="1"/>
  <c r="DV63" i="1"/>
  <c r="DW63" i="1" s="1"/>
  <c r="DV62" i="1"/>
  <c r="DW62" i="1" s="1"/>
  <c r="DV61" i="1"/>
  <c r="DW61" i="1" s="1"/>
  <c r="DV60" i="1"/>
  <c r="DW60" i="1" s="1"/>
  <c r="DV59" i="1"/>
  <c r="DW59" i="1" s="1"/>
  <c r="DV58" i="1"/>
  <c r="DW58" i="1" s="1"/>
  <c r="DV57" i="1"/>
  <c r="DW57" i="1" s="1"/>
  <c r="DV54" i="1"/>
  <c r="DW54" i="1" s="1"/>
  <c r="DV53" i="1"/>
  <c r="DW53" i="1" s="1"/>
  <c r="DV48" i="1"/>
  <c r="DW48" i="1" s="1"/>
  <c r="DV45" i="1"/>
  <c r="DW45" i="1" s="1"/>
  <c r="DV42" i="1"/>
  <c r="DW42" i="1" s="1"/>
  <c r="DV38" i="1"/>
  <c r="DW38" i="1" s="1"/>
  <c r="DV37" i="1"/>
  <c r="DW37" i="1" s="1"/>
  <c r="DV32" i="1"/>
  <c r="DW32" i="1" s="1"/>
  <c r="DV30" i="1"/>
  <c r="DW30" i="1" s="1"/>
  <c r="DV29" i="1"/>
  <c r="DW29" i="1" s="1"/>
  <c r="DV28" i="1"/>
  <c r="DW28" i="1" s="1"/>
  <c r="DV27" i="1"/>
  <c r="DW27" i="1" s="1"/>
  <c r="DV26" i="1"/>
  <c r="DW26" i="1" s="1"/>
  <c r="DV25" i="1"/>
  <c r="DW25" i="1" s="1"/>
  <c r="DV24" i="1"/>
  <c r="DW24" i="1" s="1"/>
  <c r="DV23" i="1"/>
  <c r="DW23" i="1" s="1"/>
  <c r="DV17" i="1"/>
  <c r="DW17" i="1" s="1"/>
  <c r="DV16" i="1"/>
  <c r="DW16" i="1" s="1"/>
  <c r="DV15" i="1"/>
  <c r="DW15" i="1" s="1"/>
  <c r="DV13" i="1"/>
  <c r="DW13" i="1" s="1"/>
  <c r="DV7" i="1"/>
  <c r="DW7" i="1" s="1"/>
  <c r="DV6" i="1"/>
  <c r="DW6" i="1" s="1"/>
  <c r="DV5" i="1"/>
  <c r="DW5" i="1" s="1"/>
  <c r="DT70" i="1"/>
  <c r="DU70" i="1" s="1"/>
  <c r="DT69" i="1"/>
  <c r="DT68" i="1"/>
  <c r="DU68" i="1" s="1"/>
  <c r="DT67" i="1"/>
  <c r="DT66" i="1"/>
  <c r="DU66" i="1" s="1"/>
  <c r="DT64" i="1"/>
  <c r="DU64" i="1" s="1"/>
  <c r="DT63" i="1"/>
  <c r="DU63" i="1" s="1"/>
  <c r="DT62" i="1"/>
  <c r="DU62" i="1" s="1"/>
  <c r="DT61" i="1"/>
  <c r="DU61" i="1" s="1"/>
  <c r="DT60" i="1"/>
  <c r="DU60" i="1" s="1"/>
  <c r="DT59" i="1"/>
  <c r="DU59" i="1" s="1"/>
  <c r="DT58" i="1"/>
  <c r="DU58" i="1" s="1"/>
  <c r="DT57" i="1"/>
  <c r="DU57" i="1" s="1"/>
  <c r="DT54" i="1"/>
  <c r="DU54" i="1" s="1"/>
  <c r="DT53" i="1"/>
  <c r="DU53" i="1" s="1"/>
  <c r="DT48" i="1"/>
  <c r="DU48" i="1" s="1"/>
  <c r="DT45" i="1"/>
  <c r="DU45" i="1" s="1"/>
  <c r="DT42" i="1"/>
  <c r="DU42" i="1" s="1"/>
  <c r="DT38" i="1"/>
  <c r="DU38" i="1" s="1"/>
  <c r="DT37" i="1"/>
  <c r="DU37" i="1" s="1"/>
  <c r="DT32" i="1"/>
  <c r="DU32" i="1" s="1"/>
  <c r="DT30" i="1"/>
  <c r="DU30" i="1" s="1"/>
  <c r="DT29" i="1"/>
  <c r="DU29" i="1" s="1"/>
  <c r="DT28" i="1"/>
  <c r="DU28" i="1" s="1"/>
  <c r="DT27" i="1"/>
  <c r="DU27" i="1" s="1"/>
  <c r="DT26" i="1"/>
  <c r="DU26" i="1" s="1"/>
  <c r="DT25" i="1"/>
  <c r="DU25" i="1" s="1"/>
  <c r="DT24" i="1"/>
  <c r="DU24" i="1" s="1"/>
  <c r="DT23" i="1"/>
  <c r="DU23" i="1" s="1"/>
  <c r="DT17" i="1"/>
  <c r="DU17" i="1" s="1"/>
  <c r="DT16" i="1"/>
  <c r="DU16" i="1" s="1"/>
  <c r="DT15" i="1"/>
  <c r="DU15" i="1" s="1"/>
  <c r="DT13" i="1"/>
  <c r="DU13" i="1" s="1"/>
  <c r="DT7" i="1"/>
  <c r="DU7" i="1" s="1"/>
  <c r="DT6" i="1"/>
  <c r="DU6" i="1" s="1"/>
  <c r="DT5" i="1"/>
  <c r="DU5" i="1" s="1"/>
  <c r="DP70" i="1"/>
  <c r="DQ70" i="1" s="1"/>
  <c r="DP69" i="1"/>
  <c r="DP68" i="1"/>
  <c r="DQ68" i="1" s="1"/>
  <c r="DP67" i="1"/>
  <c r="DP66" i="1"/>
  <c r="DQ66" i="1" s="1"/>
  <c r="DP64" i="1"/>
  <c r="DQ64" i="1" s="1"/>
  <c r="DP63" i="1"/>
  <c r="DQ63" i="1" s="1"/>
  <c r="DP62" i="1"/>
  <c r="DQ62" i="1" s="1"/>
  <c r="DP61" i="1"/>
  <c r="DQ61" i="1" s="1"/>
  <c r="DP60" i="1"/>
  <c r="DQ60" i="1" s="1"/>
  <c r="DP59" i="1"/>
  <c r="DQ59" i="1" s="1"/>
  <c r="DP58" i="1"/>
  <c r="DQ58" i="1" s="1"/>
  <c r="DP57" i="1"/>
  <c r="DQ57" i="1" s="1"/>
  <c r="DP54" i="1"/>
  <c r="DQ54" i="1" s="1"/>
  <c r="DP53" i="1"/>
  <c r="DQ53" i="1" s="1"/>
  <c r="DP48" i="1"/>
  <c r="DQ48" i="1" s="1"/>
  <c r="DP45" i="1"/>
  <c r="DQ45" i="1" s="1"/>
  <c r="DP42" i="1"/>
  <c r="DQ42" i="1" s="1"/>
  <c r="DP38" i="1"/>
  <c r="DQ38" i="1" s="1"/>
  <c r="DP37" i="1"/>
  <c r="DQ37" i="1" s="1"/>
  <c r="DP32" i="1"/>
  <c r="DQ32" i="1" s="1"/>
  <c r="DP30" i="1"/>
  <c r="DQ30" i="1" s="1"/>
  <c r="DP29" i="1"/>
  <c r="DQ29" i="1" s="1"/>
  <c r="DP28" i="1"/>
  <c r="DQ28" i="1" s="1"/>
  <c r="DP27" i="1"/>
  <c r="DQ27" i="1" s="1"/>
  <c r="DP26" i="1"/>
  <c r="DQ26" i="1" s="1"/>
  <c r="DP25" i="1"/>
  <c r="DQ25" i="1" s="1"/>
  <c r="DP24" i="1"/>
  <c r="DQ24" i="1" s="1"/>
  <c r="DP23" i="1"/>
  <c r="DQ23" i="1" s="1"/>
  <c r="DP17" i="1"/>
  <c r="DQ17" i="1" s="1"/>
  <c r="DP16" i="1"/>
  <c r="DQ16" i="1" s="1"/>
  <c r="DP15" i="1"/>
  <c r="DQ15" i="1" s="1"/>
  <c r="DP13" i="1"/>
  <c r="DQ13" i="1" s="1"/>
  <c r="DP7" i="1"/>
  <c r="DQ7" i="1" s="1"/>
  <c r="DP6" i="1"/>
  <c r="DQ6" i="1" s="1"/>
  <c r="DP5" i="1"/>
  <c r="DQ5" i="1" s="1"/>
  <c r="DN70" i="1"/>
  <c r="DO70" i="1" s="1"/>
  <c r="DN69" i="1"/>
  <c r="DN68" i="1"/>
  <c r="DO68" i="1" s="1"/>
  <c r="DN67" i="1"/>
  <c r="DN66" i="1"/>
  <c r="DO66" i="1" s="1"/>
  <c r="DN64" i="1"/>
  <c r="DO64" i="1" s="1"/>
  <c r="DN63" i="1"/>
  <c r="DO63" i="1" s="1"/>
  <c r="DN62" i="1"/>
  <c r="DO62" i="1" s="1"/>
  <c r="DN61" i="1"/>
  <c r="DO61" i="1" s="1"/>
  <c r="DN60" i="1"/>
  <c r="DO60" i="1" s="1"/>
  <c r="DN59" i="1"/>
  <c r="DO59" i="1" s="1"/>
  <c r="DN58" i="1"/>
  <c r="DO58" i="1" s="1"/>
  <c r="DN57" i="1"/>
  <c r="DO57" i="1" s="1"/>
  <c r="DN54" i="1"/>
  <c r="DO54" i="1" s="1"/>
  <c r="DN53" i="1"/>
  <c r="DO53" i="1" s="1"/>
  <c r="DN48" i="1"/>
  <c r="DO48" i="1" s="1"/>
  <c r="DN45" i="1"/>
  <c r="DO45" i="1" s="1"/>
  <c r="DN42" i="1"/>
  <c r="DO42" i="1" s="1"/>
  <c r="DN38" i="1"/>
  <c r="DO38" i="1" s="1"/>
  <c r="DN37" i="1"/>
  <c r="DO37" i="1" s="1"/>
  <c r="DN32" i="1"/>
  <c r="DO32" i="1" s="1"/>
  <c r="DN30" i="1"/>
  <c r="DO30" i="1" s="1"/>
  <c r="DN29" i="1"/>
  <c r="DO29" i="1" s="1"/>
  <c r="DN28" i="1"/>
  <c r="DO28" i="1" s="1"/>
  <c r="DN27" i="1"/>
  <c r="DO27" i="1" s="1"/>
  <c r="DN26" i="1"/>
  <c r="DO26" i="1" s="1"/>
  <c r="DN25" i="1"/>
  <c r="DO25" i="1" s="1"/>
  <c r="DN24" i="1"/>
  <c r="DO24" i="1" s="1"/>
  <c r="DN23" i="1"/>
  <c r="DO23" i="1" s="1"/>
  <c r="DN17" i="1"/>
  <c r="DO17" i="1" s="1"/>
  <c r="DN16" i="1"/>
  <c r="DO16" i="1" s="1"/>
  <c r="DN15" i="1"/>
  <c r="DO15" i="1" s="1"/>
  <c r="DN13" i="1"/>
  <c r="DO13" i="1" s="1"/>
  <c r="DN7" i="1"/>
  <c r="DO7" i="1" s="1"/>
  <c r="DN6" i="1"/>
  <c r="DO6" i="1" s="1"/>
  <c r="DN5" i="1"/>
  <c r="DO5" i="1" s="1"/>
  <c r="DL70" i="1"/>
  <c r="DM70" i="1" s="1"/>
  <c r="DL69" i="1"/>
  <c r="DL68" i="1"/>
  <c r="DM68" i="1" s="1"/>
  <c r="DL67" i="1"/>
  <c r="DL66" i="1"/>
  <c r="DM66" i="1" s="1"/>
  <c r="DL64" i="1"/>
  <c r="DM64" i="1" s="1"/>
  <c r="DL63" i="1"/>
  <c r="DM63" i="1" s="1"/>
  <c r="DL62" i="1"/>
  <c r="DM62" i="1" s="1"/>
  <c r="DL61" i="1"/>
  <c r="DM61" i="1" s="1"/>
  <c r="DL60" i="1"/>
  <c r="DM60" i="1" s="1"/>
  <c r="DL59" i="1"/>
  <c r="DM59" i="1" s="1"/>
  <c r="DL58" i="1"/>
  <c r="DM58" i="1" s="1"/>
  <c r="DL57" i="1"/>
  <c r="DM57" i="1" s="1"/>
  <c r="DL54" i="1"/>
  <c r="DM54" i="1" s="1"/>
  <c r="DL53" i="1"/>
  <c r="DM53" i="1" s="1"/>
  <c r="DL48" i="1"/>
  <c r="DM48" i="1" s="1"/>
  <c r="DL45" i="1"/>
  <c r="DM45" i="1" s="1"/>
  <c r="DL42" i="1"/>
  <c r="DM42" i="1" s="1"/>
  <c r="DL38" i="1"/>
  <c r="DM38" i="1" s="1"/>
  <c r="DL37" i="1"/>
  <c r="DM37" i="1" s="1"/>
  <c r="DL32" i="1"/>
  <c r="DM32" i="1" s="1"/>
  <c r="DL30" i="1"/>
  <c r="DM30" i="1" s="1"/>
  <c r="DL29" i="1"/>
  <c r="DM29" i="1" s="1"/>
  <c r="DL28" i="1"/>
  <c r="DM28" i="1" s="1"/>
  <c r="DL27" i="1"/>
  <c r="DM27" i="1" s="1"/>
  <c r="DL26" i="1"/>
  <c r="DM26" i="1" s="1"/>
  <c r="DL25" i="1"/>
  <c r="DM25" i="1" s="1"/>
  <c r="DL24" i="1"/>
  <c r="DM24" i="1" s="1"/>
  <c r="DL23" i="1"/>
  <c r="DM23" i="1" s="1"/>
  <c r="DL17" i="1"/>
  <c r="DM17" i="1" s="1"/>
  <c r="DL16" i="1"/>
  <c r="DM16" i="1" s="1"/>
  <c r="DL15" i="1"/>
  <c r="DM15" i="1" s="1"/>
  <c r="DL13" i="1"/>
  <c r="DM13" i="1" s="1"/>
  <c r="DL7" i="1"/>
  <c r="DM7" i="1" s="1"/>
  <c r="DL6" i="1"/>
  <c r="DM6" i="1" s="1"/>
  <c r="DL5" i="1"/>
  <c r="DM5" i="1" s="1"/>
  <c r="BT167" i="1"/>
  <c r="BS167" i="1"/>
  <c r="BR167" i="1"/>
  <c r="BQ167" i="1"/>
  <c r="BP167" i="1"/>
  <c r="BO167" i="1"/>
  <c r="BN167" i="1"/>
  <c r="BM167" i="1"/>
  <c r="BL167" i="1"/>
  <c r="BX64" i="1"/>
  <c r="T62" i="22" s="1"/>
  <c r="U62" i="22" s="1"/>
  <c r="BX63" i="1"/>
  <c r="T61" i="22" s="1"/>
  <c r="U61" i="22" s="1"/>
  <c r="BX62" i="1"/>
  <c r="T60" i="22" s="1"/>
  <c r="U60" i="22" s="1"/>
  <c r="BX61" i="1"/>
  <c r="T59" i="22" s="1"/>
  <c r="U59" i="22" s="1"/>
  <c r="BX60" i="1"/>
  <c r="T58" i="22" s="1"/>
  <c r="U58" i="22" s="1"/>
  <c r="BX59" i="1"/>
  <c r="T57" i="22" s="1"/>
  <c r="U57" i="22" s="1"/>
  <c r="BX58" i="1"/>
  <c r="T56" i="22" s="1"/>
  <c r="U56" i="22" s="1"/>
  <c r="BX57" i="1"/>
  <c r="T55" i="22" s="1"/>
  <c r="U55" i="22" s="1"/>
  <c r="BX54" i="1"/>
  <c r="T52" i="22" s="1"/>
  <c r="U52" i="22" s="1"/>
  <c r="BX53" i="1"/>
  <c r="T51" i="22" s="1"/>
  <c r="U51" i="22" s="1"/>
  <c r="HG52" i="1"/>
  <c r="HF52" i="1"/>
  <c r="HE52" i="1"/>
  <c r="HD52" i="1"/>
  <c r="BP52" i="1"/>
  <c r="BO52" i="1"/>
  <c r="GZ52" i="1"/>
  <c r="BL52" i="1"/>
  <c r="HG50" i="1"/>
  <c r="HF50" i="1"/>
  <c r="HE50" i="1"/>
  <c r="HD50" i="1"/>
  <c r="HC50" i="1"/>
  <c r="HB50" i="1"/>
  <c r="HA50" i="1"/>
  <c r="GZ50" i="1"/>
  <c r="BL50" i="1"/>
  <c r="HG49" i="1"/>
  <c r="HF49" i="1"/>
  <c r="HE49" i="1"/>
  <c r="HA49" i="1"/>
  <c r="GZ49" i="1"/>
  <c r="BX48" i="1"/>
  <c r="BX45" i="1"/>
  <c r="T43" i="22" s="1"/>
  <c r="BX38" i="1"/>
  <c r="T36" i="22" s="1"/>
  <c r="U36" i="22" s="1"/>
  <c r="HG39" i="1"/>
  <c r="HF39" i="1"/>
  <c r="HE39" i="1"/>
  <c r="HD40" i="1"/>
  <c r="HB39" i="1"/>
  <c r="BL39" i="1"/>
  <c r="HG34" i="1"/>
  <c r="HF34" i="1"/>
  <c r="HE34" i="1"/>
  <c r="HD34" i="1"/>
  <c r="HC34" i="1"/>
  <c r="HB34" i="1"/>
  <c r="HA34" i="1"/>
  <c r="GZ34" i="1"/>
  <c r="BX28" i="1"/>
  <c r="T27" i="22" s="1"/>
  <c r="U27" i="22" s="1"/>
  <c r="BX27" i="1"/>
  <c r="T26" i="22" s="1"/>
  <c r="U26" i="22" s="1"/>
  <c r="BX26" i="1"/>
  <c r="T25" i="22" s="1"/>
  <c r="U25" i="22" s="1"/>
  <c r="BX25" i="1"/>
  <c r="T24" i="22" s="1"/>
  <c r="U24" i="22" s="1"/>
  <c r="BX24" i="1"/>
  <c r="T23" i="22" s="1"/>
  <c r="U23" i="22" s="1"/>
  <c r="BX23" i="1"/>
  <c r="T22" i="22" s="1"/>
  <c r="U22" i="22" s="1"/>
  <c r="HG22" i="1"/>
  <c r="HF22" i="1"/>
  <c r="HE22" i="1"/>
  <c r="BP22" i="1"/>
  <c r="BP49" i="1" s="1"/>
  <c r="HC49" i="1" s="1"/>
  <c r="BO22" i="1"/>
  <c r="BO49" i="1" s="1"/>
  <c r="DR49" i="1" s="1"/>
  <c r="DS49" i="1" s="1"/>
  <c r="GZ22" i="1"/>
  <c r="BL22" i="1"/>
  <c r="BL49" i="1" s="1"/>
  <c r="HG19" i="1"/>
  <c r="HF19" i="1"/>
  <c r="HE19" i="1"/>
  <c r="HD19" i="1"/>
  <c r="HC19" i="1"/>
  <c r="HB19" i="1"/>
  <c r="HA19" i="1"/>
  <c r="GZ19" i="1"/>
  <c r="BL19" i="1"/>
  <c r="HG18" i="1"/>
  <c r="HF18" i="1"/>
  <c r="HE18" i="1"/>
  <c r="HC18" i="1"/>
  <c r="HB18" i="1"/>
  <c r="HA18" i="1"/>
  <c r="GZ18" i="1"/>
  <c r="BL18" i="1"/>
  <c r="BX13" i="1"/>
  <c r="T12" i="22" s="1"/>
  <c r="U12" i="22" s="1"/>
  <c r="HH11" i="1"/>
  <c r="BT11" i="1"/>
  <c r="BS11" i="1"/>
  <c r="BR11" i="1"/>
  <c r="BQ11" i="1"/>
  <c r="BP11" i="1"/>
  <c r="BP43" i="1" s="1"/>
  <c r="BO11" i="1"/>
  <c r="BN11" i="1"/>
  <c r="BM11" i="1"/>
  <c r="BX7" i="1"/>
  <c r="T6" i="22" s="1"/>
  <c r="BX6" i="1"/>
  <c r="T5" i="22" s="1"/>
  <c r="HF40" i="1"/>
  <c r="BF5" i="1"/>
  <c r="K13" i="23" s="1"/>
  <c r="BF38" i="1"/>
  <c r="DF38" i="1" s="1"/>
  <c r="DG38" i="1" s="1"/>
  <c r="BF37" i="1"/>
  <c r="GU37" i="1" s="1"/>
  <c r="BF167" i="1"/>
  <c r="BF52" i="1"/>
  <c r="BF50" i="1"/>
  <c r="DF50" i="1" s="1"/>
  <c r="DG50" i="1" s="1"/>
  <c r="BF22" i="1"/>
  <c r="BF49" i="1" s="1"/>
  <c r="BF19" i="1"/>
  <c r="BF18" i="1"/>
  <c r="FJ32" i="1"/>
  <c r="FK32" i="1" s="1"/>
  <c r="BE5" i="1"/>
  <c r="BE38" i="1"/>
  <c r="GT38" i="1" s="1"/>
  <c r="BE37" i="1"/>
  <c r="GT37" i="1" s="1"/>
  <c r="BE167" i="1"/>
  <c r="BE52" i="1"/>
  <c r="GT52" i="1" s="1"/>
  <c r="BE50" i="1"/>
  <c r="GT50" i="1" s="1"/>
  <c r="DD34" i="1"/>
  <c r="DE34" i="1" s="1"/>
  <c r="BE22" i="1"/>
  <c r="BE49" i="1" s="1"/>
  <c r="GT49" i="1" s="1"/>
  <c r="BE19" i="1"/>
  <c r="BE18" i="1"/>
  <c r="FJ29" i="1"/>
  <c r="FK29" i="1" s="1"/>
  <c r="BJ25" i="1"/>
  <c r="BJ26" i="1"/>
  <c r="B56" i="23"/>
  <c r="B55" i="23"/>
  <c r="B54" i="23"/>
  <c r="B53" i="23"/>
  <c r="B52" i="23"/>
  <c r="B51" i="23"/>
  <c r="B50" i="23"/>
  <c r="B49" i="23"/>
  <c r="B48" i="23"/>
  <c r="B47" i="23"/>
  <c r="B46" i="23"/>
  <c r="B45" i="23"/>
  <c r="B44" i="23"/>
  <c r="B43" i="23"/>
  <c r="B42" i="23"/>
  <c r="B41" i="23"/>
  <c r="B40" i="23"/>
  <c r="B39" i="23"/>
  <c r="BD5" i="1"/>
  <c r="CZ5" i="1" s="1"/>
  <c r="DA5" i="1" s="1"/>
  <c r="BD167" i="1"/>
  <c r="BC167" i="1"/>
  <c r="BD38" i="1"/>
  <c r="BD37" i="1"/>
  <c r="CZ66" i="1"/>
  <c r="DA66" i="1" s="1"/>
  <c r="BD52" i="1"/>
  <c r="BD50" i="1"/>
  <c r="BD22" i="1"/>
  <c r="GS22" i="1" s="1"/>
  <c r="BD19" i="1"/>
  <c r="BD18" i="1"/>
  <c r="FJ23" i="1"/>
  <c r="FK23" i="1" s="1"/>
  <c r="BC5" i="1"/>
  <c r="H13" i="23" s="1"/>
  <c r="BC38" i="1"/>
  <c r="GR38" i="1" s="1"/>
  <c r="BC37" i="1"/>
  <c r="GR31" i="1"/>
  <c r="BC22" i="1"/>
  <c r="BC49" i="1" s="1"/>
  <c r="GR49" i="1" s="1"/>
  <c r="BC52" i="1"/>
  <c r="BC50" i="1"/>
  <c r="GR50" i="1" s="1"/>
  <c r="BC19" i="1"/>
  <c r="BC18" i="1"/>
  <c r="BB5" i="1"/>
  <c r="G13" i="23" s="1"/>
  <c r="BB37" i="1"/>
  <c r="BB38" i="1"/>
  <c r="GQ38" i="1" s="1"/>
  <c r="BB167" i="1"/>
  <c r="BB52" i="1"/>
  <c r="GQ52" i="1" s="1"/>
  <c r="BB50" i="1"/>
  <c r="GQ50" i="1" s="1"/>
  <c r="BB22" i="1"/>
  <c r="BB49" i="1" s="1"/>
  <c r="GQ49" i="1" s="1"/>
  <c r="BB19" i="1"/>
  <c r="BB18" i="1"/>
  <c r="FJ69" i="1"/>
  <c r="FK69" i="1" s="1"/>
  <c r="FJ42" i="1"/>
  <c r="FK42" i="1" s="1"/>
  <c r="CT15" i="1"/>
  <c r="CU15" i="1" s="1"/>
  <c r="BA38" i="1"/>
  <c r="GP38" i="1" s="1"/>
  <c r="BA37" i="1"/>
  <c r="GP37" i="1" s="1"/>
  <c r="BA167" i="1"/>
  <c r="BA52" i="1"/>
  <c r="GP52" i="1" s="1"/>
  <c r="BA50" i="1"/>
  <c r="GP50" i="1" s="1"/>
  <c r="BA22" i="1"/>
  <c r="BA49" i="1" s="1"/>
  <c r="GP49" i="1" s="1"/>
  <c r="BA19" i="1"/>
  <c r="BA18" i="1"/>
  <c r="FJ17" i="1"/>
  <c r="FK17" i="1" s="1"/>
  <c r="AZ37" i="1"/>
  <c r="GO37" i="1" s="1"/>
  <c r="AZ38" i="1"/>
  <c r="AZ167" i="1"/>
  <c r="AZ52" i="1"/>
  <c r="GO52" i="1" s="1"/>
  <c r="AZ50" i="1"/>
  <c r="AZ22" i="1"/>
  <c r="AZ49" i="1" s="1"/>
  <c r="GO49" i="1" s="1"/>
  <c r="AZ19" i="1"/>
  <c r="AZ18" i="1"/>
  <c r="GO18" i="1" s="1"/>
  <c r="FJ28" i="1"/>
  <c r="FK28" i="1" s="1"/>
  <c r="AY37" i="1"/>
  <c r="GN37" i="1" s="1"/>
  <c r="AY5" i="1"/>
  <c r="D13" i="23" s="1"/>
  <c r="AY38" i="1"/>
  <c r="GN38" i="1" s="1"/>
  <c r="AY167" i="1"/>
  <c r="AY52" i="1"/>
  <c r="GN52" i="1" s="1"/>
  <c r="AY50" i="1"/>
  <c r="GN50" i="1" s="1"/>
  <c r="AY22" i="1"/>
  <c r="AY49" i="1" s="1"/>
  <c r="AY19" i="1"/>
  <c r="AY18" i="1"/>
  <c r="FJ60" i="1"/>
  <c r="FK60" i="1" s="1"/>
  <c r="AX38" i="1"/>
  <c r="CP38" i="1" s="1"/>
  <c r="CQ38" i="1" s="1"/>
  <c r="AX37" i="1"/>
  <c r="GM37" i="1" s="1"/>
  <c r="AX167" i="1"/>
  <c r="BJ13" i="1"/>
  <c r="BJ53" i="1"/>
  <c r="L68" i="22"/>
  <c r="P68" i="22" s="1"/>
  <c r="Q68" i="22" s="1"/>
  <c r="L67" i="22"/>
  <c r="P67" i="22" s="1"/>
  <c r="Q67" i="22" s="1"/>
  <c r="L66" i="22"/>
  <c r="P66" i="22" s="1"/>
  <c r="Q66" i="22" s="1"/>
  <c r="L65" i="22"/>
  <c r="L64" i="22"/>
  <c r="P64" i="22" s="1"/>
  <c r="Q64" i="22" s="1"/>
  <c r="L63" i="22"/>
  <c r="P63" i="22" s="1"/>
  <c r="Q63" i="22" s="1"/>
  <c r="P42" i="22"/>
  <c r="P41" i="22"/>
  <c r="P40" i="22"/>
  <c r="P39" i="22"/>
  <c r="P33" i="22"/>
  <c r="P32" i="22"/>
  <c r="P31" i="22"/>
  <c r="P29" i="22"/>
  <c r="P28" i="22"/>
  <c r="P18" i="22"/>
  <c r="P16" i="22"/>
  <c r="P13" i="22"/>
  <c r="P11" i="22"/>
  <c r="P9" i="22"/>
  <c r="BI11" i="1"/>
  <c r="BH11" i="1"/>
  <c r="M12" i="23" s="1"/>
  <c r="BG11" i="1"/>
  <c r="N13" i="23"/>
  <c r="M13" i="23"/>
  <c r="L13" i="23"/>
  <c r="I13" i="23"/>
  <c r="F13" i="23"/>
  <c r="E13" i="23"/>
  <c r="C13" i="23"/>
  <c r="AX52" i="1"/>
  <c r="GM52" i="1" s="1"/>
  <c r="AX50" i="1"/>
  <c r="CN34" i="1"/>
  <c r="CO34" i="1" s="1"/>
  <c r="AX22" i="1"/>
  <c r="AX49" i="1" s="1"/>
  <c r="GM49" i="1" s="1"/>
  <c r="AX19" i="1"/>
  <c r="AX18" i="1"/>
  <c r="FJ30" i="1"/>
  <c r="FK30" i="1" s="1"/>
  <c r="AU37" i="1"/>
  <c r="AU38" i="1"/>
  <c r="AU5" i="1"/>
  <c r="AU167" i="1"/>
  <c r="AU50" i="1"/>
  <c r="GL50" i="1" s="1"/>
  <c r="AU19" i="1"/>
  <c r="AU18" i="1"/>
  <c r="AT5" i="1"/>
  <c r="AT38" i="1"/>
  <c r="GK38" i="1" s="1"/>
  <c r="AT37" i="1"/>
  <c r="AT167" i="1"/>
  <c r="AT19" i="1"/>
  <c r="AT18" i="1"/>
  <c r="AT50" i="1"/>
  <c r="GK50" i="1" s="1"/>
  <c r="AS37" i="1"/>
  <c r="AS38" i="1"/>
  <c r="GJ38" i="1" s="1"/>
  <c r="AS19" i="1"/>
  <c r="GJ19" i="1" s="1"/>
  <c r="AS18" i="1"/>
  <c r="AS50" i="1"/>
  <c r="GJ50" i="1" s="1"/>
  <c r="AS167" i="1"/>
  <c r="FJ64" i="1"/>
  <c r="FK64" i="1" s="1"/>
  <c r="AR45" i="1"/>
  <c r="GI45" i="1" s="1"/>
  <c r="AR38" i="1"/>
  <c r="AR37" i="1"/>
  <c r="AR19" i="1"/>
  <c r="AR18" i="1"/>
  <c r="AR48" i="1"/>
  <c r="AR167" i="1" s="1"/>
  <c r="FJ67" i="1"/>
  <c r="FK67" i="1" s="1"/>
  <c r="FJ62" i="1"/>
  <c r="FK62" i="1" s="1"/>
  <c r="FJ27" i="1"/>
  <c r="FK27" i="1" s="1"/>
  <c r="FJ26" i="1"/>
  <c r="FK26" i="1" s="1"/>
  <c r="FJ25" i="1"/>
  <c r="FK25" i="1" s="1"/>
  <c r="FJ24" i="1"/>
  <c r="FK24" i="1" s="1"/>
  <c r="FJ15" i="1"/>
  <c r="FK15" i="1" s="1"/>
  <c r="DJ70" i="1"/>
  <c r="DK70" i="1" s="1"/>
  <c r="DH70" i="1"/>
  <c r="DI70" i="1" s="1"/>
  <c r="DF70" i="1"/>
  <c r="DG70" i="1" s="1"/>
  <c r="DD70" i="1"/>
  <c r="DE70" i="1" s="1"/>
  <c r="DB70" i="1"/>
  <c r="DC70" i="1" s="1"/>
  <c r="CZ70" i="1"/>
  <c r="DA70" i="1" s="1"/>
  <c r="CX70" i="1"/>
  <c r="CY70" i="1" s="1"/>
  <c r="CV70" i="1"/>
  <c r="CW70" i="1" s="1"/>
  <c r="CT70" i="1"/>
  <c r="CU70" i="1" s="1"/>
  <c r="CR70" i="1"/>
  <c r="CS70" i="1" s="1"/>
  <c r="CP70" i="1"/>
  <c r="CQ70" i="1" s="1"/>
  <c r="CN70" i="1"/>
  <c r="CO70" i="1" s="1"/>
  <c r="DJ69" i="1"/>
  <c r="DH69" i="1"/>
  <c r="DF69" i="1"/>
  <c r="DD69" i="1"/>
  <c r="DB69" i="1"/>
  <c r="CZ69" i="1"/>
  <c r="CX69" i="1"/>
  <c r="CV69" i="1"/>
  <c r="CT69" i="1"/>
  <c r="CR69" i="1"/>
  <c r="CS69" i="1" s="1"/>
  <c r="CP69" i="1"/>
  <c r="CN69" i="1"/>
  <c r="DJ68" i="1"/>
  <c r="DK68" i="1" s="1"/>
  <c r="DH68" i="1"/>
  <c r="DI68" i="1" s="1"/>
  <c r="DF68" i="1"/>
  <c r="DG68" i="1" s="1"/>
  <c r="DD68" i="1"/>
  <c r="DE68" i="1" s="1"/>
  <c r="DB68" i="1"/>
  <c r="DC68" i="1" s="1"/>
  <c r="CZ68" i="1"/>
  <c r="DA68" i="1" s="1"/>
  <c r="CX68" i="1"/>
  <c r="CY68" i="1" s="1"/>
  <c r="CV68" i="1"/>
  <c r="CW68" i="1" s="1"/>
  <c r="CT68" i="1"/>
  <c r="CU68" i="1" s="1"/>
  <c r="CR68" i="1"/>
  <c r="CS68" i="1" s="1"/>
  <c r="CP68" i="1"/>
  <c r="CQ68" i="1" s="1"/>
  <c r="CN68" i="1"/>
  <c r="CO68" i="1" s="1"/>
  <c r="DJ67" i="1"/>
  <c r="DH67" i="1"/>
  <c r="DF67" i="1"/>
  <c r="DD67" i="1"/>
  <c r="DB67" i="1"/>
  <c r="CZ67" i="1"/>
  <c r="CX67" i="1"/>
  <c r="CV67" i="1"/>
  <c r="CT67" i="1"/>
  <c r="CR67" i="1"/>
  <c r="CS67" i="1" s="1"/>
  <c r="CP67" i="1"/>
  <c r="CN67" i="1"/>
  <c r="DJ66" i="1"/>
  <c r="DK66" i="1" s="1"/>
  <c r="DH66" i="1"/>
  <c r="DI66" i="1" s="1"/>
  <c r="DF66" i="1"/>
  <c r="DG66" i="1" s="1"/>
  <c r="DD66" i="1"/>
  <c r="DE66" i="1" s="1"/>
  <c r="DB66" i="1"/>
  <c r="DC66" i="1" s="1"/>
  <c r="CX66" i="1"/>
  <c r="CY66" i="1" s="1"/>
  <c r="CV66" i="1"/>
  <c r="CW66" i="1" s="1"/>
  <c r="CT66" i="1"/>
  <c r="CU66" i="1" s="1"/>
  <c r="CR66" i="1"/>
  <c r="CS66" i="1" s="1"/>
  <c r="CP66" i="1"/>
  <c r="CQ66" i="1" s="1"/>
  <c r="CN66" i="1"/>
  <c r="CO66" i="1" s="1"/>
  <c r="DJ64" i="1"/>
  <c r="DK64" i="1" s="1"/>
  <c r="DH64" i="1"/>
  <c r="DI64" i="1" s="1"/>
  <c r="DF64" i="1"/>
  <c r="DG64" i="1" s="1"/>
  <c r="DD64" i="1"/>
  <c r="DE64" i="1" s="1"/>
  <c r="DB64" i="1"/>
  <c r="DC64" i="1" s="1"/>
  <c r="CZ64" i="1"/>
  <c r="DA64" i="1" s="1"/>
  <c r="CX64" i="1"/>
  <c r="CY64" i="1" s="1"/>
  <c r="CV64" i="1"/>
  <c r="CW64" i="1" s="1"/>
  <c r="CT64" i="1"/>
  <c r="CU64" i="1" s="1"/>
  <c r="CR64" i="1"/>
  <c r="CS64" i="1" s="1"/>
  <c r="CP64" i="1"/>
  <c r="CQ64" i="1" s="1"/>
  <c r="CN64" i="1"/>
  <c r="CO64" i="1" s="1"/>
  <c r="DJ63" i="1"/>
  <c r="DK63" i="1" s="1"/>
  <c r="DH63" i="1"/>
  <c r="DI63" i="1" s="1"/>
  <c r="DF63" i="1"/>
  <c r="DG63" i="1" s="1"/>
  <c r="DD63" i="1"/>
  <c r="DE63" i="1" s="1"/>
  <c r="DB63" i="1"/>
  <c r="DC63" i="1" s="1"/>
  <c r="CZ63" i="1"/>
  <c r="DA63" i="1" s="1"/>
  <c r="CX63" i="1"/>
  <c r="CY63" i="1" s="1"/>
  <c r="CV63" i="1"/>
  <c r="CW63" i="1" s="1"/>
  <c r="CT63" i="1"/>
  <c r="CU63" i="1" s="1"/>
  <c r="CR63" i="1"/>
  <c r="CS63" i="1" s="1"/>
  <c r="CP63" i="1"/>
  <c r="CQ63" i="1" s="1"/>
  <c r="CN63" i="1"/>
  <c r="CO63" i="1" s="1"/>
  <c r="DJ62" i="1"/>
  <c r="DK62" i="1" s="1"/>
  <c r="DH62" i="1"/>
  <c r="DI62" i="1" s="1"/>
  <c r="DF62" i="1"/>
  <c r="DG62" i="1" s="1"/>
  <c r="DD62" i="1"/>
  <c r="DE62" i="1" s="1"/>
  <c r="DB62" i="1"/>
  <c r="DC62" i="1" s="1"/>
  <c r="CZ62" i="1"/>
  <c r="DA62" i="1" s="1"/>
  <c r="CX62" i="1"/>
  <c r="CY62" i="1" s="1"/>
  <c r="CV62" i="1"/>
  <c r="CW62" i="1" s="1"/>
  <c r="CT62" i="1"/>
  <c r="CU62" i="1" s="1"/>
  <c r="CR62" i="1"/>
  <c r="CS62" i="1" s="1"/>
  <c r="CP62" i="1"/>
  <c r="CN62" i="1"/>
  <c r="CO62" i="1" s="1"/>
  <c r="DJ61" i="1"/>
  <c r="DK61" i="1" s="1"/>
  <c r="DH61" i="1"/>
  <c r="DI61" i="1" s="1"/>
  <c r="DF61" i="1"/>
  <c r="DG61" i="1" s="1"/>
  <c r="DD61" i="1"/>
  <c r="DE61" i="1" s="1"/>
  <c r="DB61" i="1"/>
  <c r="CZ61" i="1"/>
  <c r="CX61" i="1"/>
  <c r="CY61" i="1" s="1"/>
  <c r="CV61" i="1"/>
  <c r="CW61" i="1" s="1"/>
  <c r="CT61" i="1"/>
  <c r="CU61" i="1" s="1"/>
  <c r="CR61" i="1"/>
  <c r="CS61" i="1" s="1"/>
  <c r="CP61" i="1"/>
  <c r="CQ61" i="1" s="1"/>
  <c r="CN61" i="1"/>
  <c r="CO61" i="1" s="1"/>
  <c r="DJ60" i="1"/>
  <c r="DK60" i="1" s="1"/>
  <c r="DH60" i="1"/>
  <c r="DI60" i="1" s="1"/>
  <c r="DF60" i="1"/>
  <c r="DG60" i="1" s="1"/>
  <c r="DD60" i="1"/>
  <c r="DE60" i="1" s="1"/>
  <c r="DB60" i="1"/>
  <c r="CZ60" i="1"/>
  <c r="DA60" i="1" s="1"/>
  <c r="CX60" i="1"/>
  <c r="CY60" i="1" s="1"/>
  <c r="CV60" i="1"/>
  <c r="CW60" i="1" s="1"/>
  <c r="CT60" i="1"/>
  <c r="CU60" i="1" s="1"/>
  <c r="CR60" i="1"/>
  <c r="CS60" i="1" s="1"/>
  <c r="CP60" i="1"/>
  <c r="CQ60" i="1" s="1"/>
  <c r="CN60" i="1"/>
  <c r="CO60" i="1" s="1"/>
  <c r="DJ59" i="1"/>
  <c r="DH59" i="1"/>
  <c r="DI59" i="1" s="1"/>
  <c r="DF59" i="1"/>
  <c r="DG59" i="1" s="1"/>
  <c r="DD59" i="1"/>
  <c r="DE59" i="1" s="1"/>
  <c r="DB59" i="1"/>
  <c r="DC59" i="1" s="1"/>
  <c r="CZ59" i="1"/>
  <c r="CX59" i="1"/>
  <c r="CY59" i="1" s="1"/>
  <c r="CV59" i="1"/>
  <c r="CT59" i="1"/>
  <c r="CU59" i="1" s="1"/>
  <c r="CR59" i="1"/>
  <c r="CS59" i="1" s="1"/>
  <c r="CP59" i="1"/>
  <c r="CQ59" i="1" s="1"/>
  <c r="CN59" i="1"/>
  <c r="CO59" i="1" s="1"/>
  <c r="DJ58" i="1"/>
  <c r="DK58" i="1" s="1"/>
  <c r="DH58" i="1"/>
  <c r="DI58" i="1" s="1"/>
  <c r="DF58" i="1"/>
  <c r="DG58" i="1" s="1"/>
  <c r="DD58" i="1"/>
  <c r="DE58" i="1" s="1"/>
  <c r="DB58" i="1"/>
  <c r="CZ58" i="1"/>
  <c r="DA58" i="1" s="1"/>
  <c r="CX58" i="1"/>
  <c r="CY58" i="1" s="1"/>
  <c r="CV58" i="1"/>
  <c r="CW58" i="1" s="1"/>
  <c r="CT58" i="1"/>
  <c r="CU58" i="1" s="1"/>
  <c r="CR58" i="1"/>
  <c r="CS58" i="1" s="1"/>
  <c r="CP58" i="1"/>
  <c r="CQ58" i="1" s="1"/>
  <c r="CN58" i="1"/>
  <c r="CO58" i="1" s="1"/>
  <c r="DJ57" i="1"/>
  <c r="DK57" i="1" s="1"/>
  <c r="DH57" i="1"/>
  <c r="DI57" i="1" s="1"/>
  <c r="DF57" i="1"/>
  <c r="DG57" i="1" s="1"/>
  <c r="DD57" i="1"/>
  <c r="DE57" i="1" s="1"/>
  <c r="DB57" i="1"/>
  <c r="DC57" i="1" s="1"/>
  <c r="CZ57" i="1"/>
  <c r="DA57" i="1" s="1"/>
  <c r="CX57" i="1"/>
  <c r="CV57" i="1"/>
  <c r="CW57" i="1" s="1"/>
  <c r="CT57" i="1"/>
  <c r="CU57" i="1" s="1"/>
  <c r="CR57" i="1"/>
  <c r="CS57" i="1" s="1"/>
  <c r="CP57" i="1"/>
  <c r="CQ57" i="1" s="1"/>
  <c r="CN57" i="1"/>
  <c r="CO57" i="1" s="1"/>
  <c r="DJ54" i="1"/>
  <c r="DH54" i="1"/>
  <c r="DI54" i="1" s="1"/>
  <c r="DF54" i="1"/>
  <c r="DG54" i="1" s="1"/>
  <c r="DD54" i="1"/>
  <c r="DE54" i="1" s="1"/>
  <c r="DB54" i="1"/>
  <c r="DC54" i="1" s="1"/>
  <c r="CZ54" i="1"/>
  <c r="DA54" i="1" s="1"/>
  <c r="CX54" i="1"/>
  <c r="CV54" i="1"/>
  <c r="CW54" i="1" s="1"/>
  <c r="CT54" i="1"/>
  <c r="CU54" i="1" s="1"/>
  <c r="CR54" i="1"/>
  <c r="CS54" i="1" s="1"/>
  <c r="CP54" i="1"/>
  <c r="CQ54" i="1" s="1"/>
  <c r="CN54" i="1"/>
  <c r="DJ53" i="1"/>
  <c r="DH53" i="1"/>
  <c r="DI53" i="1" s="1"/>
  <c r="DF53" i="1"/>
  <c r="DG53" i="1" s="1"/>
  <c r="DD53" i="1"/>
  <c r="DE53" i="1" s="1"/>
  <c r="DB53" i="1"/>
  <c r="CZ53" i="1"/>
  <c r="CX53" i="1"/>
  <c r="CV53" i="1"/>
  <c r="CW53" i="1" s="1"/>
  <c r="CT53" i="1"/>
  <c r="CR53" i="1"/>
  <c r="CS53" i="1" s="1"/>
  <c r="CP53" i="1"/>
  <c r="CN53" i="1"/>
  <c r="CO53" i="1" s="1"/>
  <c r="DJ52" i="1"/>
  <c r="DK52" i="1" s="1"/>
  <c r="DH52" i="1"/>
  <c r="DI52" i="1" s="1"/>
  <c r="DJ50" i="1"/>
  <c r="DK50" i="1" s="1"/>
  <c r="DH50" i="1"/>
  <c r="DI50" i="1" s="1"/>
  <c r="DJ49" i="1"/>
  <c r="DK49" i="1" s="1"/>
  <c r="DJ48" i="1"/>
  <c r="DK48" i="1" s="1"/>
  <c r="DH48" i="1"/>
  <c r="DI48" i="1" s="1"/>
  <c r="DF48" i="1"/>
  <c r="DG48" i="1" s="1"/>
  <c r="DD48" i="1"/>
  <c r="DE48" i="1" s="1"/>
  <c r="DB48" i="1"/>
  <c r="DC48" i="1" s="1"/>
  <c r="CZ48" i="1"/>
  <c r="DA48" i="1" s="1"/>
  <c r="CX48" i="1"/>
  <c r="CY48" i="1" s="1"/>
  <c r="CV48" i="1"/>
  <c r="CW48" i="1" s="1"/>
  <c r="CT48" i="1"/>
  <c r="CU48" i="1" s="1"/>
  <c r="CR48" i="1"/>
  <c r="CS48" i="1" s="1"/>
  <c r="CP48" i="1"/>
  <c r="CQ48" i="1" s="1"/>
  <c r="CN48" i="1"/>
  <c r="CO48" i="1" s="1"/>
  <c r="DJ45" i="1"/>
  <c r="DK45" i="1" s="1"/>
  <c r="DH45" i="1"/>
  <c r="DI45" i="1" s="1"/>
  <c r="DF45" i="1"/>
  <c r="DG45" i="1" s="1"/>
  <c r="DD45" i="1"/>
  <c r="DE45" i="1" s="1"/>
  <c r="DB45" i="1"/>
  <c r="DC45" i="1" s="1"/>
  <c r="CZ45" i="1"/>
  <c r="DA45" i="1" s="1"/>
  <c r="CX45" i="1"/>
  <c r="CY45" i="1" s="1"/>
  <c r="CV45" i="1"/>
  <c r="CW45" i="1" s="1"/>
  <c r="CT45" i="1"/>
  <c r="CU45" i="1" s="1"/>
  <c r="CN45" i="1"/>
  <c r="CO45" i="1" s="1"/>
  <c r="DJ42" i="1"/>
  <c r="DK42" i="1" s="1"/>
  <c r="DH42" i="1"/>
  <c r="DI42" i="1" s="1"/>
  <c r="DF42" i="1"/>
  <c r="DG42" i="1" s="1"/>
  <c r="DD42" i="1"/>
  <c r="DE42" i="1" s="1"/>
  <c r="DB42" i="1"/>
  <c r="DC42" i="1" s="1"/>
  <c r="CZ42" i="1"/>
  <c r="DA42" i="1" s="1"/>
  <c r="CX42" i="1"/>
  <c r="CY42" i="1" s="1"/>
  <c r="CV42" i="1"/>
  <c r="CW42" i="1" s="1"/>
  <c r="CT42" i="1"/>
  <c r="CU42" i="1" s="1"/>
  <c r="CR42" i="1"/>
  <c r="CS42" i="1" s="1"/>
  <c r="CP42" i="1"/>
  <c r="CQ42" i="1" s="1"/>
  <c r="CN42" i="1"/>
  <c r="CO42" i="1" s="1"/>
  <c r="DJ39" i="1"/>
  <c r="DK39" i="1" s="1"/>
  <c r="DJ38" i="1"/>
  <c r="DK38" i="1" s="1"/>
  <c r="DH38" i="1"/>
  <c r="DI38" i="1" s="1"/>
  <c r="DJ37" i="1"/>
  <c r="DK37" i="1" s="1"/>
  <c r="DH37" i="1"/>
  <c r="DI37" i="1" s="1"/>
  <c r="DJ34" i="1"/>
  <c r="DK34" i="1" s="1"/>
  <c r="DH34" i="1"/>
  <c r="DI34" i="1" s="1"/>
  <c r="DF34" i="1"/>
  <c r="DG34" i="1" s="1"/>
  <c r="CZ34" i="1"/>
  <c r="DA34" i="1" s="1"/>
  <c r="CV34" i="1"/>
  <c r="CW34" i="1" s="1"/>
  <c r="CR34" i="1"/>
  <c r="CS34" i="1" s="1"/>
  <c r="DJ32" i="1"/>
  <c r="DK32" i="1" s="1"/>
  <c r="DH32" i="1"/>
  <c r="DI32" i="1" s="1"/>
  <c r="DF32" i="1"/>
  <c r="DG32" i="1" s="1"/>
  <c r="DD32" i="1"/>
  <c r="DE32" i="1" s="1"/>
  <c r="DB32" i="1"/>
  <c r="DC32" i="1" s="1"/>
  <c r="CZ32" i="1"/>
  <c r="DA32" i="1" s="1"/>
  <c r="CX32" i="1"/>
  <c r="CY32" i="1" s="1"/>
  <c r="CV32" i="1"/>
  <c r="CW32" i="1" s="1"/>
  <c r="CT32" i="1"/>
  <c r="CU32" i="1" s="1"/>
  <c r="CR32" i="1"/>
  <c r="CS32" i="1" s="1"/>
  <c r="CP32" i="1"/>
  <c r="CQ32" i="1" s="1"/>
  <c r="CN32" i="1"/>
  <c r="CO32" i="1" s="1"/>
  <c r="DJ30" i="1"/>
  <c r="DK30" i="1" s="1"/>
  <c r="DH30" i="1"/>
  <c r="DI30" i="1" s="1"/>
  <c r="DF30" i="1"/>
  <c r="DG30" i="1" s="1"/>
  <c r="DD30" i="1"/>
  <c r="DE30" i="1" s="1"/>
  <c r="DB30" i="1"/>
  <c r="DC30" i="1" s="1"/>
  <c r="CZ30" i="1"/>
  <c r="DA30" i="1" s="1"/>
  <c r="CX30" i="1"/>
  <c r="CY30" i="1" s="1"/>
  <c r="CV30" i="1"/>
  <c r="CW30" i="1" s="1"/>
  <c r="CT30" i="1"/>
  <c r="CU30" i="1" s="1"/>
  <c r="CR30" i="1"/>
  <c r="CS30" i="1" s="1"/>
  <c r="CP30" i="1"/>
  <c r="CQ30" i="1" s="1"/>
  <c r="CN30" i="1"/>
  <c r="CO30" i="1" s="1"/>
  <c r="DJ29" i="1"/>
  <c r="DK29" i="1" s="1"/>
  <c r="DH29" i="1"/>
  <c r="DI29" i="1" s="1"/>
  <c r="DF29" i="1"/>
  <c r="DG29" i="1" s="1"/>
  <c r="DD29" i="1"/>
  <c r="DE29" i="1" s="1"/>
  <c r="DB29" i="1"/>
  <c r="DC29" i="1" s="1"/>
  <c r="CZ29" i="1"/>
  <c r="DA29" i="1" s="1"/>
  <c r="CX29" i="1"/>
  <c r="CY29" i="1" s="1"/>
  <c r="CV29" i="1"/>
  <c r="CW29" i="1" s="1"/>
  <c r="CT29" i="1"/>
  <c r="CU29" i="1" s="1"/>
  <c r="CR29" i="1"/>
  <c r="CS29" i="1" s="1"/>
  <c r="CP29" i="1"/>
  <c r="CQ29" i="1" s="1"/>
  <c r="CN29" i="1"/>
  <c r="CO29" i="1" s="1"/>
  <c r="DJ28" i="1"/>
  <c r="DK28" i="1" s="1"/>
  <c r="DH28" i="1"/>
  <c r="DI28" i="1" s="1"/>
  <c r="DF28" i="1"/>
  <c r="DG28" i="1" s="1"/>
  <c r="DD28" i="1"/>
  <c r="DE28" i="1" s="1"/>
  <c r="DB28" i="1"/>
  <c r="DC28" i="1" s="1"/>
  <c r="CZ28" i="1"/>
  <c r="DA28" i="1" s="1"/>
  <c r="CX28" i="1"/>
  <c r="CY28" i="1" s="1"/>
  <c r="CV28" i="1"/>
  <c r="CW28" i="1" s="1"/>
  <c r="CT28" i="1"/>
  <c r="CU28" i="1" s="1"/>
  <c r="CR28" i="1"/>
  <c r="CS28" i="1" s="1"/>
  <c r="CP28" i="1"/>
  <c r="CQ28" i="1" s="1"/>
  <c r="CN28" i="1"/>
  <c r="CO28" i="1" s="1"/>
  <c r="DJ27" i="1"/>
  <c r="DK27" i="1" s="1"/>
  <c r="DH27" i="1"/>
  <c r="DI27" i="1" s="1"/>
  <c r="DF27" i="1"/>
  <c r="DG27" i="1" s="1"/>
  <c r="DD27" i="1"/>
  <c r="DE27" i="1" s="1"/>
  <c r="DB27" i="1"/>
  <c r="DC27" i="1" s="1"/>
  <c r="CZ27" i="1"/>
  <c r="DA27" i="1" s="1"/>
  <c r="CX27" i="1"/>
  <c r="CY27" i="1" s="1"/>
  <c r="CV27" i="1"/>
  <c r="CW27" i="1" s="1"/>
  <c r="CT27" i="1"/>
  <c r="CU27" i="1" s="1"/>
  <c r="CR27" i="1"/>
  <c r="CS27" i="1" s="1"/>
  <c r="CP27" i="1"/>
  <c r="CQ27" i="1" s="1"/>
  <c r="CN27" i="1"/>
  <c r="CO27" i="1" s="1"/>
  <c r="DJ26" i="1"/>
  <c r="DK26" i="1" s="1"/>
  <c r="DH26" i="1"/>
  <c r="DI26" i="1" s="1"/>
  <c r="DF26" i="1"/>
  <c r="DG26" i="1" s="1"/>
  <c r="DD26" i="1"/>
  <c r="DE26" i="1" s="1"/>
  <c r="DB26" i="1"/>
  <c r="DC26" i="1" s="1"/>
  <c r="CZ26" i="1"/>
  <c r="DA26" i="1" s="1"/>
  <c r="CX26" i="1"/>
  <c r="CY26" i="1" s="1"/>
  <c r="CV26" i="1"/>
  <c r="CW26" i="1" s="1"/>
  <c r="CT26" i="1"/>
  <c r="CU26" i="1" s="1"/>
  <c r="CR26" i="1"/>
  <c r="CS26" i="1" s="1"/>
  <c r="CP26" i="1"/>
  <c r="CQ26" i="1" s="1"/>
  <c r="CN26" i="1"/>
  <c r="CO26" i="1" s="1"/>
  <c r="DJ25" i="1"/>
  <c r="DK25" i="1" s="1"/>
  <c r="DH25" i="1"/>
  <c r="DI25" i="1" s="1"/>
  <c r="DF25" i="1"/>
  <c r="DG25" i="1" s="1"/>
  <c r="DD25" i="1"/>
  <c r="DE25" i="1" s="1"/>
  <c r="DB25" i="1"/>
  <c r="DC25" i="1" s="1"/>
  <c r="CZ25" i="1"/>
  <c r="DA25" i="1" s="1"/>
  <c r="CX25" i="1"/>
  <c r="CY25" i="1" s="1"/>
  <c r="CV25" i="1"/>
  <c r="CW25" i="1" s="1"/>
  <c r="CT25" i="1"/>
  <c r="CU25" i="1" s="1"/>
  <c r="CR25" i="1"/>
  <c r="CS25" i="1" s="1"/>
  <c r="CP25" i="1"/>
  <c r="CQ25" i="1" s="1"/>
  <c r="CN25" i="1"/>
  <c r="CO25" i="1" s="1"/>
  <c r="DJ24" i="1"/>
  <c r="DK24" i="1" s="1"/>
  <c r="DH24" i="1"/>
  <c r="DI24" i="1" s="1"/>
  <c r="DF24" i="1"/>
  <c r="DG24" i="1" s="1"/>
  <c r="DD24" i="1"/>
  <c r="DE24" i="1" s="1"/>
  <c r="DB24" i="1"/>
  <c r="DC24" i="1" s="1"/>
  <c r="CZ24" i="1"/>
  <c r="DA24" i="1" s="1"/>
  <c r="CX24" i="1"/>
  <c r="CY24" i="1" s="1"/>
  <c r="CV24" i="1"/>
  <c r="CW24" i="1" s="1"/>
  <c r="CT24" i="1"/>
  <c r="CU24" i="1" s="1"/>
  <c r="CR24" i="1"/>
  <c r="CS24" i="1" s="1"/>
  <c r="CP24" i="1"/>
  <c r="CQ24" i="1" s="1"/>
  <c r="CN24" i="1"/>
  <c r="CO24" i="1" s="1"/>
  <c r="DJ23" i="1"/>
  <c r="DK23" i="1" s="1"/>
  <c r="DH23" i="1"/>
  <c r="DI23" i="1" s="1"/>
  <c r="DF23" i="1"/>
  <c r="DG23" i="1" s="1"/>
  <c r="DD23" i="1"/>
  <c r="DE23" i="1" s="1"/>
  <c r="DB23" i="1"/>
  <c r="DC23" i="1" s="1"/>
  <c r="CZ23" i="1"/>
  <c r="DA23" i="1" s="1"/>
  <c r="CX23" i="1"/>
  <c r="CY23" i="1" s="1"/>
  <c r="CV23" i="1"/>
  <c r="CW23" i="1" s="1"/>
  <c r="CT23" i="1"/>
  <c r="CU23" i="1" s="1"/>
  <c r="CR23" i="1"/>
  <c r="CS23" i="1" s="1"/>
  <c r="CP23" i="1"/>
  <c r="CQ23" i="1" s="1"/>
  <c r="CN23" i="1"/>
  <c r="CO23" i="1" s="1"/>
  <c r="DJ22" i="1"/>
  <c r="DK22" i="1" s="1"/>
  <c r="DH22" i="1"/>
  <c r="DI22" i="1" s="1"/>
  <c r="DJ19" i="1"/>
  <c r="DK19" i="1" s="1"/>
  <c r="DH19" i="1"/>
  <c r="DI19" i="1" s="1"/>
  <c r="DJ18" i="1"/>
  <c r="DK18" i="1" s="1"/>
  <c r="DH18" i="1"/>
  <c r="DI18" i="1" s="1"/>
  <c r="DJ17" i="1"/>
  <c r="DK17" i="1" s="1"/>
  <c r="DH17" i="1"/>
  <c r="DI17" i="1" s="1"/>
  <c r="DF17" i="1"/>
  <c r="DG17" i="1" s="1"/>
  <c r="DD17" i="1"/>
  <c r="DE17" i="1" s="1"/>
  <c r="DB17" i="1"/>
  <c r="DC17" i="1" s="1"/>
  <c r="CZ17" i="1"/>
  <c r="DA17" i="1" s="1"/>
  <c r="CX17" i="1"/>
  <c r="CY17" i="1" s="1"/>
  <c r="CV17" i="1"/>
  <c r="CW17" i="1" s="1"/>
  <c r="CT17" i="1"/>
  <c r="CU17" i="1" s="1"/>
  <c r="CR17" i="1"/>
  <c r="CS17" i="1" s="1"/>
  <c r="CP17" i="1"/>
  <c r="CQ17" i="1" s="1"/>
  <c r="CN17" i="1"/>
  <c r="CO17" i="1" s="1"/>
  <c r="DJ16" i="1"/>
  <c r="DK16" i="1" s="1"/>
  <c r="DH16" i="1"/>
  <c r="DI16" i="1" s="1"/>
  <c r="DF16" i="1"/>
  <c r="DG16" i="1" s="1"/>
  <c r="DD16" i="1"/>
  <c r="DE16" i="1" s="1"/>
  <c r="DB16" i="1"/>
  <c r="DC16" i="1" s="1"/>
  <c r="CZ16" i="1"/>
  <c r="DA16" i="1" s="1"/>
  <c r="CX16" i="1"/>
  <c r="CY16" i="1" s="1"/>
  <c r="CV16" i="1"/>
  <c r="CW16" i="1" s="1"/>
  <c r="CT16" i="1"/>
  <c r="CU16" i="1" s="1"/>
  <c r="CR16" i="1"/>
  <c r="CS16" i="1" s="1"/>
  <c r="CP16" i="1"/>
  <c r="CQ16" i="1" s="1"/>
  <c r="CN16" i="1"/>
  <c r="CO16" i="1" s="1"/>
  <c r="DJ15" i="1"/>
  <c r="DK15" i="1" s="1"/>
  <c r="DH15" i="1"/>
  <c r="DI15" i="1" s="1"/>
  <c r="DF15" i="1"/>
  <c r="DG15" i="1" s="1"/>
  <c r="DD15" i="1"/>
  <c r="DE15" i="1" s="1"/>
  <c r="DB15" i="1"/>
  <c r="DC15" i="1" s="1"/>
  <c r="CZ15" i="1"/>
  <c r="DA15" i="1" s="1"/>
  <c r="CX15" i="1"/>
  <c r="CY15" i="1" s="1"/>
  <c r="CV15" i="1"/>
  <c r="CW15" i="1" s="1"/>
  <c r="CR15" i="1"/>
  <c r="CS15" i="1" s="1"/>
  <c r="CP15" i="1"/>
  <c r="CQ15" i="1" s="1"/>
  <c r="CN15" i="1"/>
  <c r="CO15" i="1" s="1"/>
  <c r="DJ13" i="1"/>
  <c r="DK13" i="1" s="1"/>
  <c r="DH13" i="1"/>
  <c r="DI13" i="1" s="1"/>
  <c r="DF13" i="1"/>
  <c r="DG13" i="1" s="1"/>
  <c r="DD13" i="1"/>
  <c r="DE13" i="1" s="1"/>
  <c r="DB13" i="1"/>
  <c r="DC13" i="1" s="1"/>
  <c r="CZ13" i="1"/>
  <c r="DA13" i="1" s="1"/>
  <c r="CX13" i="1"/>
  <c r="CY13" i="1" s="1"/>
  <c r="CV13" i="1"/>
  <c r="CW13" i="1" s="1"/>
  <c r="CT13" i="1"/>
  <c r="CU13" i="1" s="1"/>
  <c r="CR13" i="1"/>
  <c r="CS13" i="1" s="1"/>
  <c r="CP13" i="1"/>
  <c r="CQ13" i="1" s="1"/>
  <c r="CN13" i="1"/>
  <c r="CO13" i="1" s="1"/>
  <c r="DJ7" i="1"/>
  <c r="DK7" i="1" s="1"/>
  <c r="DH7" i="1"/>
  <c r="DI7" i="1" s="1"/>
  <c r="DF7" i="1"/>
  <c r="DG7" i="1" s="1"/>
  <c r="DD7" i="1"/>
  <c r="DE7" i="1" s="1"/>
  <c r="DB7" i="1"/>
  <c r="DC7" i="1" s="1"/>
  <c r="CZ7" i="1"/>
  <c r="DA7" i="1" s="1"/>
  <c r="CX7" i="1"/>
  <c r="CY7" i="1" s="1"/>
  <c r="CV7" i="1"/>
  <c r="CW7" i="1" s="1"/>
  <c r="CT7" i="1"/>
  <c r="CU7" i="1" s="1"/>
  <c r="CR7" i="1"/>
  <c r="CS7" i="1" s="1"/>
  <c r="CP7" i="1"/>
  <c r="CQ7" i="1" s="1"/>
  <c r="CN7" i="1"/>
  <c r="CO7" i="1" s="1"/>
  <c r="DJ6" i="1"/>
  <c r="DK6" i="1" s="1"/>
  <c r="DH6" i="1"/>
  <c r="DI6" i="1" s="1"/>
  <c r="DF6" i="1"/>
  <c r="DG6" i="1" s="1"/>
  <c r="DD6" i="1"/>
  <c r="DE6" i="1" s="1"/>
  <c r="DB6" i="1"/>
  <c r="DC6" i="1" s="1"/>
  <c r="CZ6" i="1"/>
  <c r="DA6" i="1" s="1"/>
  <c r="CX6" i="1"/>
  <c r="CY6" i="1" s="1"/>
  <c r="CV6" i="1"/>
  <c r="CW6" i="1" s="1"/>
  <c r="CT6" i="1"/>
  <c r="CU6" i="1" s="1"/>
  <c r="CR6" i="1"/>
  <c r="CS6" i="1" s="1"/>
  <c r="CP6" i="1"/>
  <c r="CQ6" i="1" s="1"/>
  <c r="CN6" i="1"/>
  <c r="CO6" i="1" s="1"/>
  <c r="DJ5" i="1"/>
  <c r="DK5" i="1" s="1"/>
  <c r="DH5" i="1"/>
  <c r="DI5" i="1" s="1"/>
  <c r="CT5" i="1"/>
  <c r="CU5" i="1" s="1"/>
  <c r="CN5" i="1"/>
  <c r="CO5" i="1" s="1"/>
  <c r="GX70" i="1"/>
  <c r="GW70" i="1"/>
  <c r="GX69" i="1"/>
  <c r="GW69" i="1"/>
  <c r="GX68" i="1"/>
  <c r="GW68" i="1"/>
  <c r="GX67" i="1"/>
  <c r="GW67" i="1"/>
  <c r="GX66" i="1"/>
  <c r="GW66" i="1"/>
  <c r="GX64" i="1"/>
  <c r="GW64" i="1"/>
  <c r="GX63" i="1"/>
  <c r="GW63" i="1"/>
  <c r="GX62" i="1"/>
  <c r="GW62" i="1"/>
  <c r="GX61" i="1"/>
  <c r="GW61" i="1"/>
  <c r="GX60" i="1"/>
  <c r="GW60" i="1"/>
  <c r="GX59" i="1"/>
  <c r="GW59" i="1"/>
  <c r="GX58" i="1"/>
  <c r="GW58" i="1"/>
  <c r="GX57" i="1"/>
  <c r="GW57" i="1"/>
  <c r="GX54" i="1"/>
  <c r="GW54" i="1"/>
  <c r="GX53" i="1"/>
  <c r="GW53" i="1"/>
  <c r="GX52" i="1"/>
  <c r="GW52" i="1"/>
  <c r="GX50" i="1"/>
  <c r="GW50" i="1"/>
  <c r="GX49" i="1"/>
  <c r="GW49" i="1"/>
  <c r="GX48" i="1"/>
  <c r="GW48" i="1"/>
  <c r="GX46" i="1"/>
  <c r="GX45" i="1"/>
  <c r="GW45" i="1"/>
  <c r="GX42" i="1"/>
  <c r="GW42" i="1"/>
  <c r="GX40" i="1"/>
  <c r="GX39" i="1"/>
  <c r="GW39" i="1"/>
  <c r="GX38" i="1"/>
  <c r="GW38" i="1"/>
  <c r="GX37" i="1"/>
  <c r="GW37" i="1"/>
  <c r="GX34" i="1"/>
  <c r="GW34" i="1"/>
  <c r="GX32" i="1"/>
  <c r="GW32" i="1"/>
  <c r="GX30" i="1"/>
  <c r="GW30" i="1"/>
  <c r="GX29" i="1"/>
  <c r="GW29" i="1"/>
  <c r="GX28" i="1"/>
  <c r="GW28" i="1"/>
  <c r="GX27" i="1"/>
  <c r="GW27" i="1"/>
  <c r="GX26" i="1"/>
  <c r="GW26" i="1"/>
  <c r="GX25" i="1"/>
  <c r="GW25" i="1"/>
  <c r="GX24" i="1"/>
  <c r="GW24" i="1"/>
  <c r="GX23" i="1"/>
  <c r="GW23" i="1"/>
  <c r="GX22" i="1"/>
  <c r="GW22" i="1"/>
  <c r="GX19" i="1"/>
  <c r="GW19" i="1"/>
  <c r="GX18" i="1"/>
  <c r="GW18" i="1"/>
  <c r="GX17" i="1"/>
  <c r="GW17" i="1"/>
  <c r="GX16" i="1"/>
  <c r="GW16" i="1"/>
  <c r="GX15" i="1"/>
  <c r="GW15" i="1"/>
  <c r="GX13" i="1"/>
  <c r="GW13" i="1"/>
  <c r="GX10" i="1"/>
  <c r="GW10" i="1"/>
  <c r="GV70" i="1"/>
  <c r="GU70" i="1"/>
  <c r="GT70" i="1"/>
  <c r="GS70" i="1"/>
  <c r="GR70" i="1"/>
  <c r="GQ70" i="1"/>
  <c r="GP70" i="1"/>
  <c r="GV69" i="1"/>
  <c r="GU69" i="1"/>
  <c r="GT69" i="1"/>
  <c r="GS69" i="1"/>
  <c r="GR69" i="1"/>
  <c r="GQ69" i="1"/>
  <c r="GP69" i="1"/>
  <c r="GV68" i="1"/>
  <c r="GU68" i="1"/>
  <c r="GT68" i="1"/>
  <c r="GS68" i="1"/>
  <c r="GR68" i="1"/>
  <c r="GQ68" i="1"/>
  <c r="GP68" i="1"/>
  <c r="GV67" i="1"/>
  <c r="GU67" i="1"/>
  <c r="GT67" i="1"/>
  <c r="GS67" i="1"/>
  <c r="GR67" i="1"/>
  <c r="GQ67" i="1"/>
  <c r="GP67" i="1"/>
  <c r="GV66" i="1"/>
  <c r="GU66" i="1"/>
  <c r="GT66" i="1"/>
  <c r="GS66" i="1"/>
  <c r="GR66" i="1"/>
  <c r="GQ66" i="1"/>
  <c r="GP66" i="1"/>
  <c r="GV64" i="1"/>
  <c r="GU64" i="1"/>
  <c r="GT64" i="1"/>
  <c r="GS64" i="1"/>
  <c r="GR64" i="1"/>
  <c r="GQ64" i="1"/>
  <c r="GP64" i="1"/>
  <c r="GV63" i="1"/>
  <c r="GU63" i="1"/>
  <c r="GT63" i="1"/>
  <c r="GS63" i="1"/>
  <c r="GR63" i="1"/>
  <c r="GQ63" i="1"/>
  <c r="GP63" i="1"/>
  <c r="GV62" i="1"/>
  <c r="GU62" i="1"/>
  <c r="GT62" i="1"/>
  <c r="GS62" i="1"/>
  <c r="GR62" i="1"/>
  <c r="GQ62" i="1"/>
  <c r="GP62" i="1"/>
  <c r="GV61" i="1"/>
  <c r="GU61" i="1"/>
  <c r="GT61" i="1"/>
  <c r="GS61" i="1"/>
  <c r="GR61" i="1"/>
  <c r="GQ61" i="1"/>
  <c r="GP61" i="1"/>
  <c r="GV60" i="1"/>
  <c r="GU60" i="1"/>
  <c r="GT60" i="1"/>
  <c r="GS60" i="1"/>
  <c r="GR60" i="1"/>
  <c r="GQ60" i="1"/>
  <c r="GP60" i="1"/>
  <c r="GV59" i="1"/>
  <c r="GU59" i="1"/>
  <c r="GT59" i="1"/>
  <c r="GS59" i="1"/>
  <c r="GR59" i="1"/>
  <c r="GQ59" i="1"/>
  <c r="GP59" i="1"/>
  <c r="GV58" i="1"/>
  <c r="GU58" i="1"/>
  <c r="GT58" i="1"/>
  <c r="GS58" i="1"/>
  <c r="GR58" i="1"/>
  <c r="GQ58" i="1"/>
  <c r="GP58" i="1"/>
  <c r="GV57" i="1"/>
  <c r="GU57" i="1"/>
  <c r="GT57" i="1"/>
  <c r="GS57" i="1"/>
  <c r="GR57" i="1"/>
  <c r="GQ57" i="1"/>
  <c r="GP57" i="1"/>
  <c r="GV54" i="1"/>
  <c r="GU54" i="1"/>
  <c r="GT54" i="1"/>
  <c r="GS54" i="1"/>
  <c r="GR54" i="1"/>
  <c r="GQ54" i="1"/>
  <c r="GP54" i="1"/>
  <c r="GV53" i="1"/>
  <c r="GU53" i="1"/>
  <c r="GT53" i="1"/>
  <c r="GS53" i="1"/>
  <c r="GR53" i="1"/>
  <c r="GQ53" i="1"/>
  <c r="GP53" i="1"/>
  <c r="GV52" i="1"/>
  <c r="GV50" i="1"/>
  <c r="GV48" i="1"/>
  <c r="GU48" i="1"/>
  <c r="GT48" i="1"/>
  <c r="GS48" i="1"/>
  <c r="GR48" i="1"/>
  <c r="GQ48" i="1"/>
  <c r="GP48" i="1"/>
  <c r="GV45" i="1"/>
  <c r="GU45" i="1"/>
  <c r="GT45" i="1"/>
  <c r="GS45" i="1"/>
  <c r="GR45" i="1"/>
  <c r="GQ45" i="1"/>
  <c r="GP45" i="1"/>
  <c r="GV42" i="1"/>
  <c r="GU42" i="1"/>
  <c r="GT42" i="1"/>
  <c r="GS42" i="1"/>
  <c r="GR42" i="1"/>
  <c r="GQ42" i="1"/>
  <c r="GP42" i="1"/>
  <c r="GV38" i="1"/>
  <c r="GV37" i="1"/>
  <c r="GV34" i="1"/>
  <c r="GU34" i="1"/>
  <c r="GS34" i="1"/>
  <c r="GR34" i="1"/>
  <c r="GQ34" i="1"/>
  <c r="GP34" i="1"/>
  <c r="GV32" i="1"/>
  <c r="GU32" i="1"/>
  <c r="GT32" i="1"/>
  <c r="GS32" i="1"/>
  <c r="GR32" i="1"/>
  <c r="GQ32" i="1"/>
  <c r="GP32" i="1"/>
  <c r="GV30" i="1"/>
  <c r="GU30" i="1"/>
  <c r="GT30" i="1"/>
  <c r="GS30" i="1"/>
  <c r="GR30" i="1"/>
  <c r="GQ30" i="1"/>
  <c r="GP30" i="1"/>
  <c r="GV29" i="1"/>
  <c r="GU29" i="1"/>
  <c r="GT29" i="1"/>
  <c r="GS29" i="1"/>
  <c r="GR29" i="1"/>
  <c r="GQ29" i="1"/>
  <c r="GP29" i="1"/>
  <c r="GV28" i="1"/>
  <c r="GU28" i="1"/>
  <c r="GT28" i="1"/>
  <c r="GS28" i="1"/>
  <c r="GR28" i="1"/>
  <c r="GQ28" i="1"/>
  <c r="GP28" i="1"/>
  <c r="GV27" i="1"/>
  <c r="GU27" i="1"/>
  <c r="GT27" i="1"/>
  <c r="GS27" i="1"/>
  <c r="GR27" i="1"/>
  <c r="GQ27" i="1"/>
  <c r="GP27" i="1"/>
  <c r="GV26" i="1"/>
  <c r="GU26" i="1"/>
  <c r="GT26" i="1"/>
  <c r="GS26" i="1"/>
  <c r="GR26" i="1"/>
  <c r="GQ26" i="1"/>
  <c r="GP26" i="1"/>
  <c r="GV25" i="1"/>
  <c r="GU25" i="1"/>
  <c r="GT25" i="1"/>
  <c r="GS25" i="1"/>
  <c r="GR25" i="1"/>
  <c r="GQ25" i="1"/>
  <c r="GP25" i="1"/>
  <c r="GV24" i="1"/>
  <c r="GU24" i="1"/>
  <c r="GT24" i="1"/>
  <c r="GS24" i="1"/>
  <c r="GR24" i="1"/>
  <c r="GQ24" i="1"/>
  <c r="GP24" i="1"/>
  <c r="GV23" i="1"/>
  <c r="GU23" i="1"/>
  <c r="GT23" i="1"/>
  <c r="GS23" i="1"/>
  <c r="GR23" i="1"/>
  <c r="GQ23" i="1"/>
  <c r="GP23" i="1"/>
  <c r="GV22" i="1"/>
  <c r="GV19" i="1"/>
  <c r="GV18" i="1"/>
  <c r="GV17" i="1"/>
  <c r="GU17" i="1"/>
  <c r="GT17" i="1"/>
  <c r="GS17" i="1"/>
  <c r="GR17" i="1"/>
  <c r="GQ17" i="1"/>
  <c r="GP17" i="1"/>
  <c r="GV16" i="1"/>
  <c r="GU16" i="1"/>
  <c r="GT16" i="1"/>
  <c r="GS16" i="1"/>
  <c r="GR16" i="1"/>
  <c r="GQ16" i="1"/>
  <c r="GP16" i="1"/>
  <c r="GV15" i="1"/>
  <c r="GU15" i="1"/>
  <c r="GT15" i="1"/>
  <c r="GS15" i="1"/>
  <c r="GR15" i="1"/>
  <c r="GQ15" i="1"/>
  <c r="GP15" i="1"/>
  <c r="GV13" i="1"/>
  <c r="GU13" i="1"/>
  <c r="GT13" i="1"/>
  <c r="GS13" i="1"/>
  <c r="GR13" i="1"/>
  <c r="GQ13" i="1"/>
  <c r="GP13" i="1"/>
  <c r="GV10" i="1"/>
  <c r="GU10" i="1"/>
  <c r="GT10" i="1"/>
  <c r="GS10" i="1"/>
  <c r="GR10" i="1"/>
  <c r="GQ10" i="1"/>
  <c r="GP10" i="1"/>
  <c r="GO70" i="1"/>
  <c r="GN70" i="1"/>
  <c r="GM70" i="1"/>
  <c r="GO69" i="1"/>
  <c r="GN69" i="1"/>
  <c r="GM69" i="1"/>
  <c r="GO68" i="1"/>
  <c r="GN68" i="1"/>
  <c r="GM68" i="1"/>
  <c r="GO67" i="1"/>
  <c r="GN67" i="1"/>
  <c r="GM67" i="1"/>
  <c r="GO66" i="1"/>
  <c r="GN66" i="1"/>
  <c r="GM66" i="1"/>
  <c r="GO64" i="1"/>
  <c r="GN64" i="1"/>
  <c r="GM64" i="1"/>
  <c r="GO63" i="1"/>
  <c r="GN63" i="1"/>
  <c r="GM63" i="1"/>
  <c r="GO62" i="1"/>
  <c r="GN62" i="1"/>
  <c r="GM62" i="1"/>
  <c r="GO61" i="1"/>
  <c r="GN61" i="1"/>
  <c r="GM61" i="1"/>
  <c r="GO60" i="1"/>
  <c r="GN60" i="1"/>
  <c r="GM60" i="1"/>
  <c r="GO59" i="1"/>
  <c r="GN59" i="1"/>
  <c r="GM59" i="1"/>
  <c r="GO58" i="1"/>
  <c r="GN58" i="1"/>
  <c r="GM58" i="1"/>
  <c r="GO57" i="1"/>
  <c r="GN57" i="1"/>
  <c r="GM57" i="1"/>
  <c r="GO54" i="1"/>
  <c r="GN54" i="1"/>
  <c r="GM54" i="1"/>
  <c r="GO53" i="1"/>
  <c r="GN53" i="1"/>
  <c r="GM53" i="1"/>
  <c r="GO48" i="1"/>
  <c r="GN48" i="1"/>
  <c r="GM48" i="1"/>
  <c r="GO45" i="1"/>
  <c r="GM45" i="1"/>
  <c r="GO42" i="1"/>
  <c r="GN42" i="1"/>
  <c r="GM42" i="1"/>
  <c r="GO34" i="1"/>
  <c r="GN34" i="1"/>
  <c r="GO32" i="1"/>
  <c r="GN32" i="1"/>
  <c r="GM32" i="1"/>
  <c r="GO30" i="1"/>
  <c r="GN30" i="1"/>
  <c r="GM30" i="1"/>
  <c r="GO29" i="1"/>
  <c r="GN29" i="1"/>
  <c r="GM29" i="1"/>
  <c r="GO28" i="1"/>
  <c r="GN28" i="1"/>
  <c r="GM28" i="1"/>
  <c r="GO27" i="1"/>
  <c r="GN27" i="1"/>
  <c r="GM27" i="1"/>
  <c r="GO26" i="1"/>
  <c r="GN26" i="1"/>
  <c r="GM26" i="1"/>
  <c r="GO25" i="1"/>
  <c r="GN25" i="1"/>
  <c r="GM25" i="1"/>
  <c r="GO24" i="1"/>
  <c r="GN24" i="1"/>
  <c r="GM24" i="1"/>
  <c r="GO23" i="1"/>
  <c r="GN23" i="1"/>
  <c r="GM23" i="1"/>
  <c r="GO17" i="1"/>
  <c r="GN17" i="1"/>
  <c r="GM17" i="1"/>
  <c r="GO16" i="1"/>
  <c r="GN16" i="1"/>
  <c r="GM16" i="1"/>
  <c r="GO15" i="1"/>
  <c r="GN15" i="1"/>
  <c r="GM15" i="1"/>
  <c r="GO13" i="1"/>
  <c r="GN13" i="1"/>
  <c r="GM13" i="1"/>
  <c r="GO10" i="1"/>
  <c r="GN10" i="1"/>
  <c r="GM10" i="1"/>
  <c r="BJ64" i="1"/>
  <c r="BJ63" i="1"/>
  <c r="BJ62" i="1"/>
  <c r="BJ60" i="1"/>
  <c r="BJ59" i="1"/>
  <c r="BJ58" i="1"/>
  <c r="BJ54" i="1"/>
  <c r="BJ28" i="1"/>
  <c r="BJ27" i="1"/>
  <c r="BJ24" i="1"/>
  <c r="BJ23" i="1"/>
  <c r="BJ7" i="1"/>
  <c r="BJ6" i="1"/>
  <c r="AQ38" i="1"/>
  <c r="AQ37" i="1"/>
  <c r="GH37" i="1" s="1"/>
  <c r="AQ48" i="1"/>
  <c r="AQ167" i="1" s="1"/>
  <c r="AQ45" i="1"/>
  <c r="GH45" i="1" s="1"/>
  <c r="AQ19" i="1"/>
  <c r="GH19" i="1" s="1"/>
  <c r="AQ18" i="1"/>
  <c r="GH18" i="1" s="1"/>
  <c r="AP48" i="1"/>
  <c r="GG48" i="1" s="1"/>
  <c r="AP45" i="1"/>
  <c r="AP18" i="1"/>
  <c r="GG18" i="1" s="1"/>
  <c r="GG34" i="1"/>
  <c r="AP19" i="1"/>
  <c r="GG19" i="1" s="1"/>
  <c r="AP38" i="1"/>
  <c r="GG38" i="1" s="1"/>
  <c r="AP37" i="1"/>
  <c r="GG37" i="1" s="1"/>
  <c r="AO38" i="1"/>
  <c r="GF38" i="1" s="1"/>
  <c r="AO37" i="1"/>
  <c r="AO48" i="1"/>
  <c r="AO167" i="1" s="1"/>
  <c r="AO45" i="1"/>
  <c r="AO19" i="1"/>
  <c r="GF19" i="1" s="1"/>
  <c r="AO18" i="1"/>
  <c r="GF18" i="1" s="1"/>
  <c r="AN37" i="1"/>
  <c r="AN38" i="1"/>
  <c r="AN19" i="1"/>
  <c r="GE19" i="1" s="1"/>
  <c r="AN18" i="1"/>
  <c r="GE18" i="1" s="1"/>
  <c r="AN167" i="1"/>
  <c r="AN50" i="1"/>
  <c r="GE50" i="1" s="1"/>
  <c r="AM38" i="1"/>
  <c r="GD38" i="1" s="1"/>
  <c r="AM37" i="1"/>
  <c r="GD37" i="1" s="1"/>
  <c r="AM167" i="1"/>
  <c r="AM50" i="1"/>
  <c r="GD50" i="1" s="1"/>
  <c r="AM19" i="1"/>
  <c r="AM18" i="1"/>
  <c r="GD18" i="1" s="1"/>
  <c r="AL167" i="1"/>
  <c r="AL37" i="1"/>
  <c r="AL38" i="1"/>
  <c r="AL19" i="1"/>
  <c r="GC19" i="1" s="1"/>
  <c r="AL18" i="1"/>
  <c r="GC18" i="1" s="1"/>
  <c r="AL50" i="1"/>
  <c r="GC50" i="1" s="1"/>
  <c r="FJ61" i="1"/>
  <c r="FK61" i="1" s="1"/>
  <c r="FJ57" i="1"/>
  <c r="FK57" i="1" s="1"/>
  <c r="FJ53" i="1"/>
  <c r="FK53" i="1" s="1"/>
  <c r="GC13" i="1"/>
  <c r="AK38" i="1"/>
  <c r="GB38" i="1" s="1"/>
  <c r="AK37" i="1"/>
  <c r="GB37" i="1" s="1"/>
  <c r="AK167" i="1"/>
  <c r="AK50" i="1"/>
  <c r="GB50" i="1" s="1"/>
  <c r="AK19" i="1"/>
  <c r="GB19" i="1" s="1"/>
  <c r="AK18" i="1"/>
  <c r="AJ38" i="1"/>
  <c r="GA38" i="1" s="1"/>
  <c r="AJ37" i="1"/>
  <c r="GA37" i="1" s="1"/>
  <c r="GA54" i="1"/>
  <c r="I68" i="22"/>
  <c r="I67" i="22"/>
  <c r="I66" i="22"/>
  <c r="I65" i="22"/>
  <c r="I64" i="22"/>
  <c r="I63" i="22"/>
  <c r="F63" i="22"/>
  <c r="F64" i="22"/>
  <c r="F65" i="22"/>
  <c r="F66" i="22"/>
  <c r="F67" i="22"/>
  <c r="F68" i="22"/>
  <c r="G68" i="22" s="1"/>
  <c r="H68" i="22" s="1"/>
  <c r="GL70" i="1"/>
  <c r="GL69" i="1"/>
  <c r="GL68" i="1"/>
  <c r="GL67" i="1"/>
  <c r="GL66" i="1"/>
  <c r="GL64" i="1"/>
  <c r="GL63" i="1"/>
  <c r="GL62" i="1"/>
  <c r="GL61" i="1"/>
  <c r="GL60" i="1"/>
  <c r="GL59" i="1"/>
  <c r="GL58" i="1"/>
  <c r="GL57" i="1"/>
  <c r="GL54" i="1"/>
  <c r="GL53" i="1"/>
  <c r="GL48" i="1"/>
  <c r="GL45" i="1"/>
  <c r="GL42" i="1"/>
  <c r="GL34" i="1"/>
  <c r="GL32" i="1"/>
  <c r="GL30" i="1"/>
  <c r="GL29" i="1"/>
  <c r="GL28" i="1"/>
  <c r="GL27" i="1"/>
  <c r="GL26" i="1"/>
  <c r="GL25" i="1"/>
  <c r="GL24" i="1"/>
  <c r="GL23" i="1"/>
  <c r="GL17" i="1"/>
  <c r="GL16" i="1"/>
  <c r="GL15" i="1"/>
  <c r="GL13" i="1"/>
  <c r="GL10" i="1"/>
  <c r="GK70" i="1"/>
  <c r="GJ70" i="1"/>
  <c r="GI70" i="1"/>
  <c r="GH70" i="1"/>
  <c r="GG70" i="1"/>
  <c r="GF70" i="1"/>
  <c r="GE70" i="1"/>
  <c r="GD70" i="1"/>
  <c r="GC70" i="1"/>
  <c r="GB70" i="1"/>
  <c r="GK69" i="1"/>
  <c r="GJ69" i="1"/>
  <c r="GI69" i="1"/>
  <c r="GH69" i="1"/>
  <c r="GG69" i="1"/>
  <c r="GF69" i="1"/>
  <c r="GE69" i="1"/>
  <c r="GD69" i="1"/>
  <c r="GC69" i="1"/>
  <c r="GB69" i="1"/>
  <c r="GK68" i="1"/>
  <c r="GJ68" i="1"/>
  <c r="GI68" i="1"/>
  <c r="GH68" i="1"/>
  <c r="GG68" i="1"/>
  <c r="GF68" i="1"/>
  <c r="GE68" i="1"/>
  <c r="GD68" i="1"/>
  <c r="GC68" i="1"/>
  <c r="GB68" i="1"/>
  <c r="GK67" i="1"/>
  <c r="GJ67" i="1"/>
  <c r="GI67" i="1"/>
  <c r="GH67" i="1"/>
  <c r="GG67" i="1"/>
  <c r="GF67" i="1"/>
  <c r="GE67" i="1"/>
  <c r="GD67" i="1"/>
  <c r="GC67" i="1"/>
  <c r="GB67" i="1"/>
  <c r="GK66" i="1"/>
  <c r="GJ66" i="1"/>
  <c r="GI66" i="1"/>
  <c r="GH66" i="1"/>
  <c r="GG66" i="1"/>
  <c r="GF66" i="1"/>
  <c r="GE66" i="1"/>
  <c r="GD66" i="1"/>
  <c r="GC66" i="1"/>
  <c r="GB66" i="1"/>
  <c r="GK64" i="1"/>
  <c r="GJ64" i="1"/>
  <c r="GI64" i="1"/>
  <c r="GH64" i="1"/>
  <c r="GG64" i="1"/>
  <c r="GF64" i="1"/>
  <c r="GE64" i="1"/>
  <c r="GD64" i="1"/>
  <c r="GC64" i="1"/>
  <c r="GB64" i="1"/>
  <c r="GK63" i="1"/>
  <c r="GJ63" i="1"/>
  <c r="GI63" i="1"/>
  <c r="GH63" i="1"/>
  <c r="GG63" i="1"/>
  <c r="GF63" i="1"/>
  <c r="GE63" i="1"/>
  <c r="GD63" i="1"/>
  <c r="GC63" i="1"/>
  <c r="GB63" i="1"/>
  <c r="GK62" i="1"/>
  <c r="GJ62" i="1"/>
  <c r="GI62" i="1"/>
  <c r="GH62" i="1"/>
  <c r="GG62" i="1"/>
  <c r="GF62" i="1"/>
  <c r="GE62" i="1"/>
  <c r="GD62" i="1"/>
  <c r="GC62" i="1"/>
  <c r="GB62" i="1"/>
  <c r="GK61" i="1"/>
  <c r="GJ61" i="1"/>
  <c r="GI61" i="1"/>
  <c r="GH61" i="1"/>
  <c r="GG61" i="1"/>
  <c r="GF61" i="1"/>
  <c r="GE61" i="1"/>
  <c r="GD61" i="1"/>
  <c r="GB61" i="1"/>
  <c r="GK60" i="1"/>
  <c r="GJ60" i="1"/>
  <c r="GI60" i="1"/>
  <c r="GH60" i="1"/>
  <c r="GG60" i="1"/>
  <c r="GF60" i="1"/>
  <c r="GE60" i="1"/>
  <c r="GD60" i="1"/>
  <c r="GC60" i="1"/>
  <c r="GB60" i="1"/>
  <c r="GK59" i="1"/>
  <c r="GJ59" i="1"/>
  <c r="GI59" i="1"/>
  <c r="GH59" i="1"/>
  <c r="GG59" i="1"/>
  <c r="GF59" i="1"/>
  <c r="GE59" i="1"/>
  <c r="GD59" i="1"/>
  <c r="GB59" i="1"/>
  <c r="GK58" i="1"/>
  <c r="GJ58" i="1"/>
  <c r="GI58" i="1"/>
  <c r="GH58" i="1"/>
  <c r="GG58" i="1"/>
  <c r="GF58" i="1"/>
  <c r="GE58" i="1"/>
  <c r="GD58" i="1"/>
  <c r="GC58" i="1"/>
  <c r="GB58" i="1"/>
  <c r="GK57" i="1"/>
  <c r="GJ57" i="1"/>
  <c r="GI57" i="1"/>
  <c r="GH57" i="1"/>
  <c r="GG57" i="1"/>
  <c r="GF57" i="1"/>
  <c r="GE57" i="1"/>
  <c r="GD57" i="1"/>
  <c r="GB57" i="1"/>
  <c r="GK54" i="1"/>
  <c r="GJ54" i="1"/>
  <c r="GI54" i="1"/>
  <c r="GH54" i="1"/>
  <c r="GG54" i="1"/>
  <c r="GF54" i="1"/>
  <c r="GE54" i="1"/>
  <c r="GD54" i="1"/>
  <c r="GC54" i="1"/>
  <c r="GB54" i="1"/>
  <c r="GK53" i="1"/>
  <c r="GJ53" i="1"/>
  <c r="GI53" i="1"/>
  <c r="GH53" i="1"/>
  <c r="GG53" i="1"/>
  <c r="GF53" i="1"/>
  <c r="GE53" i="1"/>
  <c r="GD53" i="1"/>
  <c r="GB53" i="1"/>
  <c r="GK48" i="1"/>
  <c r="GJ48" i="1"/>
  <c r="GF48" i="1"/>
  <c r="GE48" i="1"/>
  <c r="GD48" i="1"/>
  <c r="GC48" i="1"/>
  <c r="GB48" i="1"/>
  <c r="GK45" i="1"/>
  <c r="GJ45" i="1"/>
  <c r="GE45" i="1"/>
  <c r="GD45" i="1"/>
  <c r="GC45" i="1"/>
  <c r="GB45" i="1"/>
  <c r="GK42" i="1"/>
  <c r="GJ42" i="1"/>
  <c r="GI42" i="1"/>
  <c r="GH42" i="1"/>
  <c r="GG42" i="1"/>
  <c r="GF42" i="1"/>
  <c r="GE42" i="1"/>
  <c r="GD42" i="1"/>
  <c r="GC42" i="1"/>
  <c r="GB42" i="1"/>
  <c r="GH38" i="1"/>
  <c r="GI37" i="1"/>
  <c r="GK32" i="1"/>
  <c r="GJ32" i="1"/>
  <c r="GI32" i="1"/>
  <c r="GH32" i="1"/>
  <c r="GG32" i="1"/>
  <c r="GF32" i="1"/>
  <c r="GE32" i="1"/>
  <c r="GD32" i="1"/>
  <c r="GC32" i="1"/>
  <c r="GB32" i="1"/>
  <c r="GK30" i="1"/>
  <c r="GJ30" i="1"/>
  <c r="GI30" i="1"/>
  <c r="GH30" i="1"/>
  <c r="GG30" i="1"/>
  <c r="GF30" i="1"/>
  <c r="GE30" i="1"/>
  <c r="GD30" i="1"/>
  <c r="GC30" i="1"/>
  <c r="GB30" i="1"/>
  <c r="GK29" i="1"/>
  <c r="GJ29" i="1"/>
  <c r="GI29" i="1"/>
  <c r="GH29" i="1"/>
  <c r="GG29" i="1"/>
  <c r="GF29" i="1"/>
  <c r="GE29" i="1"/>
  <c r="GD29" i="1"/>
  <c r="GC29" i="1"/>
  <c r="GB29" i="1"/>
  <c r="GK28" i="1"/>
  <c r="GJ28" i="1"/>
  <c r="GI28" i="1"/>
  <c r="GH28" i="1"/>
  <c r="GG28" i="1"/>
  <c r="GF28" i="1"/>
  <c r="GE28" i="1"/>
  <c r="GD28" i="1"/>
  <c r="GC28" i="1"/>
  <c r="GB28" i="1"/>
  <c r="GK27" i="1"/>
  <c r="GJ27" i="1"/>
  <c r="GI27" i="1"/>
  <c r="GH27" i="1"/>
  <c r="GG27" i="1"/>
  <c r="GF27" i="1"/>
  <c r="GE27" i="1"/>
  <c r="GD27" i="1"/>
  <c r="GC27" i="1"/>
  <c r="GB27" i="1"/>
  <c r="GK26" i="1"/>
  <c r="GJ26" i="1"/>
  <c r="GI26" i="1"/>
  <c r="GH26" i="1"/>
  <c r="GG26" i="1"/>
  <c r="GF26" i="1"/>
  <c r="GE26" i="1"/>
  <c r="GD26" i="1"/>
  <c r="GC26" i="1"/>
  <c r="GB26" i="1"/>
  <c r="GK25" i="1"/>
  <c r="GJ25" i="1"/>
  <c r="GI25" i="1"/>
  <c r="GH25" i="1"/>
  <c r="GG25" i="1"/>
  <c r="GF25" i="1"/>
  <c r="GE25" i="1"/>
  <c r="GD25" i="1"/>
  <c r="GC25" i="1"/>
  <c r="GB25" i="1"/>
  <c r="GK24" i="1"/>
  <c r="GJ24" i="1"/>
  <c r="GI24" i="1"/>
  <c r="GH24" i="1"/>
  <c r="GG24" i="1"/>
  <c r="GF24" i="1"/>
  <c r="GE24" i="1"/>
  <c r="GD24" i="1"/>
  <c r="GC24" i="1"/>
  <c r="GB24" i="1"/>
  <c r="GK23" i="1"/>
  <c r="GJ23" i="1"/>
  <c r="GI23" i="1"/>
  <c r="GH23" i="1"/>
  <c r="GG23" i="1"/>
  <c r="GF23" i="1"/>
  <c r="GE23" i="1"/>
  <c r="GD23" i="1"/>
  <c r="GC23" i="1"/>
  <c r="GB23" i="1"/>
  <c r="GK17" i="1"/>
  <c r="GJ17" i="1"/>
  <c r="GI17" i="1"/>
  <c r="GH17" i="1"/>
  <c r="GG17" i="1"/>
  <c r="GF17" i="1"/>
  <c r="GE17" i="1"/>
  <c r="GD17" i="1"/>
  <c r="GC17" i="1"/>
  <c r="GB17" i="1"/>
  <c r="GK16" i="1"/>
  <c r="GJ16" i="1"/>
  <c r="GI16" i="1"/>
  <c r="GH16" i="1"/>
  <c r="GG16" i="1"/>
  <c r="GF16" i="1"/>
  <c r="GE16" i="1"/>
  <c r="GD16" i="1"/>
  <c r="GC16" i="1"/>
  <c r="GB16" i="1"/>
  <c r="GK15" i="1"/>
  <c r="GJ15" i="1"/>
  <c r="GI15" i="1"/>
  <c r="GH15" i="1"/>
  <c r="GG15" i="1"/>
  <c r="GF15" i="1"/>
  <c r="GE15" i="1"/>
  <c r="GD15" i="1"/>
  <c r="GC15" i="1"/>
  <c r="GB15" i="1"/>
  <c r="GK13" i="1"/>
  <c r="GJ13" i="1"/>
  <c r="GI13" i="1"/>
  <c r="GH13" i="1"/>
  <c r="GG13" i="1"/>
  <c r="GF13" i="1"/>
  <c r="GE13" i="1"/>
  <c r="GD13" i="1"/>
  <c r="GB13" i="1"/>
  <c r="GK10" i="1"/>
  <c r="GJ10" i="1"/>
  <c r="GI10" i="1"/>
  <c r="GH10" i="1"/>
  <c r="GG10" i="1"/>
  <c r="GF10" i="1"/>
  <c r="GE10" i="1"/>
  <c r="GD10" i="1"/>
  <c r="GC10" i="1"/>
  <c r="GB10" i="1"/>
  <c r="GA70" i="1"/>
  <c r="GA69" i="1"/>
  <c r="GA68" i="1"/>
  <c r="GA67" i="1"/>
  <c r="GA66" i="1"/>
  <c r="GA64" i="1"/>
  <c r="GA63" i="1"/>
  <c r="GA62" i="1"/>
  <c r="GA61" i="1"/>
  <c r="GA60" i="1"/>
  <c r="GA59" i="1"/>
  <c r="GA58" i="1"/>
  <c r="GA57" i="1"/>
  <c r="GA53" i="1"/>
  <c r="GA48" i="1"/>
  <c r="GA45" i="1"/>
  <c r="GA42" i="1"/>
  <c r="GA32" i="1"/>
  <c r="GA30" i="1"/>
  <c r="GA29" i="1"/>
  <c r="GA28" i="1"/>
  <c r="GA27" i="1"/>
  <c r="GA26" i="1"/>
  <c r="GA25" i="1"/>
  <c r="GA24" i="1"/>
  <c r="GA23" i="1"/>
  <c r="GA17" i="1"/>
  <c r="GA16" i="1"/>
  <c r="GA15" i="1"/>
  <c r="GA13" i="1"/>
  <c r="GA10" i="1"/>
  <c r="AV64" i="1"/>
  <c r="AV63" i="1"/>
  <c r="AV62" i="1"/>
  <c r="AV60" i="1"/>
  <c r="AV58" i="1"/>
  <c r="AV54" i="1"/>
  <c r="AU52" i="1"/>
  <c r="GL52" i="1" s="1"/>
  <c r="AT52" i="1"/>
  <c r="AS52" i="1"/>
  <c r="AR52" i="1"/>
  <c r="GI52" i="1" s="1"/>
  <c r="AQ52" i="1"/>
  <c r="GH52" i="1" s="1"/>
  <c r="AP52" i="1"/>
  <c r="AO52" i="1"/>
  <c r="AN52" i="1"/>
  <c r="GE52" i="1" s="1"/>
  <c r="AM52" i="1"/>
  <c r="GD52" i="1" s="1"/>
  <c r="AK52" i="1"/>
  <c r="GB52" i="1" s="1"/>
  <c r="AJ167" i="1"/>
  <c r="GF34" i="1"/>
  <c r="GE34" i="1"/>
  <c r="GD34" i="1"/>
  <c r="GC34" i="1"/>
  <c r="GB34" i="1"/>
  <c r="AV28" i="1"/>
  <c r="AV27" i="1"/>
  <c r="AV26" i="1"/>
  <c r="AV25" i="1"/>
  <c r="AV24" i="1"/>
  <c r="AV23" i="1"/>
  <c r="AU22" i="1"/>
  <c r="AU49" i="1" s="1"/>
  <c r="AT22" i="1"/>
  <c r="GK22" i="1" s="1"/>
  <c r="AS22" i="1"/>
  <c r="AS49" i="1" s="1"/>
  <c r="GJ49" i="1" s="1"/>
  <c r="AR22" i="1"/>
  <c r="GI22" i="1" s="1"/>
  <c r="AQ22" i="1"/>
  <c r="GH22" i="1" s="1"/>
  <c r="AP22" i="1"/>
  <c r="GG22" i="1" s="1"/>
  <c r="AO22" i="1"/>
  <c r="GF22" i="1" s="1"/>
  <c r="AN22" i="1"/>
  <c r="AM22" i="1"/>
  <c r="AM49" i="1" s="1"/>
  <c r="GD49" i="1" s="1"/>
  <c r="AL22" i="1"/>
  <c r="AK22" i="1"/>
  <c r="AK49" i="1" s="1"/>
  <c r="GB49" i="1" s="1"/>
  <c r="AJ22" i="1"/>
  <c r="AJ49" i="1" s="1"/>
  <c r="AJ19" i="1"/>
  <c r="AJ18" i="1"/>
  <c r="GA18" i="1" s="1"/>
  <c r="AV7" i="1"/>
  <c r="AV6" i="1"/>
  <c r="Y5" i="1"/>
  <c r="Y37" i="1"/>
  <c r="Y38" i="1"/>
  <c r="Y34" i="1"/>
  <c r="Y48" i="1"/>
  <c r="Y45" i="1"/>
  <c r="Y19" i="1"/>
  <c r="Y18" i="1"/>
  <c r="X48" i="1"/>
  <c r="X167" i="1" s="1"/>
  <c r="X45" i="1"/>
  <c r="X38" i="1"/>
  <c r="X37" i="1"/>
  <c r="X11" i="1" s="1"/>
  <c r="E24" i="23" s="1"/>
  <c r="E25" i="23" s="1"/>
  <c r="X34" i="1"/>
  <c r="X19" i="1"/>
  <c r="X18" i="1"/>
  <c r="W34" i="1"/>
  <c r="W48" i="1"/>
  <c r="W45" i="1"/>
  <c r="W5" i="1"/>
  <c r="W38" i="1"/>
  <c r="W37" i="1"/>
  <c r="W19" i="1"/>
  <c r="W18" i="1"/>
  <c r="V38" i="1"/>
  <c r="V37" i="1"/>
  <c r="V48" i="1"/>
  <c r="V45" i="1"/>
  <c r="J58" i="22"/>
  <c r="K58" i="22" s="1"/>
  <c r="Y52" i="1"/>
  <c r="X52" i="1"/>
  <c r="W52" i="1"/>
  <c r="V52" i="1"/>
  <c r="V34" i="1"/>
  <c r="Y22" i="1"/>
  <c r="X22" i="1"/>
  <c r="W22" i="1"/>
  <c r="V22" i="1"/>
  <c r="V19" i="1"/>
  <c r="V18" i="1"/>
  <c r="L24" i="23"/>
  <c r="L25" i="23" s="1"/>
  <c r="J24" i="23"/>
  <c r="J25" i="23" s="1"/>
  <c r="I24" i="23"/>
  <c r="I25" i="23" s="1"/>
  <c r="D68" i="22"/>
  <c r="E68" i="22" s="1"/>
  <c r="G13" i="22"/>
  <c r="H13" i="22" s="1"/>
  <c r="G18" i="22"/>
  <c r="H18" i="22" s="1"/>
  <c r="G20" i="22"/>
  <c r="H20" i="22" s="1"/>
  <c r="G29" i="22"/>
  <c r="H29" i="22" s="1"/>
  <c r="G31" i="22"/>
  <c r="H31" i="22" s="1"/>
  <c r="G33" i="22"/>
  <c r="H33" i="22" s="1"/>
  <c r="G41" i="22"/>
  <c r="H41" i="22" s="1"/>
  <c r="C63" i="22"/>
  <c r="C64" i="22"/>
  <c r="C65" i="22"/>
  <c r="C66" i="22"/>
  <c r="C67" i="22"/>
  <c r="B63" i="22"/>
  <c r="B64" i="22"/>
  <c r="B65" i="22"/>
  <c r="B66" i="22"/>
  <c r="B67" i="22"/>
  <c r="FX34" i="1"/>
  <c r="FX19" i="1"/>
  <c r="FZ18" i="1"/>
  <c r="FY18" i="1"/>
  <c r="FX18" i="1"/>
  <c r="FW18" i="1"/>
  <c r="FV18" i="1"/>
  <c r="FU18" i="1"/>
  <c r="FT18" i="1"/>
  <c r="FS18" i="1"/>
  <c r="FR18" i="1"/>
  <c r="FQ18" i="1"/>
  <c r="FP18" i="1"/>
  <c r="FO52" i="1"/>
  <c r="FO53" i="1"/>
  <c r="FO54" i="1"/>
  <c r="FO57" i="1"/>
  <c r="FO58" i="1"/>
  <c r="FO59" i="1"/>
  <c r="FO60" i="1"/>
  <c r="FO61" i="1"/>
  <c r="G58" i="22"/>
  <c r="H58" i="22" s="1"/>
  <c r="FZ37" i="1"/>
  <c r="FZ22" i="1"/>
  <c r="FY45" i="1"/>
  <c r="FY34" i="1"/>
  <c r="FY22" i="1"/>
  <c r="FY19" i="1"/>
  <c r="FX45" i="1"/>
  <c r="FY52" i="1"/>
  <c r="FW52" i="1"/>
  <c r="FZ62" i="1"/>
  <c r="FY62" i="1"/>
  <c r="FX62" i="1"/>
  <c r="FW62" i="1"/>
  <c r="FV62" i="1"/>
  <c r="FU62" i="1"/>
  <c r="FT62" i="1"/>
  <c r="FS62" i="1"/>
  <c r="FR62" i="1"/>
  <c r="FP62" i="1"/>
  <c r="FO62" i="1"/>
  <c r="FX22" i="1"/>
  <c r="FW49" i="1"/>
  <c r="FW34" i="1"/>
  <c r="FW22" i="1"/>
  <c r="FW19" i="1"/>
  <c r="FV58" i="1"/>
  <c r="FV48" i="1"/>
  <c r="FV45" i="1"/>
  <c r="FV34" i="1"/>
  <c r="FV22" i="1"/>
  <c r="FV19" i="1"/>
  <c r="FU54" i="1"/>
  <c r="FU57" i="1"/>
  <c r="FU58" i="1"/>
  <c r="FU45" i="1"/>
  <c r="FU34" i="1"/>
  <c r="FU22" i="1"/>
  <c r="FU19" i="1"/>
  <c r="FT34" i="1"/>
  <c r="FT37" i="1"/>
  <c r="FT22" i="1"/>
  <c r="FS45" i="1"/>
  <c r="FS54" i="1"/>
  <c r="FS57" i="1"/>
  <c r="FS58" i="1"/>
  <c r="FS22" i="1"/>
  <c r="FS19" i="1"/>
  <c r="FR49" i="1"/>
  <c r="FR45" i="1"/>
  <c r="FR54" i="1"/>
  <c r="FR53" i="1"/>
  <c r="FR61" i="1"/>
  <c r="FR60" i="1"/>
  <c r="FR58" i="1"/>
  <c r="FR22" i="1"/>
  <c r="FR19" i="1"/>
  <c r="FP45" i="1"/>
  <c r="FS13" i="1"/>
  <c r="FT13" i="1"/>
  <c r="FU13" i="1"/>
  <c r="FV13" i="1"/>
  <c r="FW13" i="1"/>
  <c r="FX13" i="1"/>
  <c r="FY13" i="1"/>
  <c r="FZ13" i="1"/>
  <c r="FS15" i="1"/>
  <c r="FT15" i="1"/>
  <c r="FU15" i="1"/>
  <c r="FV15" i="1"/>
  <c r="FW15" i="1"/>
  <c r="FX15" i="1"/>
  <c r="FY15" i="1"/>
  <c r="FZ15" i="1"/>
  <c r="FS16" i="1"/>
  <c r="FT16" i="1"/>
  <c r="FU16" i="1"/>
  <c r="FV16" i="1"/>
  <c r="FW16" i="1"/>
  <c r="FX16" i="1"/>
  <c r="FY16" i="1"/>
  <c r="FZ16" i="1"/>
  <c r="FS17" i="1"/>
  <c r="FT17" i="1"/>
  <c r="FU17" i="1"/>
  <c r="FV17" i="1"/>
  <c r="FW17" i="1"/>
  <c r="FX17" i="1"/>
  <c r="FY17" i="1"/>
  <c r="FZ17" i="1"/>
  <c r="FS23" i="1"/>
  <c r="FT23" i="1"/>
  <c r="FU23" i="1"/>
  <c r="FV23" i="1"/>
  <c r="FW23" i="1"/>
  <c r="FX23" i="1"/>
  <c r="FY23" i="1"/>
  <c r="FZ23" i="1"/>
  <c r="FS24" i="1"/>
  <c r="FT24" i="1"/>
  <c r="FU24" i="1"/>
  <c r="FV24" i="1"/>
  <c r="FW24" i="1"/>
  <c r="FX24" i="1"/>
  <c r="FY24" i="1"/>
  <c r="FZ24" i="1"/>
  <c r="FS25" i="1"/>
  <c r="FT25" i="1"/>
  <c r="FU25" i="1"/>
  <c r="FV25" i="1"/>
  <c r="FW25" i="1"/>
  <c r="FX25" i="1"/>
  <c r="FY25" i="1"/>
  <c r="FZ25" i="1"/>
  <c r="FS26" i="1"/>
  <c r="FT26" i="1"/>
  <c r="FU26" i="1"/>
  <c r="FV26" i="1"/>
  <c r="FW26" i="1"/>
  <c r="FX26" i="1"/>
  <c r="FY26" i="1"/>
  <c r="FZ26" i="1"/>
  <c r="FS27" i="1"/>
  <c r="FT27" i="1"/>
  <c r="FU27" i="1"/>
  <c r="FV27" i="1"/>
  <c r="FW27" i="1"/>
  <c r="FX27" i="1"/>
  <c r="FY27" i="1"/>
  <c r="FZ27" i="1"/>
  <c r="FS28" i="1"/>
  <c r="FT28" i="1"/>
  <c r="FU28" i="1"/>
  <c r="FV28" i="1"/>
  <c r="FW28" i="1"/>
  <c r="FX28" i="1"/>
  <c r="FY28" i="1"/>
  <c r="FZ28" i="1"/>
  <c r="FS29" i="1"/>
  <c r="FT29" i="1"/>
  <c r="FU29" i="1"/>
  <c r="FV29" i="1"/>
  <c r="FW29" i="1"/>
  <c r="FX29" i="1"/>
  <c r="FY29" i="1"/>
  <c r="FZ29" i="1"/>
  <c r="FS30" i="1"/>
  <c r="FT30" i="1"/>
  <c r="FU30" i="1"/>
  <c r="FV30" i="1"/>
  <c r="FW30" i="1"/>
  <c r="FX30" i="1"/>
  <c r="FY30" i="1"/>
  <c r="FZ30" i="1"/>
  <c r="FS32" i="1"/>
  <c r="FT32" i="1"/>
  <c r="FU32" i="1"/>
  <c r="FV32" i="1"/>
  <c r="FW32" i="1"/>
  <c r="FX32" i="1"/>
  <c r="FY32" i="1"/>
  <c r="FZ32" i="1"/>
  <c r="FS34" i="1"/>
  <c r="FY37" i="1"/>
  <c r="FS38" i="1"/>
  <c r="FT38" i="1"/>
  <c r="FU38" i="1"/>
  <c r="FV38" i="1"/>
  <c r="FW38" i="1"/>
  <c r="FX38" i="1"/>
  <c r="FY38" i="1"/>
  <c r="FZ38" i="1"/>
  <c r="FS42" i="1"/>
  <c r="FT42" i="1"/>
  <c r="FU42" i="1"/>
  <c r="FV42" i="1"/>
  <c r="FW42" i="1"/>
  <c r="FX42" i="1"/>
  <c r="FY42" i="1"/>
  <c r="FZ42" i="1"/>
  <c r="FT45" i="1"/>
  <c r="FW45" i="1"/>
  <c r="FZ45" i="1"/>
  <c r="FT48" i="1"/>
  <c r="FY48" i="1"/>
  <c r="FX52" i="1"/>
  <c r="FZ52" i="1"/>
  <c r="FS53" i="1"/>
  <c r="FT53" i="1"/>
  <c r="FU53" i="1"/>
  <c r="FV53" i="1"/>
  <c r="FW53" i="1"/>
  <c r="FX53" i="1"/>
  <c r="FY53" i="1"/>
  <c r="FZ53" i="1"/>
  <c r="FT54" i="1"/>
  <c r="FW54" i="1"/>
  <c r="FX54" i="1"/>
  <c r="FY54" i="1"/>
  <c r="FZ54" i="1"/>
  <c r="FT57" i="1"/>
  <c r="FV57" i="1"/>
  <c r="FW57" i="1"/>
  <c r="FX57" i="1"/>
  <c r="FY57" i="1"/>
  <c r="FZ57" i="1"/>
  <c r="FT58" i="1"/>
  <c r="FW58" i="1"/>
  <c r="FX58" i="1"/>
  <c r="FY58" i="1"/>
  <c r="FZ58" i="1"/>
  <c r="FS59" i="1"/>
  <c r="FT59" i="1"/>
  <c r="FU59" i="1"/>
  <c r="FV59" i="1"/>
  <c r="FW59" i="1"/>
  <c r="FX59" i="1"/>
  <c r="FY59" i="1"/>
  <c r="FZ59" i="1"/>
  <c r="FS60" i="1"/>
  <c r="FT60" i="1"/>
  <c r="FU60" i="1"/>
  <c r="FV60" i="1"/>
  <c r="FW60" i="1"/>
  <c r="FX60" i="1"/>
  <c r="FY60" i="1"/>
  <c r="FZ60" i="1"/>
  <c r="FS61" i="1"/>
  <c r="FT61" i="1"/>
  <c r="FU61" i="1"/>
  <c r="FV61" i="1"/>
  <c r="FW61" i="1"/>
  <c r="FX61" i="1"/>
  <c r="FY61" i="1"/>
  <c r="FZ61" i="1"/>
  <c r="FS63" i="1"/>
  <c r="FT63" i="1"/>
  <c r="FU63" i="1"/>
  <c r="FV63" i="1"/>
  <c r="FW63" i="1"/>
  <c r="FX63" i="1"/>
  <c r="FY63" i="1"/>
  <c r="FZ63" i="1"/>
  <c r="FS64" i="1"/>
  <c r="FT64" i="1"/>
  <c r="FU64" i="1"/>
  <c r="FV64" i="1"/>
  <c r="FW64" i="1"/>
  <c r="FY64" i="1"/>
  <c r="FZ64" i="1"/>
  <c r="FS66" i="1"/>
  <c r="FT66" i="1"/>
  <c r="FU66" i="1"/>
  <c r="FV66" i="1"/>
  <c r="FW66" i="1"/>
  <c r="FX66" i="1"/>
  <c r="FY66" i="1"/>
  <c r="FZ66" i="1"/>
  <c r="FS67" i="1"/>
  <c r="FT67" i="1"/>
  <c r="FU67" i="1"/>
  <c r="FV67" i="1"/>
  <c r="FW67" i="1"/>
  <c r="FX67" i="1"/>
  <c r="FY67" i="1"/>
  <c r="FZ67" i="1"/>
  <c r="FS68" i="1"/>
  <c r="FT68" i="1"/>
  <c r="FU68" i="1"/>
  <c r="FV68" i="1"/>
  <c r="FW68" i="1"/>
  <c r="FX68" i="1"/>
  <c r="FY68" i="1"/>
  <c r="FZ68" i="1"/>
  <c r="FS69" i="1"/>
  <c r="FT69" i="1"/>
  <c r="FU69" i="1"/>
  <c r="FV69" i="1"/>
  <c r="FW69" i="1"/>
  <c r="FX69" i="1"/>
  <c r="FY69" i="1"/>
  <c r="FZ69" i="1"/>
  <c r="FS70" i="1"/>
  <c r="FT70" i="1"/>
  <c r="FU70" i="1"/>
  <c r="FV70" i="1"/>
  <c r="FW70" i="1"/>
  <c r="FX70" i="1"/>
  <c r="FY70" i="1"/>
  <c r="FZ70" i="1"/>
  <c r="FR13" i="1"/>
  <c r="FR15" i="1"/>
  <c r="FR16" i="1"/>
  <c r="FR17" i="1"/>
  <c r="FR23" i="1"/>
  <c r="FR24" i="1"/>
  <c r="FR25" i="1"/>
  <c r="FR26" i="1"/>
  <c r="FR27" i="1"/>
  <c r="FR28" i="1"/>
  <c r="FR29" i="1"/>
  <c r="FR30" i="1"/>
  <c r="FR32" i="1"/>
  <c r="FR34" i="1"/>
  <c r="FR37" i="1"/>
  <c r="FR38" i="1"/>
  <c r="FR42" i="1"/>
  <c r="FR57" i="1"/>
  <c r="FR59" i="1"/>
  <c r="FR63" i="1"/>
  <c r="FR64" i="1"/>
  <c r="FR66" i="1"/>
  <c r="FR67" i="1"/>
  <c r="FR68" i="1"/>
  <c r="FR69" i="1"/>
  <c r="FR70" i="1"/>
  <c r="FQ19" i="1"/>
  <c r="FQ22" i="1"/>
  <c r="FQ34" i="1"/>
  <c r="FQ46" i="1"/>
  <c r="FQ50" i="1"/>
  <c r="FQ49" i="1"/>
  <c r="FQ54" i="1"/>
  <c r="FQ59" i="1"/>
  <c r="FQ60" i="1"/>
  <c r="FQ57" i="1"/>
  <c r="FQ58" i="1"/>
  <c r="FQ13" i="1"/>
  <c r="FQ15" i="1"/>
  <c r="FQ16" i="1"/>
  <c r="FQ17" i="1"/>
  <c r="FQ23" i="1"/>
  <c r="FQ24" i="1"/>
  <c r="FQ25" i="1"/>
  <c r="FQ26" i="1"/>
  <c r="FQ27" i="1"/>
  <c r="FQ28" i="1"/>
  <c r="FQ29" i="1"/>
  <c r="FQ30" i="1"/>
  <c r="FQ32" i="1"/>
  <c r="FQ37" i="1"/>
  <c r="FQ38" i="1"/>
  <c r="FQ42" i="1"/>
  <c r="FQ45" i="1"/>
  <c r="FQ48" i="1"/>
  <c r="FQ63" i="1"/>
  <c r="FQ64" i="1"/>
  <c r="FQ66" i="1"/>
  <c r="FQ67" i="1"/>
  <c r="FQ68" i="1"/>
  <c r="FQ69" i="1"/>
  <c r="FQ70" i="1"/>
  <c r="FO70" i="1"/>
  <c r="FO69" i="1"/>
  <c r="FO68" i="1"/>
  <c r="FO67" i="1"/>
  <c r="FO66" i="1"/>
  <c r="FO64" i="1"/>
  <c r="FO63" i="1"/>
  <c r="FO50" i="1"/>
  <c r="FO49" i="1"/>
  <c r="FO48" i="1"/>
  <c r="FO47" i="1"/>
  <c r="FO46" i="1"/>
  <c r="FO45" i="1"/>
  <c r="FO43" i="1"/>
  <c r="FO42" i="1"/>
  <c r="FO40" i="1"/>
  <c r="FO39" i="1"/>
  <c r="FO38" i="1"/>
  <c r="FO37" i="1"/>
  <c r="FO35" i="1"/>
  <c r="FO34" i="1"/>
  <c r="FO32" i="1"/>
  <c r="FO30" i="1"/>
  <c r="FO29" i="1"/>
  <c r="FO28" i="1"/>
  <c r="FO27" i="1"/>
  <c r="FO26" i="1"/>
  <c r="FO25" i="1"/>
  <c r="FO24" i="1"/>
  <c r="FO23" i="1"/>
  <c r="FO20" i="1"/>
  <c r="FO19" i="1"/>
  <c r="FO18" i="1"/>
  <c r="FO17" i="1"/>
  <c r="FO16" i="1"/>
  <c r="FO15" i="1"/>
  <c r="FO14" i="1"/>
  <c r="FO13" i="1"/>
  <c r="FP70" i="1"/>
  <c r="FP69" i="1"/>
  <c r="FP68" i="1"/>
  <c r="FP67" i="1"/>
  <c r="FP66" i="1"/>
  <c r="FP64" i="1"/>
  <c r="FP63" i="1"/>
  <c r="FP61" i="1"/>
  <c r="FP60" i="1"/>
  <c r="FP59" i="1"/>
  <c r="FP58" i="1"/>
  <c r="FP57" i="1"/>
  <c r="FP54" i="1"/>
  <c r="FP53" i="1"/>
  <c r="FP48" i="1"/>
  <c r="FP42" i="1"/>
  <c r="FP38" i="1"/>
  <c r="FP32" i="1"/>
  <c r="FP30" i="1"/>
  <c r="FP29" i="1"/>
  <c r="FP28" i="1"/>
  <c r="FP27" i="1"/>
  <c r="FP26" i="1"/>
  <c r="FP25" i="1"/>
  <c r="FP24" i="1"/>
  <c r="FP23" i="1"/>
  <c r="FP17" i="1"/>
  <c r="FP16" i="1"/>
  <c r="FP15" i="1"/>
  <c r="FP13" i="1"/>
  <c r="FP37" i="1"/>
  <c r="FP52" i="1"/>
  <c r="FP49" i="1"/>
  <c r="FP22" i="1"/>
  <c r="FP19" i="1"/>
  <c r="FP34" i="1"/>
  <c r="G2" i="1"/>
  <c r="G3" i="1" s="1"/>
  <c r="FT49" i="1"/>
  <c r="FT50" i="1"/>
  <c r="FV49" i="1"/>
  <c r="FQ62" i="1"/>
  <c r="FZ34" i="1"/>
  <c r="FR46" i="1"/>
  <c r="FW50" i="1"/>
  <c r="FY49" i="1"/>
  <c r="FS52" i="1"/>
  <c r="FQ61" i="1"/>
  <c r="FR52" i="1"/>
  <c r="FT52" i="1"/>
  <c r="FV52" i="1"/>
  <c r="FX40" i="1"/>
  <c r="FS49" i="1"/>
  <c r="FX49" i="1"/>
  <c r="FX50" i="1"/>
  <c r="FU39" i="1"/>
  <c r="FU52" i="1"/>
  <c r="FU49" i="1"/>
  <c r="FZ48" i="1"/>
  <c r="FU48" i="1"/>
  <c r="FS48" i="1"/>
  <c r="FX37" i="1"/>
  <c r="FU37" i="1"/>
  <c r="FP50" i="1"/>
  <c r="FV54" i="1"/>
  <c r="D36" i="22"/>
  <c r="E36" i="22" s="1"/>
  <c r="GH34" i="1"/>
  <c r="GJ34" i="1"/>
  <c r="GK34" i="1"/>
  <c r="FX48" i="1"/>
  <c r="FS37" i="1"/>
  <c r="FZ50" i="1"/>
  <c r="FV11" i="1"/>
  <c r="FV37" i="1"/>
  <c r="FZ11" i="1"/>
  <c r="FZ39" i="1"/>
  <c r="FT11" i="1"/>
  <c r="FT46" i="1"/>
  <c r="FQ40" i="1"/>
  <c r="AJ50" i="1"/>
  <c r="GA50" i="1" s="1"/>
  <c r="FV40" i="1"/>
  <c r="FV39" i="1"/>
  <c r="FV46" i="1"/>
  <c r="FU46" i="1"/>
  <c r="FU40" i="1"/>
  <c r="FX39" i="1"/>
  <c r="FX46" i="1"/>
  <c r="GA34" i="1"/>
  <c r="AJ52" i="1"/>
  <c r="GA52" i="1" s="1"/>
  <c r="AV13" i="1"/>
  <c r="F19" i="23"/>
  <c r="F20" i="23" s="1"/>
  <c r="H19" i="23"/>
  <c r="H20" i="23" s="1"/>
  <c r="FQ47" i="1"/>
  <c r="J19" i="23"/>
  <c r="I29" i="23"/>
  <c r="I30" i="23" s="1"/>
  <c r="FT40" i="1"/>
  <c r="FR50" i="1"/>
  <c r="FU50" i="1"/>
  <c r="FS50" i="1"/>
  <c r="FZ49" i="1"/>
  <c r="FP47" i="1"/>
  <c r="FR48" i="1"/>
  <c r="FX64" i="1"/>
  <c r="FT39" i="1"/>
  <c r="D21" i="22"/>
  <c r="E21" i="22" s="1"/>
  <c r="FZ40" i="1"/>
  <c r="FZ46" i="1"/>
  <c r="FS11" i="1"/>
  <c r="I34" i="23"/>
  <c r="I35" i="23" s="1"/>
  <c r="FR39" i="1"/>
  <c r="FQ53" i="1"/>
  <c r="FR40" i="1"/>
  <c r="FY50" i="1"/>
  <c r="FV50" i="1"/>
  <c r="FQ39" i="1"/>
  <c r="FW48" i="1"/>
  <c r="FW37" i="1"/>
  <c r="FY11" i="1"/>
  <c r="E19" i="23"/>
  <c r="E20" i="23" s="1"/>
  <c r="K19" i="23"/>
  <c r="M19" i="23"/>
  <c r="BJ48" i="1"/>
  <c r="BJ57" i="1"/>
  <c r="BJ61" i="1"/>
  <c r="FY39" i="1"/>
  <c r="FY46" i="1"/>
  <c r="FY40" i="1"/>
  <c r="FQ52" i="1"/>
  <c r="FP11" i="1"/>
  <c r="C34" i="23"/>
  <c r="FW39" i="1"/>
  <c r="FW46" i="1"/>
  <c r="FW40" i="1"/>
  <c r="FP39" i="1"/>
  <c r="FP46" i="1"/>
  <c r="FP40" i="1"/>
  <c r="AP167" i="1"/>
  <c r="N34" i="23"/>
  <c r="N35" i="23" s="1"/>
  <c r="L19" i="23"/>
  <c r="G11" i="22"/>
  <c r="H11" i="22" s="1"/>
  <c r="J41" i="22"/>
  <c r="K41" i="22" s="1"/>
  <c r="G16" i="22"/>
  <c r="H16" i="22" s="1"/>
  <c r="J28" i="22"/>
  <c r="K28" i="22" s="1"/>
  <c r="J30" i="22"/>
  <c r="K30" i="22" s="1"/>
  <c r="J32" i="22"/>
  <c r="K32" i="22" s="1"/>
  <c r="J34" i="22"/>
  <c r="K34" i="22" s="1"/>
  <c r="J20" i="22"/>
  <c r="K20" i="22" s="1"/>
  <c r="J13" i="22"/>
  <c r="K13" i="22" s="1"/>
  <c r="G49" i="22"/>
  <c r="H49" i="22" s="1"/>
  <c r="G9" i="22"/>
  <c r="H9" i="22" s="1"/>
  <c r="D41" i="22"/>
  <c r="E41" i="22" s="1"/>
  <c r="H24" i="23"/>
  <c r="H25" i="23" s="1"/>
  <c r="D18" i="22"/>
  <c r="E18" i="22" s="1"/>
  <c r="D9" i="22"/>
  <c r="E9" i="22" s="1"/>
  <c r="CR45" i="1"/>
  <c r="CS45" i="1" s="1"/>
  <c r="CP45" i="1"/>
  <c r="CQ45" i="1" s="1"/>
  <c r="BJ45" i="1"/>
  <c r="GN45" i="1"/>
  <c r="FJ70" i="1"/>
  <c r="FK70" i="1" s="1"/>
  <c r="FJ63" i="1"/>
  <c r="FK63" i="1" s="1"/>
  <c r="D20" i="22"/>
  <c r="E20" i="22" s="1"/>
  <c r="J19" i="22"/>
  <c r="K19" i="22" s="1"/>
  <c r="J14" i="22"/>
  <c r="K14" i="22" s="1"/>
  <c r="J49" i="22"/>
  <c r="K49" i="22" s="1"/>
  <c r="G34" i="23"/>
  <c r="G35" i="23" s="1"/>
  <c r="J8" i="22"/>
  <c r="K8" i="22" s="1"/>
  <c r="FZ19" i="1"/>
  <c r="GC53" i="1"/>
  <c r="AV53" i="1"/>
  <c r="FJ6" i="1"/>
  <c r="FK6" i="1" s="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FP14" i="1"/>
  <c r="J11" i="22"/>
  <c r="K11" i="22" s="1"/>
  <c r="G42" i="22"/>
  <c r="H42" i="22" s="1"/>
  <c r="D40" i="22"/>
  <c r="E40" i="22" s="1"/>
  <c r="G40" i="22"/>
  <c r="H40" i="22" s="1"/>
  <c r="G34" i="22"/>
  <c r="H34" i="22" s="1"/>
  <c r="J18" i="22"/>
  <c r="K18" i="22" s="1"/>
  <c r="G14" i="22"/>
  <c r="H14" i="22" s="1"/>
  <c r="J15" i="22"/>
  <c r="K15" i="22" s="1"/>
  <c r="G15" i="22"/>
  <c r="H15" i="22" s="1"/>
  <c r="F34" i="23"/>
  <c r="F35" i="23" s="1"/>
  <c r="FJ7" i="1"/>
  <c r="FK7" i="1" s="1"/>
  <c r="FT19" i="1"/>
  <c r="C19" i="23"/>
  <c r="C20" i="23" s="1"/>
  <c r="FQ11" i="1"/>
  <c r="D34" i="23"/>
  <c r="D35" i="23" s="1"/>
  <c r="FS40" i="1"/>
  <c r="FS46" i="1"/>
  <c r="FS39" i="1"/>
  <c r="K34" i="23"/>
  <c r="K35" i="23" s="1"/>
  <c r="FX11" i="1"/>
  <c r="E34" i="23"/>
  <c r="E35" i="23" s="1"/>
  <c r="FR11" i="1"/>
  <c r="FU11" i="1"/>
  <c r="J34" i="23"/>
  <c r="J35" i="23" s="1"/>
  <c r="FW11" i="1"/>
  <c r="D22" i="22"/>
  <c r="E22" i="22" s="1"/>
  <c r="D12" i="22"/>
  <c r="E12" i="22" s="1"/>
  <c r="G39" i="22"/>
  <c r="H39" i="22" s="1"/>
  <c r="D31" i="22"/>
  <c r="E31" i="22" s="1"/>
  <c r="J16" i="22"/>
  <c r="K16" i="22" s="1"/>
  <c r="FJ45" i="1"/>
  <c r="FK45" i="1" s="1"/>
  <c r="FJ48" i="1"/>
  <c r="FK48" i="1" s="1"/>
  <c r="T46" i="22" l="1"/>
  <c r="U46" i="22" s="1"/>
  <c r="W50" i="1"/>
  <c r="CP5" i="1"/>
  <c r="CQ5" i="1" s="1"/>
  <c r="Q13" i="22"/>
  <c r="R13" i="22"/>
  <c r="Q39" i="22"/>
  <c r="R39" i="22"/>
  <c r="Q16" i="22"/>
  <c r="R16" i="22"/>
  <c r="Q31" i="22"/>
  <c r="R31" i="22"/>
  <c r="Q40" i="22"/>
  <c r="R40" i="22"/>
  <c r="Q9" i="22"/>
  <c r="R9" i="22"/>
  <c r="Q18" i="22"/>
  <c r="R18" i="22"/>
  <c r="Q32" i="22"/>
  <c r="R32" i="22"/>
  <c r="Q41" i="22"/>
  <c r="R41" i="22"/>
  <c r="Q29" i="22"/>
  <c r="R29" i="22"/>
  <c r="Q11" i="22"/>
  <c r="R11" i="22"/>
  <c r="Q28" i="22"/>
  <c r="R28" i="22"/>
  <c r="Q33" i="22"/>
  <c r="R33" i="22"/>
  <c r="Q42" i="22"/>
  <c r="R42" i="22"/>
  <c r="U43" i="22"/>
  <c r="V43" i="22"/>
  <c r="U5" i="22"/>
  <c r="V5" i="22"/>
  <c r="U6" i="22"/>
  <c r="V6" i="22"/>
  <c r="EJ35" i="1"/>
  <c r="EK35" i="1" s="1"/>
  <c r="EJ20" i="1"/>
  <c r="EK20" i="1" s="1"/>
  <c r="HJ20" i="1"/>
  <c r="EJ43" i="1"/>
  <c r="EK43" i="1" s="1"/>
  <c r="HJ43" i="1"/>
  <c r="DJ40" i="1"/>
  <c r="DK40" i="1" s="1"/>
  <c r="EH20" i="1"/>
  <c r="EI20" i="1" s="1"/>
  <c r="HI20" i="1"/>
  <c r="HI43" i="1"/>
  <c r="EH43" i="1"/>
  <c r="EI43" i="1" s="1"/>
  <c r="HI35" i="1"/>
  <c r="V11" i="1"/>
  <c r="V4" i="1" s="1"/>
  <c r="X50" i="1"/>
  <c r="CV5" i="1"/>
  <c r="CW5" i="1" s="1"/>
  <c r="AL11" i="1"/>
  <c r="GC11" i="1" s="1"/>
  <c r="DB37" i="1"/>
  <c r="DC37" i="1" s="1"/>
  <c r="AR39" i="1"/>
  <c r="AR46" i="1" s="1"/>
  <c r="GI46" i="1" s="1"/>
  <c r="CT38" i="1"/>
  <c r="CU38" i="1" s="1"/>
  <c r="DD5" i="1"/>
  <c r="DE5" i="1" s="1"/>
  <c r="AQ39" i="1"/>
  <c r="GH39" i="1" s="1"/>
  <c r="AP11" i="1"/>
  <c r="GG11" i="1" s="1"/>
  <c r="DF5" i="1"/>
  <c r="DG5" i="1" s="1"/>
  <c r="AU11" i="1"/>
  <c r="AU43" i="1" s="1"/>
  <c r="GL43" i="1" s="1"/>
  <c r="CR37" i="1"/>
  <c r="CS37" i="1" s="1"/>
  <c r="GO22" i="1"/>
  <c r="HH40" i="1"/>
  <c r="GV39" i="1"/>
  <c r="BG40" i="1"/>
  <c r="GV40" i="1" s="1"/>
  <c r="GV11" i="1"/>
  <c r="DH39" i="1"/>
  <c r="DI39" i="1" s="1"/>
  <c r="DH49" i="1"/>
  <c r="DI49" i="1" s="1"/>
  <c r="CP50" i="1"/>
  <c r="CQ50" i="1" s="1"/>
  <c r="BG46" i="1"/>
  <c r="GV46" i="1" s="1"/>
  <c r="CP52" i="1"/>
  <c r="CQ52" i="1" s="1"/>
  <c r="CN52" i="1"/>
  <c r="CO52" i="1" s="1"/>
  <c r="GL38" i="1"/>
  <c r="AV45" i="1"/>
  <c r="Y39" i="1"/>
  <c r="Y40" i="1" s="1"/>
  <c r="DF37" i="1"/>
  <c r="DG37" i="1" s="1"/>
  <c r="GM38" i="1"/>
  <c r="AU39" i="1"/>
  <c r="AU40" i="1" s="1"/>
  <c r="GL40" i="1" s="1"/>
  <c r="J13" i="23"/>
  <c r="AV5" i="1"/>
  <c r="CV38" i="1"/>
  <c r="CW38" i="1" s="1"/>
  <c r="DD37" i="1"/>
  <c r="DE37" i="1" s="1"/>
  <c r="DD52" i="1"/>
  <c r="DE52" i="1" s="1"/>
  <c r="CV37" i="1"/>
  <c r="CW37" i="1" s="1"/>
  <c r="AK11" i="1"/>
  <c r="D19" i="23" s="1"/>
  <c r="AV48" i="1"/>
  <c r="AV50" i="1" s="1"/>
  <c r="Y50" i="1"/>
  <c r="CN49" i="1"/>
  <c r="CO49" i="1" s="1"/>
  <c r="AS39" i="1"/>
  <c r="AS40" i="1" s="1"/>
  <c r="GJ40" i="1" s="1"/>
  <c r="GQ22" i="1"/>
  <c r="GQ37" i="1"/>
  <c r="GU52" i="1"/>
  <c r="CV22" i="1"/>
  <c r="CW22" i="1" s="1"/>
  <c r="DF52" i="1"/>
  <c r="DG52" i="1" s="1"/>
  <c r="DD38" i="1"/>
  <c r="DE38" i="1" s="1"/>
  <c r="HB49" i="1"/>
  <c r="GH48" i="1"/>
  <c r="AO11" i="1"/>
  <c r="GF11" i="1" s="1"/>
  <c r="AP50" i="1"/>
  <c r="GG50" i="1" s="1"/>
  <c r="AM39" i="1"/>
  <c r="AM46" i="1" s="1"/>
  <c r="GD46" i="1" s="1"/>
  <c r="GG45" i="1"/>
  <c r="AO50" i="1"/>
  <c r="GF50" i="1" s="1"/>
  <c r="BA11" i="1"/>
  <c r="BA35" i="1" s="1"/>
  <c r="GP35" i="1" s="1"/>
  <c r="CR49" i="1"/>
  <c r="CS49" i="1" s="1"/>
  <c r="AY11" i="1"/>
  <c r="DD49" i="1"/>
  <c r="DE49" i="1" s="1"/>
  <c r="CX52" i="1"/>
  <c r="CY52" i="1" s="1"/>
  <c r="GA22" i="1"/>
  <c r="GV49" i="1"/>
  <c r="CZ22" i="1"/>
  <c r="DA22" i="1" s="1"/>
  <c r="GF52" i="1"/>
  <c r="GU49" i="1"/>
  <c r="CR22" i="1"/>
  <c r="CS22" i="1" s="1"/>
  <c r="GN49" i="1"/>
  <c r="HH20" i="1"/>
  <c r="GU22" i="1"/>
  <c r="D66" i="22"/>
  <c r="E66" i="22" s="1"/>
  <c r="GP11" i="1"/>
  <c r="GR52" i="1"/>
  <c r="DF22" i="1"/>
  <c r="DG22" i="1" s="1"/>
  <c r="CT49" i="1"/>
  <c r="CU49" i="1" s="1"/>
  <c r="EF40" i="1"/>
  <c r="EG40" i="1" s="1"/>
  <c r="CN50" i="1"/>
  <c r="CO50" i="1" s="1"/>
  <c r="CR50" i="1"/>
  <c r="CS50" i="1" s="1"/>
  <c r="HH35" i="1"/>
  <c r="HH49" i="1"/>
  <c r="EF49" i="1"/>
  <c r="EG49" i="1" s="1"/>
  <c r="DB22" i="1"/>
  <c r="DC22" i="1" s="1"/>
  <c r="GD22" i="1"/>
  <c r="GM22" i="1"/>
  <c r="DF49" i="1"/>
  <c r="DG49" i="1" s="1"/>
  <c r="CV50" i="1"/>
  <c r="CW50" i="1" s="1"/>
  <c r="HH43" i="1"/>
  <c r="EF43" i="1"/>
  <c r="EG43" i="1" s="1"/>
  <c r="CV49" i="1"/>
  <c r="CW49" i="1" s="1"/>
  <c r="BG4" i="1"/>
  <c r="EF35" i="1"/>
  <c r="EG35" i="1" s="1"/>
  <c r="EF20" i="1"/>
  <c r="EG20" i="1" s="1"/>
  <c r="GU18" i="1"/>
  <c r="GU19" i="1"/>
  <c r="FJ19" i="1"/>
  <c r="FK19" i="1" s="1"/>
  <c r="K7" i="23"/>
  <c r="K9" i="23" s="1"/>
  <c r="K10" i="23" s="1"/>
  <c r="BT43" i="1"/>
  <c r="BT20" i="1"/>
  <c r="HG20" i="1" s="1"/>
  <c r="BT35" i="1"/>
  <c r="GT18" i="1"/>
  <c r="FJ18" i="1"/>
  <c r="FK18" i="1" s="1"/>
  <c r="BS35" i="1"/>
  <c r="BS43" i="1"/>
  <c r="BS20" i="1"/>
  <c r="BD49" i="1"/>
  <c r="DB49" i="1" s="1"/>
  <c r="DC49" i="1" s="1"/>
  <c r="BJ22" i="1"/>
  <c r="CX49" i="1"/>
  <c r="CY49" i="1" s="1"/>
  <c r="CN22" i="1"/>
  <c r="CO22" i="1" s="1"/>
  <c r="AK39" i="1"/>
  <c r="GB39" i="1" s="1"/>
  <c r="AJ11" i="1"/>
  <c r="AJ20" i="1" s="1"/>
  <c r="GJ52" i="1"/>
  <c r="GL22" i="1"/>
  <c r="X35" i="1"/>
  <c r="AQ11" i="1"/>
  <c r="GH11" i="1" s="1"/>
  <c r="AV37" i="1"/>
  <c r="GF37" i="1"/>
  <c r="GJ37" i="1"/>
  <c r="GE38" i="1"/>
  <c r="GF45" i="1"/>
  <c r="GL37" i="1"/>
  <c r="M64" i="22"/>
  <c r="N64" i="22" s="1"/>
  <c r="BJ5" i="1"/>
  <c r="GO50" i="1"/>
  <c r="GP22" i="1"/>
  <c r="GT22" i="1"/>
  <c r="CT22" i="1"/>
  <c r="CU22" i="1" s="1"/>
  <c r="CN37" i="1"/>
  <c r="CO37" i="1" s="1"/>
  <c r="CX50" i="1"/>
  <c r="CY50" i="1" s="1"/>
  <c r="CR38" i="1"/>
  <c r="CS38" i="1" s="1"/>
  <c r="GS50" i="1"/>
  <c r="CZ38" i="1"/>
  <c r="DA38" i="1" s="1"/>
  <c r="FJ38" i="1"/>
  <c r="FK38" i="1" s="1"/>
  <c r="X43" i="1"/>
  <c r="V50" i="1"/>
  <c r="V49" i="1"/>
  <c r="CZ37" i="1"/>
  <c r="DA37" i="1" s="1"/>
  <c r="DD22" i="1"/>
  <c r="DE22" i="1" s="1"/>
  <c r="GS52" i="1"/>
  <c r="AO39" i="1"/>
  <c r="GF39" i="1" s="1"/>
  <c r="GL49" i="1"/>
  <c r="X20" i="1"/>
  <c r="X4" i="1"/>
  <c r="W49" i="1"/>
  <c r="X49" i="1"/>
  <c r="Y49" i="1"/>
  <c r="GC38" i="1"/>
  <c r="GM50" i="1"/>
  <c r="GR22" i="1"/>
  <c r="GS37" i="1"/>
  <c r="GU38" i="1"/>
  <c r="CR5" i="1"/>
  <c r="CS5" i="1" s="1"/>
  <c r="DB5" i="1"/>
  <c r="DC5" i="1" s="1"/>
  <c r="CX22" i="1"/>
  <c r="CY22" i="1" s="1"/>
  <c r="BF11" i="1"/>
  <c r="K12" i="23" s="1"/>
  <c r="K14" i="23" s="1"/>
  <c r="C53" i="23" s="1"/>
  <c r="CV52" i="1"/>
  <c r="CW52" i="1" s="1"/>
  <c r="HF11" i="1"/>
  <c r="J7" i="23"/>
  <c r="J9" i="23" s="1"/>
  <c r="J10" i="23" s="1"/>
  <c r="M63" i="22"/>
  <c r="N63" i="22" s="1"/>
  <c r="M67" i="22"/>
  <c r="N67" i="22" s="1"/>
  <c r="J63" i="22"/>
  <c r="K63" i="22" s="1"/>
  <c r="G65" i="22"/>
  <c r="H65" i="22" s="1"/>
  <c r="GS19" i="1"/>
  <c r="GS18" i="1"/>
  <c r="BR43" i="1"/>
  <c r="BR20" i="1"/>
  <c r="BR35" i="1"/>
  <c r="I7" i="23"/>
  <c r="I9" i="23" s="1"/>
  <c r="I10" i="23" s="1"/>
  <c r="G64" i="22"/>
  <c r="H64" i="22" s="1"/>
  <c r="P24" i="22"/>
  <c r="Q24" i="22" s="1"/>
  <c r="P60" i="22"/>
  <c r="Q60" i="22" s="1"/>
  <c r="D63" i="22"/>
  <c r="E63" i="22" s="1"/>
  <c r="J64" i="22"/>
  <c r="K64" i="22" s="1"/>
  <c r="J68" i="22"/>
  <c r="K68" i="22" s="1"/>
  <c r="P12" i="22"/>
  <c r="Q12" i="22" s="1"/>
  <c r="GR18" i="1"/>
  <c r="BQ35" i="1"/>
  <c r="BQ20" i="1"/>
  <c r="BQ43" i="1"/>
  <c r="H7" i="23"/>
  <c r="H9" i="23" s="1"/>
  <c r="H10" i="23" s="1"/>
  <c r="M68" i="22"/>
  <c r="N68" i="22" s="1"/>
  <c r="D67" i="22"/>
  <c r="E67" i="22" s="1"/>
  <c r="G67" i="22"/>
  <c r="H67" i="22" s="1"/>
  <c r="P23" i="22"/>
  <c r="Q23" i="22" s="1"/>
  <c r="P27" i="22"/>
  <c r="Q27" i="22" s="1"/>
  <c r="P52" i="22"/>
  <c r="Q52" i="22" s="1"/>
  <c r="P58" i="22"/>
  <c r="Q58" i="22" s="1"/>
  <c r="P62" i="22"/>
  <c r="Q62" i="22" s="1"/>
  <c r="P59" i="22"/>
  <c r="Q59" i="22" s="1"/>
  <c r="P8" i="22"/>
  <c r="P14" i="22"/>
  <c r="P19" i="22"/>
  <c r="P30" i="22"/>
  <c r="P34" i="22"/>
  <c r="M65" i="22"/>
  <c r="N65" i="22" s="1"/>
  <c r="P65" i="22"/>
  <c r="Q65" i="22" s="1"/>
  <c r="P25" i="22"/>
  <c r="Q25" i="22" s="1"/>
  <c r="P56" i="22"/>
  <c r="Q56" i="22" s="1"/>
  <c r="P55" i="22"/>
  <c r="Q55" i="22" s="1"/>
  <c r="P15" i="22"/>
  <c r="P20" i="22"/>
  <c r="P49" i="22"/>
  <c r="Q49" i="22" s="1"/>
  <c r="P22" i="22"/>
  <c r="Q22" i="22" s="1"/>
  <c r="P26" i="22"/>
  <c r="Q26" i="22" s="1"/>
  <c r="P51" i="22"/>
  <c r="Q51" i="22" s="1"/>
  <c r="P57" i="22"/>
  <c r="Q57" i="22" s="1"/>
  <c r="P61" i="22"/>
  <c r="Q61" i="22" s="1"/>
  <c r="HC52" i="1"/>
  <c r="FJ52" i="1"/>
  <c r="FK52" i="1" s="1"/>
  <c r="BP35" i="1"/>
  <c r="HC35" i="1" s="1"/>
  <c r="BP20" i="1"/>
  <c r="G7" i="23"/>
  <c r="G9" i="23" s="1"/>
  <c r="G10" i="23" s="1"/>
  <c r="HC22" i="1"/>
  <c r="FJ22" i="1"/>
  <c r="FK22" i="1" s="1"/>
  <c r="GQ18" i="1"/>
  <c r="GQ19" i="1"/>
  <c r="HB52" i="1"/>
  <c r="DR52" i="1"/>
  <c r="DS52" i="1" s="1"/>
  <c r="BO43" i="1"/>
  <c r="HB43" i="1" s="1"/>
  <c r="BO20" i="1"/>
  <c r="BO35" i="1"/>
  <c r="DR11" i="1"/>
  <c r="DS11" i="1" s="1"/>
  <c r="F7" i="23"/>
  <c r="F9" i="23" s="1"/>
  <c r="F10" i="23" s="1"/>
  <c r="HB22" i="1"/>
  <c r="DR22" i="1"/>
  <c r="DS22" i="1" s="1"/>
  <c r="GP19" i="1"/>
  <c r="GO19" i="1"/>
  <c r="BN43" i="1"/>
  <c r="BN20" i="1"/>
  <c r="BN35" i="1"/>
  <c r="HA35" i="1" s="1"/>
  <c r="HA39" i="1"/>
  <c r="HA52" i="1"/>
  <c r="E7" i="23"/>
  <c r="E9" i="23" s="1"/>
  <c r="E10" i="23" s="1"/>
  <c r="HA22" i="1"/>
  <c r="GN18" i="1"/>
  <c r="GN19" i="1"/>
  <c r="BM43" i="1"/>
  <c r="GZ43" i="1" s="1"/>
  <c r="BM20" i="1"/>
  <c r="BM35" i="1"/>
  <c r="D7" i="23"/>
  <c r="GY52" i="1"/>
  <c r="P5" i="22"/>
  <c r="T17" i="22"/>
  <c r="P6" i="22"/>
  <c r="G63" i="22"/>
  <c r="H63" i="22" s="1"/>
  <c r="G66" i="22"/>
  <c r="H66" i="22" s="1"/>
  <c r="J66" i="22"/>
  <c r="K66" i="22" s="1"/>
  <c r="CT18" i="1"/>
  <c r="CU18" i="1" s="1"/>
  <c r="GW40" i="1"/>
  <c r="CN18" i="1"/>
  <c r="CO18" i="1" s="1"/>
  <c r="GL18" i="1"/>
  <c r="GL19" i="1"/>
  <c r="DF19" i="1"/>
  <c r="DG19" i="1" s="1"/>
  <c r="DB18" i="1"/>
  <c r="DC18" i="1" s="1"/>
  <c r="CZ18" i="1"/>
  <c r="DA18" i="1" s="1"/>
  <c r="DB19" i="1"/>
  <c r="DC19" i="1" s="1"/>
  <c r="M14" i="23"/>
  <c r="M15" i="23" s="1"/>
  <c r="CZ19" i="1"/>
  <c r="DA19" i="1" s="1"/>
  <c r="N12" i="23"/>
  <c r="N14" i="23" s="1"/>
  <c r="N15" i="23" s="1"/>
  <c r="BI43" i="1"/>
  <c r="BI20" i="1"/>
  <c r="BI35" i="1"/>
  <c r="BJ50" i="1"/>
  <c r="BI4" i="1"/>
  <c r="GX11" i="1"/>
  <c r="CP19" i="1"/>
  <c r="CQ19" i="1" s="1"/>
  <c r="BH4" i="1"/>
  <c r="GW11" i="1"/>
  <c r="GW46" i="1"/>
  <c r="DJ11" i="1"/>
  <c r="DK11" i="1" s="1"/>
  <c r="CP18" i="1"/>
  <c r="CQ18" i="1" s="1"/>
  <c r="GA19" i="1"/>
  <c r="GK19" i="1"/>
  <c r="GP18" i="1"/>
  <c r="GI19" i="1"/>
  <c r="CN19" i="1"/>
  <c r="CO19" i="1" s="1"/>
  <c r="CR19" i="1"/>
  <c r="CS19" i="1" s="1"/>
  <c r="CX18" i="1"/>
  <c r="CY18" i="1" s="1"/>
  <c r="DD19" i="1"/>
  <c r="DE19" i="1" s="1"/>
  <c r="GK18" i="1"/>
  <c r="CR18" i="1"/>
  <c r="CS18" i="1" s="1"/>
  <c r="GM18" i="1"/>
  <c r="GT19" i="1"/>
  <c r="CT19" i="1"/>
  <c r="CU19" i="1" s="1"/>
  <c r="CV19" i="1"/>
  <c r="CW19" i="1" s="1"/>
  <c r="CV18" i="1"/>
  <c r="CW18" i="1" s="1"/>
  <c r="GM19" i="1"/>
  <c r="AV57" i="1"/>
  <c r="GC57" i="1"/>
  <c r="AV59" i="1"/>
  <c r="M66" i="22"/>
  <c r="N66" i="22" s="1"/>
  <c r="AV22" i="1"/>
  <c r="Y11" i="1"/>
  <c r="Y35" i="1" s="1"/>
  <c r="AM11" i="1"/>
  <c r="AR11" i="1"/>
  <c r="GE37" i="1"/>
  <c r="GI48" i="1"/>
  <c r="AT39" i="1"/>
  <c r="AT40" i="1" s="1"/>
  <c r="GN22" i="1"/>
  <c r="GT34" i="1"/>
  <c r="GU50" i="1"/>
  <c r="CX5" i="1"/>
  <c r="CY5" i="1" s="1"/>
  <c r="CN38" i="1"/>
  <c r="CO38" i="1" s="1"/>
  <c r="CZ50" i="1"/>
  <c r="DA50" i="1" s="1"/>
  <c r="AR50" i="1"/>
  <c r="GI50" i="1" s="1"/>
  <c r="DD18" i="1"/>
  <c r="DE18" i="1" s="1"/>
  <c r="BJ52" i="1"/>
  <c r="BJ37" i="1"/>
  <c r="AL35" i="1"/>
  <c r="GC35" i="1" s="1"/>
  <c r="AQ50" i="1"/>
  <c r="GH50" i="1" s="1"/>
  <c r="AL4" i="1"/>
  <c r="GB22" i="1"/>
  <c r="AV38" i="1"/>
  <c r="AU4" i="1"/>
  <c r="GK52" i="1"/>
  <c r="GJ22" i="1"/>
  <c r="AS11" i="1"/>
  <c r="BJ38" i="1"/>
  <c r="P36" i="22" s="1"/>
  <c r="Q36" i="22" s="1"/>
  <c r="GM34" i="1"/>
  <c r="GO38" i="1"/>
  <c r="GR37" i="1"/>
  <c r="GS38" i="1"/>
  <c r="CX37" i="1"/>
  <c r="CY37" i="1" s="1"/>
  <c r="DJ46" i="1"/>
  <c r="DK46" i="1" s="1"/>
  <c r="DD50" i="1"/>
  <c r="DE50" i="1" s="1"/>
  <c r="CT52" i="1"/>
  <c r="CU52" i="1" s="1"/>
  <c r="EH35" i="1"/>
  <c r="EI35" i="1" s="1"/>
  <c r="GD19" i="1"/>
  <c r="GB18" i="1"/>
  <c r="GC59" i="1"/>
  <c r="AL39" i="1"/>
  <c r="GC39" i="1" s="1"/>
  <c r="GG52" i="1"/>
  <c r="AL20" i="1"/>
  <c r="GC20" i="1" s="1"/>
  <c r="GI34" i="1"/>
  <c r="GL11" i="1"/>
  <c r="AT11" i="1"/>
  <c r="AT35" i="1" s="1"/>
  <c r="GC37" i="1"/>
  <c r="GK37" i="1"/>
  <c r="GI38" i="1"/>
  <c r="CP22" i="1"/>
  <c r="CQ22" i="1" s="1"/>
  <c r="GR19" i="1"/>
  <c r="CX19" i="1"/>
  <c r="CY19" i="1" s="1"/>
  <c r="AL52" i="1"/>
  <c r="BJ167" i="1"/>
  <c r="W167" i="1"/>
  <c r="Y167" i="1"/>
  <c r="GC22" i="1"/>
  <c r="AL49" i="1"/>
  <c r="GE22" i="1"/>
  <c r="AN49" i="1"/>
  <c r="AT49" i="1"/>
  <c r="AO49" i="1"/>
  <c r="AR49" i="1"/>
  <c r="W39" i="1"/>
  <c r="W46" i="1" s="1"/>
  <c r="AP49" i="1"/>
  <c r="GG49" i="1" s="1"/>
  <c r="V167" i="1"/>
  <c r="AQ49" i="1"/>
  <c r="GH49" i="1" s="1"/>
  <c r="DF18" i="1"/>
  <c r="DG18" i="1" s="1"/>
  <c r="BH43" i="1"/>
  <c r="BH20" i="1"/>
  <c r="BH35" i="1"/>
  <c r="AV61" i="1"/>
  <c r="GC61" i="1"/>
  <c r="L12" i="23"/>
  <c r="L14" i="23" s="1"/>
  <c r="L15" i="23" s="1"/>
  <c r="BG43" i="1"/>
  <c r="BG20" i="1"/>
  <c r="BG35" i="1"/>
  <c r="GJ18" i="1"/>
  <c r="V35" i="1"/>
  <c r="HJ46" i="1"/>
  <c r="EH46" i="1"/>
  <c r="EI46" i="1" s="1"/>
  <c r="HH46" i="1"/>
  <c r="EF46" i="1"/>
  <c r="EG46" i="1" s="1"/>
  <c r="GZ11" i="1"/>
  <c r="HB11" i="1"/>
  <c r="HD11" i="1"/>
  <c r="BW4" i="1"/>
  <c r="HJ11" i="1"/>
  <c r="EH11" i="1"/>
  <c r="EI11" i="1" s="1"/>
  <c r="DL18" i="1"/>
  <c r="DM18" i="1" s="1"/>
  <c r="GY18" i="1"/>
  <c r="DL22" i="1"/>
  <c r="DM22" i="1" s="1"/>
  <c r="GY22" i="1"/>
  <c r="DL39" i="1"/>
  <c r="DM39" i="1" s="1"/>
  <c r="GY39" i="1"/>
  <c r="HC46" i="1"/>
  <c r="HC39" i="1"/>
  <c r="DL49" i="1"/>
  <c r="DM49" i="1" s="1"/>
  <c r="GY49" i="1"/>
  <c r="BL35" i="1"/>
  <c r="GY11" i="1"/>
  <c r="HA11" i="1"/>
  <c r="HC11" i="1"/>
  <c r="BR4" i="1"/>
  <c r="HE11" i="1"/>
  <c r="BT4" i="1"/>
  <c r="HG11" i="1"/>
  <c r="BV4" i="1"/>
  <c r="HI11" i="1"/>
  <c r="EF11" i="1"/>
  <c r="EG11" i="1" s="1"/>
  <c r="DV18" i="1"/>
  <c r="DW18" i="1" s="1"/>
  <c r="HD18" i="1"/>
  <c r="DL19" i="1"/>
  <c r="DM19" i="1" s="1"/>
  <c r="GY19" i="1"/>
  <c r="DV22" i="1"/>
  <c r="DW22" i="1" s="1"/>
  <c r="HD22" i="1"/>
  <c r="DL34" i="1"/>
  <c r="DM34" i="1" s="1"/>
  <c r="GY34" i="1"/>
  <c r="GZ46" i="1"/>
  <c r="GZ39" i="1"/>
  <c r="HD39" i="1"/>
  <c r="DV49" i="1"/>
  <c r="DW49" i="1" s="1"/>
  <c r="HD49" i="1"/>
  <c r="DL50" i="1"/>
  <c r="DM50" i="1" s="1"/>
  <c r="GY50" i="1"/>
  <c r="AY39" i="1"/>
  <c r="AY46" i="1" s="1"/>
  <c r="GN46" i="1" s="1"/>
  <c r="FJ54" i="1"/>
  <c r="FK54" i="1" s="1"/>
  <c r="CR52" i="1"/>
  <c r="CS52" i="1" s="1"/>
  <c r="AX39" i="1"/>
  <c r="CT34" i="1"/>
  <c r="CU34" i="1" s="1"/>
  <c r="CT50" i="1"/>
  <c r="CU50" i="1" s="1"/>
  <c r="AZ11" i="1"/>
  <c r="GZ40" i="1"/>
  <c r="V39" i="1"/>
  <c r="V40" i="1" s="1"/>
  <c r="FJ58" i="1"/>
  <c r="FK58" i="1" s="1"/>
  <c r="BN4" i="1"/>
  <c r="FJ37" i="1"/>
  <c r="FK37" i="1" s="1"/>
  <c r="AN11" i="1"/>
  <c r="GE11" i="1" s="1"/>
  <c r="DB52" i="1"/>
  <c r="DC52" i="1" s="1"/>
  <c r="BA39" i="1"/>
  <c r="CX34" i="1"/>
  <c r="CY34" i="1" s="1"/>
  <c r="CZ52" i="1"/>
  <c r="DA52" i="1" s="1"/>
  <c r="CX38" i="1"/>
  <c r="CY38" i="1" s="1"/>
  <c r="BD11" i="1"/>
  <c r="DB34" i="1"/>
  <c r="DC34" i="1" s="1"/>
  <c r="DB50" i="1"/>
  <c r="DC50" i="1" s="1"/>
  <c r="BE11" i="1"/>
  <c r="BE43" i="1" s="1"/>
  <c r="FJ13" i="1"/>
  <c r="FK13" i="1" s="1"/>
  <c r="FJ16" i="1"/>
  <c r="FK16" i="1" s="1"/>
  <c r="FJ59" i="1"/>
  <c r="FK59" i="1" s="1"/>
  <c r="FJ66" i="1"/>
  <c r="FK66" i="1" s="1"/>
  <c r="FJ68" i="1"/>
  <c r="FK68" i="1" s="1"/>
  <c r="BP4" i="1"/>
  <c r="BL4" i="1"/>
  <c r="D46" i="22"/>
  <c r="E46" i="22" s="1"/>
  <c r="C24" i="23"/>
  <c r="C25" i="23" s="1"/>
  <c r="GA49" i="1"/>
  <c r="J43" i="22"/>
  <c r="K43" i="22" s="1"/>
  <c r="J40" i="22"/>
  <c r="K40" i="22" s="1"/>
  <c r="J67" i="22"/>
  <c r="K67" i="22" s="1"/>
  <c r="J65" i="22"/>
  <c r="K65" i="22" s="1"/>
  <c r="DV52" i="1"/>
  <c r="DW52" i="1" s="1"/>
  <c r="FJ50" i="1"/>
  <c r="FK50" i="1" s="1"/>
  <c r="G50" i="22"/>
  <c r="H50" i="22" s="1"/>
  <c r="G26" i="22"/>
  <c r="H26" i="22" s="1"/>
  <c r="G51" i="22"/>
  <c r="H51" i="22" s="1"/>
  <c r="G59" i="22"/>
  <c r="H59" i="22" s="1"/>
  <c r="G61" i="22"/>
  <c r="H61" i="22" s="1"/>
  <c r="W11" i="1"/>
  <c r="X39" i="1"/>
  <c r="N19" i="23"/>
  <c r="J31" i="22"/>
  <c r="K31" i="22" s="1"/>
  <c r="J29" i="22"/>
  <c r="K29" i="22" s="1"/>
  <c r="DP18" i="1"/>
  <c r="DQ18" i="1" s="1"/>
  <c r="DT18" i="1"/>
  <c r="DU18" i="1" s="1"/>
  <c r="DX18" i="1"/>
  <c r="DY18" i="1" s="1"/>
  <c r="DN19" i="1"/>
  <c r="DO19" i="1" s="1"/>
  <c r="DV19" i="1"/>
  <c r="DW19" i="1" s="1"/>
  <c r="DZ19" i="1"/>
  <c r="EA19" i="1" s="1"/>
  <c r="DP22" i="1"/>
  <c r="DQ22" i="1" s="1"/>
  <c r="DT22" i="1"/>
  <c r="DU22" i="1" s="1"/>
  <c r="DX22" i="1"/>
  <c r="DY22" i="1" s="1"/>
  <c r="DN34" i="1"/>
  <c r="DO34" i="1" s="1"/>
  <c r="DV34" i="1"/>
  <c r="DW34" i="1" s="1"/>
  <c r="DZ34" i="1"/>
  <c r="EA34" i="1" s="1"/>
  <c r="DP39" i="1"/>
  <c r="DQ39" i="1" s="1"/>
  <c r="DP49" i="1"/>
  <c r="DQ49" i="1" s="1"/>
  <c r="DT49" i="1"/>
  <c r="DU49" i="1" s="1"/>
  <c r="DX49" i="1"/>
  <c r="DY49" i="1" s="1"/>
  <c r="DN50" i="1"/>
  <c r="DO50" i="1" s="1"/>
  <c r="DV50" i="1"/>
  <c r="DW50" i="1" s="1"/>
  <c r="DZ50" i="1"/>
  <c r="EA50" i="1" s="1"/>
  <c r="BX52" i="1"/>
  <c r="T50" i="22" s="1"/>
  <c r="U50" i="22" s="1"/>
  <c r="DP52" i="1"/>
  <c r="DQ52" i="1" s="1"/>
  <c r="DT52" i="1"/>
  <c r="DU52" i="1" s="1"/>
  <c r="DX52" i="1"/>
  <c r="DY52" i="1" s="1"/>
  <c r="CP34" i="1"/>
  <c r="CQ34" i="1" s="1"/>
  <c r="CP49" i="1"/>
  <c r="CQ49" i="1" s="1"/>
  <c r="BB39" i="1"/>
  <c r="BB46" i="1" s="1"/>
  <c r="GQ46" i="1" s="1"/>
  <c r="BB11" i="1"/>
  <c r="D35" i="22"/>
  <c r="E35" i="22" s="1"/>
  <c r="DH11" i="1"/>
  <c r="DI11" i="1" s="1"/>
  <c r="CP37" i="1"/>
  <c r="CQ37" i="1" s="1"/>
  <c r="CT37" i="1"/>
  <c r="CU37" i="1" s="1"/>
  <c r="DB38" i="1"/>
  <c r="DC38" i="1" s="1"/>
  <c r="AX11" i="1"/>
  <c r="BC39" i="1"/>
  <c r="BC11" i="1"/>
  <c r="F24" i="23"/>
  <c r="F25" i="23" s="1"/>
  <c r="DZ11" i="1"/>
  <c r="EA11" i="1" s="1"/>
  <c r="BU4" i="1"/>
  <c r="ED11" i="1"/>
  <c r="EE11" i="1" s="1"/>
  <c r="ED18" i="1"/>
  <c r="EE18" i="1" s="1"/>
  <c r="EB18" i="1"/>
  <c r="EC18" i="1" s="1"/>
  <c r="ED22" i="1"/>
  <c r="EE22" i="1" s="1"/>
  <c r="EB22" i="1"/>
  <c r="EC22" i="1" s="1"/>
  <c r="DX39" i="1"/>
  <c r="DY39" i="1" s="1"/>
  <c r="HG46" i="1"/>
  <c r="ED39" i="1"/>
  <c r="EE39" i="1" s="1"/>
  <c r="EB39" i="1"/>
  <c r="EC39" i="1" s="1"/>
  <c r="ED49" i="1"/>
  <c r="EE49" i="1" s="1"/>
  <c r="EB49" i="1"/>
  <c r="EC49" i="1" s="1"/>
  <c r="ED52" i="1"/>
  <c r="EE52" i="1" s="1"/>
  <c r="EB52" i="1"/>
  <c r="EC52" i="1" s="1"/>
  <c r="DX11" i="1"/>
  <c r="DY11" i="1" s="1"/>
  <c r="EB11" i="1"/>
  <c r="EC11" i="1" s="1"/>
  <c r="ED19" i="1"/>
  <c r="EE19" i="1" s="1"/>
  <c r="EB19" i="1"/>
  <c r="EC19" i="1" s="1"/>
  <c r="ED34" i="1"/>
  <c r="EE34" i="1" s="1"/>
  <c r="EB34" i="1"/>
  <c r="EC34" i="1" s="1"/>
  <c r="DZ39" i="1"/>
  <c r="EA39" i="1" s="1"/>
  <c r="ED50" i="1"/>
  <c r="EE50" i="1" s="1"/>
  <c r="EB50" i="1"/>
  <c r="EC50" i="1" s="1"/>
  <c r="DZ18" i="1"/>
  <c r="EA18" i="1" s="1"/>
  <c r="DX19" i="1"/>
  <c r="DY19" i="1" s="1"/>
  <c r="DZ22" i="1"/>
  <c r="EA22" i="1" s="1"/>
  <c r="DX34" i="1"/>
  <c r="DY34" i="1" s="1"/>
  <c r="DZ49" i="1"/>
  <c r="EA49" i="1" s="1"/>
  <c r="DX50" i="1"/>
  <c r="DY50" i="1" s="1"/>
  <c r="DZ52" i="1"/>
  <c r="EA52" i="1" s="1"/>
  <c r="DV11" i="1"/>
  <c r="DW11" i="1" s="1"/>
  <c r="DV39" i="1"/>
  <c r="DW39" i="1" s="1"/>
  <c r="N24" i="23"/>
  <c r="N25" i="23" s="1"/>
  <c r="FJ34" i="1"/>
  <c r="FK34" i="1" s="1"/>
  <c r="AZ39" i="1"/>
  <c r="BD39" i="1"/>
  <c r="BE39" i="1"/>
  <c r="BF39" i="1"/>
  <c r="J26" i="22"/>
  <c r="K26" i="22" s="1"/>
  <c r="H29" i="23"/>
  <c r="H30" i="23" s="1"/>
  <c r="D29" i="23"/>
  <c r="D30" i="23" s="1"/>
  <c r="G12" i="22"/>
  <c r="H12" i="22" s="1"/>
  <c r="D48" i="22"/>
  <c r="E48" i="22" s="1"/>
  <c r="L29" i="23"/>
  <c r="L30" i="23" s="1"/>
  <c r="G29" i="23"/>
  <c r="G30" i="23" s="1"/>
  <c r="E29" i="23"/>
  <c r="E30" i="23" s="1"/>
  <c r="C29" i="23"/>
  <c r="C30" i="23" s="1"/>
  <c r="G23" i="22"/>
  <c r="H23" i="22" s="1"/>
  <c r="J23" i="22"/>
  <c r="K23" i="22" s="1"/>
  <c r="G25" i="22"/>
  <c r="H25" i="22" s="1"/>
  <c r="J25" i="22"/>
  <c r="K25" i="22" s="1"/>
  <c r="J27" i="22"/>
  <c r="K27" i="22" s="1"/>
  <c r="G27" i="22"/>
  <c r="H27" i="22" s="1"/>
  <c r="G52" i="22"/>
  <c r="H52" i="22" s="1"/>
  <c r="J52" i="22"/>
  <c r="K52" i="22" s="1"/>
  <c r="G62" i="22"/>
  <c r="H62" i="22" s="1"/>
  <c r="J62" i="22"/>
  <c r="K62" i="22" s="1"/>
  <c r="G56" i="22"/>
  <c r="H56" i="22" s="1"/>
  <c r="G60" i="22"/>
  <c r="H60" i="22" s="1"/>
  <c r="G35" i="22"/>
  <c r="H35" i="22" s="1"/>
  <c r="J35" i="22"/>
  <c r="K35" i="22" s="1"/>
  <c r="J22" i="22"/>
  <c r="K22" i="22" s="1"/>
  <c r="G22" i="22"/>
  <c r="H22" i="22" s="1"/>
  <c r="G24" i="22"/>
  <c r="H24" i="22" s="1"/>
  <c r="G55" i="22"/>
  <c r="H55" i="22" s="1"/>
  <c r="G57" i="22"/>
  <c r="H57" i="22" s="1"/>
  <c r="FY20" i="1"/>
  <c r="FY35" i="1"/>
  <c r="FY43" i="1"/>
  <c r="FW20" i="1"/>
  <c r="FW35" i="1"/>
  <c r="FW43" i="1"/>
  <c r="FU20" i="1"/>
  <c r="FU35" i="1"/>
  <c r="FU43" i="1"/>
  <c r="FS20" i="1"/>
  <c r="FS35" i="1"/>
  <c r="FS43" i="1"/>
  <c r="FQ20" i="1"/>
  <c r="FQ35" i="1"/>
  <c r="FQ43" i="1"/>
  <c r="FR47" i="1"/>
  <c r="M24" i="23"/>
  <c r="M25" i="23" s="1"/>
  <c r="D10" i="22"/>
  <c r="E10" i="22" s="1"/>
  <c r="D50" i="22"/>
  <c r="E50" i="22" s="1"/>
  <c r="J48" i="22"/>
  <c r="K48" i="22" s="1"/>
  <c r="D60" i="22"/>
  <c r="E60" i="22" s="1"/>
  <c r="FZ20" i="1"/>
  <c r="FZ35" i="1"/>
  <c r="FZ43" i="1"/>
  <c r="FX20" i="1"/>
  <c r="FX35" i="1"/>
  <c r="FX43" i="1"/>
  <c r="FV20" i="1"/>
  <c r="FV35" i="1"/>
  <c r="FV43" i="1"/>
  <c r="FT20" i="1"/>
  <c r="FT35" i="1"/>
  <c r="FT43" i="1"/>
  <c r="FR20" i="1"/>
  <c r="FR35" i="1"/>
  <c r="FR43" i="1"/>
  <c r="FP20" i="1"/>
  <c r="FP35" i="1"/>
  <c r="FS14" i="1"/>
  <c r="J12" i="22"/>
  <c r="K12" i="22" s="1"/>
  <c r="J21" i="22"/>
  <c r="K21" i="22" s="1"/>
  <c r="J36" i="22"/>
  <c r="K36" i="22" s="1"/>
  <c r="D57" i="22"/>
  <c r="E57" i="22" s="1"/>
  <c r="F29" i="23"/>
  <c r="F30" i="23" s="1"/>
  <c r="K29" i="23"/>
  <c r="K30" i="23" s="1"/>
  <c r="D23" i="22"/>
  <c r="E23" i="22" s="1"/>
  <c r="FR14" i="1"/>
  <c r="AJ39" i="1"/>
  <c r="AN39" i="1"/>
  <c r="AP39" i="1"/>
  <c r="GI18" i="1"/>
  <c r="DN18" i="1"/>
  <c r="DO18" i="1" s="1"/>
  <c r="DP19" i="1"/>
  <c r="DQ19" i="1" s="1"/>
  <c r="DT19" i="1"/>
  <c r="DU19" i="1" s="1"/>
  <c r="DN22" i="1"/>
  <c r="DO22" i="1" s="1"/>
  <c r="DP34" i="1"/>
  <c r="DQ34" i="1" s="1"/>
  <c r="DT34" i="1"/>
  <c r="DU34" i="1" s="1"/>
  <c r="DN49" i="1"/>
  <c r="DO49" i="1" s="1"/>
  <c r="DP50" i="1"/>
  <c r="DQ50" i="1" s="1"/>
  <c r="DT50" i="1"/>
  <c r="DU50" i="1" s="1"/>
  <c r="DN52" i="1"/>
  <c r="DO52" i="1" s="1"/>
  <c r="L20" i="23"/>
  <c r="C42" i="23"/>
  <c r="D44" i="22"/>
  <c r="E44" i="22" s="1"/>
  <c r="N29" i="23"/>
  <c r="N30" i="23" s="1"/>
  <c r="D38" i="22"/>
  <c r="E38" i="22" s="1"/>
  <c r="D61" i="22"/>
  <c r="E61" i="22" s="1"/>
  <c r="D65" i="22"/>
  <c r="E65" i="22" s="1"/>
  <c r="D42" i="22"/>
  <c r="E42" i="22" s="1"/>
  <c r="D34" i="22"/>
  <c r="E34" i="22" s="1"/>
  <c r="D16" i="22"/>
  <c r="E16" i="22" s="1"/>
  <c r="D14" i="22"/>
  <c r="E14" i="22" s="1"/>
  <c r="D8" i="22"/>
  <c r="D43" i="22"/>
  <c r="E43" i="22" s="1"/>
  <c r="D6" i="22"/>
  <c r="E6" i="22" s="1"/>
  <c r="DL52" i="1"/>
  <c r="DM52" i="1" s="1"/>
  <c r="DN11" i="1"/>
  <c r="DO11" i="1" s="1"/>
  <c r="DP11" i="1"/>
  <c r="DQ11" i="1" s="1"/>
  <c r="DT11" i="1"/>
  <c r="DU11" i="1" s="1"/>
  <c r="DL11" i="1"/>
  <c r="DM11" i="1" s="1"/>
  <c r="DN39" i="1"/>
  <c r="DO39" i="1" s="1"/>
  <c r="DT39" i="1"/>
  <c r="DU39" i="1" s="1"/>
  <c r="D49" i="22"/>
  <c r="E49" i="22" s="1"/>
  <c r="D39" i="22"/>
  <c r="E39" i="22" s="1"/>
  <c r="G21" i="22"/>
  <c r="H21" i="22" s="1"/>
  <c r="G36" i="22"/>
  <c r="H36" i="22" s="1"/>
  <c r="D55" i="22"/>
  <c r="E55" i="22" s="1"/>
  <c r="L34" i="23"/>
  <c r="L35" i="23" s="1"/>
  <c r="J29" i="23"/>
  <c r="J30" i="23" s="1"/>
  <c r="J56" i="22"/>
  <c r="K56" i="22" s="1"/>
  <c r="J61" i="22"/>
  <c r="K61" i="22" s="1"/>
  <c r="M34" i="23"/>
  <c r="M35" i="23" s="1"/>
  <c r="O32" i="23"/>
  <c r="P32" i="23" s="1"/>
  <c r="D37" i="22"/>
  <c r="E37" i="22" s="1"/>
  <c r="H34" i="23"/>
  <c r="H35" i="23" s="1"/>
  <c r="D13" i="22"/>
  <c r="E13" i="22" s="1"/>
  <c r="J60" i="22"/>
  <c r="K60" i="22" s="1"/>
  <c r="J24" i="22"/>
  <c r="K24" i="22" s="1"/>
  <c r="D29" i="22"/>
  <c r="E29" i="22" s="1"/>
  <c r="D52" i="22"/>
  <c r="E52" i="22" s="1"/>
  <c r="I19" i="23"/>
  <c r="I20" i="23" s="1"/>
  <c r="G46" i="22"/>
  <c r="H46" i="22" s="1"/>
  <c r="G43" i="22"/>
  <c r="H43" i="22" s="1"/>
  <c r="M29" i="23"/>
  <c r="D56" i="22"/>
  <c r="E56" i="22" s="1"/>
  <c r="D51" i="22"/>
  <c r="E51" i="22" s="1"/>
  <c r="D58" i="22"/>
  <c r="E58" i="22" s="1"/>
  <c r="D59" i="22"/>
  <c r="E59" i="22" s="1"/>
  <c r="D62" i="22"/>
  <c r="E62" i="22" s="1"/>
  <c r="D15" i="22"/>
  <c r="E15" i="22" s="1"/>
  <c r="G8" i="22"/>
  <c r="H8" i="22" s="1"/>
  <c r="D24" i="22"/>
  <c r="E24" i="22" s="1"/>
  <c r="G6" i="22"/>
  <c r="H6" i="22" s="1"/>
  <c r="BM4" i="1"/>
  <c r="BO4" i="1"/>
  <c r="BQ4" i="1"/>
  <c r="BS4" i="1"/>
  <c r="BX167" i="1"/>
  <c r="FQ14" i="1"/>
  <c r="J4" i="22"/>
  <c r="K4" i="22" s="1"/>
  <c r="G4" i="22"/>
  <c r="H4" i="22" s="1"/>
  <c r="G17" i="22"/>
  <c r="H17" i="22" s="1"/>
  <c r="G5" i="22"/>
  <c r="H5" i="22" s="1"/>
  <c r="J6" i="22"/>
  <c r="K6" i="22" s="1"/>
  <c r="D17" i="22"/>
  <c r="E17" i="22" s="1"/>
  <c r="D5" i="22"/>
  <c r="E5" i="22" s="1"/>
  <c r="J5" i="22"/>
  <c r="K5" i="22" s="1"/>
  <c r="J17" i="22"/>
  <c r="K17" i="22" s="1"/>
  <c r="D4" i="22"/>
  <c r="E4" i="22" s="1"/>
  <c r="HB40" i="1"/>
  <c r="HG40" i="1"/>
  <c r="BL46" i="1"/>
  <c r="BL40" i="1"/>
  <c r="BX39" i="1"/>
  <c r="BX5" i="1"/>
  <c r="BX11" i="1"/>
  <c r="T10" i="22" s="1"/>
  <c r="U10" i="22" s="1"/>
  <c r="BX22" i="1"/>
  <c r="T21" i="22" s="1"/>
  <c r="U21" i="22" s="1"/>
  <c r="BX37" i="1"/>
  <c r="T35" i="22" s="1"/>
  <c r="U35" i="22" s="1"/>
  <c r="BL43" i="1"/>
  <c r="BX50" i="1"/>
  <c r="T48" i="22" s="1"/>
  <c r="U48" i="22" s="1"/>
  <c r="BL20" i="1"/>
  <c r="T47" i="22"/>
  <c r="D25" i="22"/>
  <c r="E25" i="22" s="1"/>
  <c r="D26" i="22"/>
  <c r="E26" i="22" s="1"/>
  <c r="D27" i="22"/>
  <c r="E27" i="22" s="1"/>
  <c r="K20" i="23"/>
  <c r="C41" i="23"/>
  <c r="G48" i="22"/>
  <c r="H48" i="22" s="1"/>
  <c r="D64" i="22"/>
  <c r="E64" i="22" s="1"/>
  <c r="D33" i="22"/>
  <c r="E33" i="22" s="1"/>
  <c r="J9" i="22"/>
  <c r="K9" i="22" s="1"/>
  <c r="C35" i="23"/>
  <c r="M20" i="23"/>
  <c r="C43" i="23"/>
  <c r="J20" i="23"/>
  <c r="C40" i="23"/>
  <c r="M30" i="23"/>
  <c r="C44" i="23"/>
  <c r="N20" i="23"/>
  <c r="J59" i="22"/>
  <c r="K59" i="22" s="1"/>
  <c r="D20" i="23"/>
  <c r="J50" i="22"/>
  <c r="K50" i="22" s="1"/>
  <c r="J51" i="22"/>
  <c r="K51" i="22" s="1"/>
  <c r="J57" i="22"/>
  <c r="K57" i="22" s="1"/>
  <c r="J55" i="22"/>
  <c r="K55" i="22" s="1"/>
  <c r="V46" i="22" l="1"/>
  <c r="AQ46" i="1"/>
  <c r="GH46" i="1" s="1"/>
  <c r="GL39" i="1"/>
  <c r="V20" i="1"/>
  <c r="C39" i="23"/>
  <c r="AL43" i="1"/>
  <c r="GC43" i="1" s="1"/>
  <c r="BX49" i="1"/>
  <c r="Q20" i="22"/>
  <c r="R20" i="22"/>
  <c r="Q30" i="22"/>
  <c r="R30" i="22"/>
  <c r="Q15" i="22"/>
  <c r="R15" i="22"/>
  <c r="Q19" i="22"/>
  <c r="R19" i="22"/>
  <c r="Q14" i="22"/>
  <c r="R14" i="22"/>
  <c r="Q34" i="22"/>
  <c r="R34" i="22"/>
  <c r="Q8" i="22"/>
  <c r="R8" i="22"/>
  <c r="Q5" i="22"/>
  <c r="R5" i="22"/>
  <c r="Q6" i="22"/>
  <c r="R6" i="22"/>
  <c r="BX4" i="1"/>
  <c r="U47" i="22"/>
  <c r="V47" i="22"/>
  <c r="U17" i="22"/>
  <c r="V17" i="22"/>
  <c r="AP35" i="1"/>
  <c r="GG35" i="1" s="1"/>
  <c r="AP20" i="1"/>
  <c r="GG20" i="1" s="1"/>
  <c r="AP4" i="1"/>
  <c r="GI39" i="1"/>
  <c r="V43" i="1"/>
  <c r="AQ40" i="1"/>
  <c r="GH40" i="1" s="1"/>
  <c r="AU35" i="1"/>
  <c r="GL35" i="1" s="1"/>
  <c r="DH40" i="1"/>
  <c r="DI40" i="1" s="1"/>
  <c r="AR40" i="1"/>
  <c r="GI40" i="1" s="1"/>
  <c r="AU20" i="1"/>
  <c r="GL20" i="1" s="1"/>
  <c r="AP43" i="1"/>
  <c r="GG43" i="1" s="1"/>
  <c r="GB11" i="1"/>
  <c r="DH46" i="1"/>
  <c r="DI46" i="1" s="1"/>
  <c r="GJ39" i="1"/>
  <c r="AM40" i="1"/>
  <c r="GD40" i="1" s="1"/>
  <c r="Y46" i="1"/>
  <c r="AK35" i="1"/>
  <c r="GB35" i="1" s="1"/>
  <c r="AJ43" i="1"/>
  <c r="GA43" i="1" s="1"/>
  <c r="AL40" i="1"/>
  <c r="GC40" i="1" s="1"/>
  <c r="AU46" i="1"/>
  <c r="GL46" i="1" s="1"/>
  <c r="AO46" i="1"/>
  <c r="GF46" i="1" s="1"/>
  <c r="W40" i="1"/>
  <c r="AO4" i="1"/>
  <c r="AV167" i="1"/>
  <c r="AK43" i="1"/>
  <c r="GB43" i="1" s="1"/>
  <c r="GD39" i="1"/>
  <c r="BF20" i="1"/>
  <c r="GU20" i="1" s="1"/>
  <c r="BA43" i="1"/>
  <c r="GP43" i="1" s="1"/>
  <c r="F12" i="23"/>
  <c r="F14" i="23" s="1"/>
  <c r="C48" i="23" s="1"/>
  <c r="AK20" i="1"/>
  <c r="GB20" i="1" s="1"/>
  <c r="AO40" i="1"/>
  <c r="GF40" i="1" s="1"/>
  <c r="Y4" i="1"/>
  <c r="AV49" i="1"/>
  <c r="BA20" i="1"/>
  <c r="GP20" i="1" s="1"/>
  <c r="AO20" i="1"/>
  <c r="GF20" i="1" s="1"/>
  <c r="GA11" i="1"/>
  <c r="AS46" i="1"/>
  <c r="GJ46" i="1" s="1"/>
  <c r="AO35" i="1"/>
  <c r="GF35" i="1" s="1"/>
  <c r="AO43" i="1"/>
  <c r="GF43" i="1" s="1"/>
  <c r="P21" i="22"/>
  <c r="Q21" i="22" s="1"/>
  <c r="AK40" i="1"/>
  <c r="GB40" i="1" s="1"/>
  <c r="AK4" i="1"/>
  <c r="AQ20" i="1"/>
  <c r="GH20" i="1" s="1"/>
  <c r="BA4" i="1"/>
  <c r="AY35" i="1"/>
  <c r="GN35" i="1" s="1"/>
  <c r="AY20" i="1"/>
  <c r="GN20" i="1" s="1"/>
  <c r="AY43" i="1"/>
  <c r="GN43" i="1" s="1"/>
  <c r="D12" i="23"/>
  <c r="D14" i="23" s="1"/>
  <c r="D15" i="23" s="1"/>
  <c r="GN11" i="1"/>
  <c r="AY4" i="1"/>
  <c r="GA20" i="1"/>
  <c r="CZ11" i="1"/>
  <c r="DA11" i="1" s="1"/>
  <c r="AQ35" i="1"/>
  <c r="GH35" i="1" s="1"/>
  <c r="AK46" i="1"/>
  <c r="GB46" i="1" s="1"/>
  <c r="AJ4" i="1"/>
  <c r="AJ35" i="1"/>
  <c r="BJ49" i="1"/>
  <c r="GK35" i="1"/>
  <c r="AP40" i="1"/>
  <c r="Y20" i="1"/>
  <c r="AL46" i="1"/>
  <c r="GC46" i="1" s="1"/>
  <c r="V46" i="1"/>
  <c r="GI49" i="1"/>
  <c r="Y43" i="1"/>
  <c r="HG43" i="1"/>
  <c r="HG35" i="1"/>
  <c r="FJ11" i="1"/>
  <c r="FK11" i="1" s="1"/>
  <c r="HF43" i="1"/>
  <c r="HF20" i="1"/>
  <c r="AQ43" i="1"/>
  <c r="AQ4" i="1"/>
  <c r="AJ40" i="1"/>
  <c r="GA40" i="1" s="1"/>
  <c r="GF49" i="1"/>
  <c r="BF35" i="1"/>
  <c r="GU35" i="1" s="1"/>
  <c r="BF4" i="1"/>
  <c r="BF43" i="1"/>
  <c r="GU43" i="1" s="1"/>
  <c r="GU11" i="1"/>
  <c r="DF11" i="1"/>
  <c r="DG11" i="1" s="1"/>
  <c r="GS49" i="1"/>
  <c r="CZ49" i="1"/>
  <c r="DA49" i="1" s="1"/>
  <c r="P48" i="22"/>
  <c r="Q48" i="22" s="1"/>
  <c r="P50" i="22"/>
  <c r="Q50" i="22" s="1"/>
  <c r="HE20" i="1"/>
  <c r="HE35" i="1"/>
  <c r="HD43" i="1"/>
  <c r="HD20" i="1"/>
  <c r="P43" i="22"/>
  <c r="P35" i="22"/>
  <c r="Q35" i="22" s="1"/>
  <c r="P46" i="22"/>
  <c r="DR35" i="1"/>
  <c r="DS35" i="1" s="1"/>
  <c r="DR20" i="1"/>
  <c r="DS20" i="1" s="1"/>
  <c r="HB20" i="1"/>
  <c r="DR43" i="1"/>
  <c r="DS43" i="1" s="1"/>
  <c r="HA20" i="1"/>
  <c r="GZ20" i="1"/>
  <c r="D9" i="23"/>
  <c r="O7" i="23"/>
  <c r="P8" i="23" s="1"/>
  <c r="BX46" i="1"/>
  <c r="T44" i="22" s="1"/>
  <c r="T37" i="22"/>
  <c r="U37" i="22" s="1"/>
  <c r="P17" i="22"/>
  <c r="C56" i="23"/>
  <c r="C55" i="23"/>
  <c r="GX43" i="1"/>
  <c r="GX35" i="1"/>
  <c r="GX20" i="1"/>
  <c r="C54" i="23"/>
  <c r="K15" i="23"/>
  <c r="P34" i="23"/>
  <c r="AN4" i="1"/>
  <c r="AN20" i="1"/>
  <c r="GE20" i="1" s="1"/>
  <c r="AT46" i="1"/>
  <c r="GK39" i="1"/>
  <c r="AR20" i="1"/>
  <c r="GI20" i="1" s="1"/>
  <c r="AR4" i="1"/>
  <c r="AR35" i="1"/>
  <c r="GI35" i="1" s="1"/>
  <c r="GI11" i="1"/>
  <c r="AR43" i="1"/>
  <c r="GI43" i="1" s="1"/>
  <c r="AV11" i="1"/>
  <c r="AN43" i="1"/>
  <c r="GE43" i="1" s="1"/>
  <c r="AT43" i="1"/>
  <c r="AT20" i="1"/>
  <c r="GK11" i="1"/>
  <c r="AT4" i="1"/>
  <c r="AM43" i="1"/>
  <c r="AM20" i="1"/>
  <c r="AM4" i="1"/>
  <c r="GD11" i="1"/>
  <c r="AM35" i="1"/>
  <c r="AN35" i="1"/>
  <c r="GK40" i="1"/>
  <c r="AS35" i="1"/>
  <c r="AS4" i="1"/>
  <c r="AS43" i="1"/>
  <c r="AS20" i="1"/>
  <c r="GJ11" i="1"/>
  <c r="GC52" i="1"/>
  <c r="AV52" i="1"/>
  <c r="FJ49" i="1"/>
  <c r="FK49" i="1" s="1"/>
  <c r="GK49" i="1"/>
  <c r="GN39" i="1"/>
  <c r="GE49" i="1"/>
  <c r="GC49" i="1"/>
  <c r="DJ20" i="1"/>
  <c r="DK20" i="1" s="1"/>
  <c r="GW20" i="1"/>
  <c r="DJ35" i="1"/>
  <c r="DK35" i="1" s="1"/>
  <c r="GW35" i="1"/>
  <c r="DJ43" i="1"/>
  <c r="DK43" i="1" s="1"/>
  <c r="GW43" i="1"/>
  <c r="DH35" i="1"/>
  <c r="DI35" i="1" s="1"/>
  <c r="GV35" i="1"/>
  <c r="DH20" i="1"/>
  <c r="DI20" i="1" s="1"/>
  <c r="GV20" i="1"/>
  <c r="DH43" i="1"/>
  <c r="DI43" i="1" s="1"/>
  <c r="GV43" i="1"/>
  <c r="AY40" i="1"/>
  <c r="DT20" i="1"/>
  <c r="DU20" i="1" s="1"/>
  <c r="HC20" i="1"/>
  <c r="DL43" i="1"/>
  <c r="DM43" i="1" s="1"/>
  <c r="GY43" i="1"/>
  <c r="DZ35" i="1"/>
  <c r="EA35" i="1" s="1"/>
  <c r="HF35" i="1"/>
  <c r="DP46" i="1"/>
  <c r="DQ46" i="1" s="1"/>
  <c r="HA46" i="1"/>
  <c r="DL40" i="1"/>
  <c r="DM40" i="1" s="1"/>
  <c r="GY40" i="1"/>
  <c r="DV40" i="1"/>
  <c r="DW40" i="1" s="1"/>
  <c r="HC40" i="1"/>
  <c r="DX43" i="1"/>
  <c r="DY43" i="1" s="1"/>
  <c r="HE43" i="1"/>
  <c r="DP43" i="1"/>
  <c r="DQ43" i="1" s="1"/>
  <c r="HA43" i="1"/>
  <c r="DV35" i="1"/>
  <c r="DW35" i="1" s="1"/>
  <c r="HD35" i="1"/>
  <c r="DP35" i="1"/>
  <c r="DQ35" i="1" s="1"/>
  <c r="GZ35" i="1"/>
  <c r="DP40" i="1"/>
  <c r="DQ40" i="1" s="1"/>
  <c r="HA40" i="1"/>
  <c r="DL46" i="1"/>
  <c r="DM46" i="1" s="1"/>
  <c r="GY46" i="1"/>
  <c r="DX40" i="1"/>
  <c r="DY40" i="1" s="1"/>
  <c r="HE40" i="1"/>
  <c r="DZ46" i="1"/>
  <c r="EA46" i="1" s="1"/>
  <c r="HF46" i="1"/>
  <c r="DX46" i="1"/>
  <c r="DY46" i="1" s="1"/>
  <c r="HE46" i="1"/>
  <c r="DV46" i="1"/>
  <c r="DW46" i="1" s="1"/>
  <c r="HD46" i="1"/>
  <c r="GG39" i="1"/>
  <c r="DL20" i="1"/>
  <c r="DM20" i="1" s="1"/>
  <c r="GY20" i="1"/>
  <c r="DT43" i="1"/>
  <c r="DU43" i="1" s="1"/>
  <c r="HC43" i="1"/>
  <c r="HB35" i="1"/>
  <c r="DT46" i="1"/>
  <c r="DU46" i="1" s="1"/>
  <c r="HB46" i="1"/>
  <c r="DL35" i="1"/>
  <c r="DM35" i="1" s="1"/>
  <c r="GY35" i="1"/>
  <c r="AZ43" i="1"/>
  <c r="CR11" i="1"/>
  <c r="CS11" i="1" s="1"/>
  <c r="AZ35" i="1"/>
  <c r="E12" i="23"/>
  <c r="E14" i="23" s="1"/>
  <c r="CT11" i="1"/>
  <c r="CU11" i="1" s="1"/>
  <c r="GO11" i="1"/>
  <c r="AZ4" i="1"/>
  <c r="AZ20" i="1"/>
  <c r="AP46" i="1"/>
  <c r="AX46" i="1"/>
  <c r="GM39" i="1"/>
  <c r="CN39" i="1"/>
  <c r="CO39" i="1" s="1"/>
  <c r="AX40" i="1"/>
  <c r="CP39" i="1"/>
  <c r="CQ39" i="1" s="1"/>
  <c r="AJ46" i="1"/>
  <c r="J12" i="23"/>
  <c r="J14" i="23" s="1"/>
  <c r="DD11" i="1"/>
  <c r="DE11" i="1" s="1"/>
  <c r="GT11" i="1"/>
  <c r="BE4" i="1"/>
  <c r="BE20" i="1"/>
  <c r="DB11" i="1"/>
  <c r="DC11" i="1" s="1"/>
  <c r="BE35" i="1"/>
  <c r="BA46" i="1"/>
  <c r="GP46" i="1" s="1"/>
  <c r="GP39" i="1"/>
  <c r="BA40" i="1"/>
  <c r="GA39" i="1"/>
  <c r="I12" i="23"/>
  <c r="I14" i="23" s="1"/>
  <c r="C51" i="23" s="1"/>
  <c r="BD43" i="1"/>
  <c r="BD20" i="1"/>
  <c r="GS11" i="1"/>
  <c r="BD4" i="1"/>
  <c r="BD35" i="1"/>
  <c r="DX20" i="1"/>
  <c r="DY20" i="1" s="1"/>
  <c r="DP20" i="1"/>
  <c r="DQ20" i="1" s="1"/>
  <c r="K24" i="23"/>
  <c r="K25" i="23" s="1"/>
  <c r="W20" i="1"/>
  <c r="W4" i="1"/>
  <c r="W35" i="1"/>
  <c r="W43" i="1"/>
  <c r="X46" i="1"/>
  <c r="X40" i="1"/>
  <c r="G24" i="23"/>
  <c r="G25" i="23" s="1"/>
  <c r="J46" i="22"/>
  <c r="ED43" i="1"/>
  <c r="EE43" i="1" s="1"/>
  <c r="EB43" i="1"/>
  <c r="EC43" i="1" s="1"/>
  <c r="ED40" i="1"/>
  <c r="EE40" i="1" s="1"/>
  <c r="EB40" i="1"/>
  <c r="EC40" i="1" s="1"/>
  <c r="ED35" i="1"/>
  <c r="EE35" i="1" s="1"/>
  <c r="EB35" i="1"/>
  <c r="EC35" i="1" s="1"/>
  <c r="BC46" i="1"/>
  <c r="GR46" i="1" s="1"/>
  <c r="GR39" i="1"/>
  <c r="CX39" i="1"/>
  <c r="CY39" i="1" s="1"/>
  <c r="BC40" i="1"/>
  <c r="GT43" i="1"/>
  <c r="G12" i="23"/>
  <c r="G14" i="23" s="1"/>
  <c r="BB4" i="1"/>
  <c r="BB43" i="1"/>
  <c r="BB35" i="1"/>
  <c r="CV11" i="1"/>
  <c r="CW11" i="1" s="1"/>
  <c r="GQ11" i="1"/>
  <c r="BB20" i="1"/>
  <c r="DZ20" i="1"/>
  <c r="EA20" i="1" s="1"/>
  <c r="DX35" i="1"/>
  <c r="DY35" i="1" s="1"/>
  <c r="ED20" i="1"/>
  <c r="EE20" i="1" s="1"/>
  <c r="EB20" i="1"/>
  <c r="EC20" i="1" s="1"/>
  <c r="ED46" i="1"/>
  <c r="EE46" i="1" s="1"/>
  <c r="EB46" i="1"/>
  <c r="EC46" i="1" s="1"/>
  <c r="H12" i="23"/>
  <c r="H14" i="23" s="1"/>
  <c r="CX11" i="1"/>
  <c r="CY11" i="1" s="1"/>
  <c r="GR11" i="1"/>
  <c r="BC20" i="1"/>
  <c r="BC43" i="1"/>
  <c r="BC4" i="1"/>
  <c r="BC35" i="1"/>
  <c r="C12" i="23"/>
  <c r="AX20" i="1"/>
  <c r="AX43" i="1"/>
  <c r="GM11" i="1"/>
  <c r="AX4" i="1"/>
  <c r="CN11" i="1"/>
  <c r="CO11" i="1" s="1"/>
  <c r="AX35" i="1"/>
  <c r="BJ11" i="1"/>
  <c r="CP11" i="1"/>
  <c r="CQ11" i="1" s="1"/>
  <c r="BB40" i="1"/>
  <c r="GQ39" i="1"/>
  <c r="CV39" i="1"/>
  <c r="CW39" i="1" s="1"/>
  <c r="DV20" i="1"/>
  <c r="DW20" i="1" s="1"/>
  <c r="DZ40" i="1"/>
  <c r="EA40" i="1" s="1"/>
  <c r="DZ43" i="1"/>
  <c r="EA43" i="1" s="1"/>
  <c r="DV43" i="1"/>
  <c r="DW43" i="1" s="1"/>
  <c r="P35" i="23"/>
  <c r="BF40" i="1"/>
  <c r="FJ39" i="1"/>
  <c r="FK39" i="1" s="1"/>
  <c r="DF39" i="1"/>
  <c r="DG39" i="1" s="1"/>
  <c r="BF46" i="1"/>
  <c r="GU39" i="1"/>
  <c r="DD39" i="1"/>
  <c r="DE39" i="1" s="1"/>
  <c r="BD46" i="1"/>
  <c r="GS39" i="1"/>
  <c r="CZ39" i="1"/>
  <c r="DA39" i="1" s="1"/>
  <c r="BD40" i="1"/>
  <c r="AZ46" i="1"/>
  <c r="AZ40" i="1"/>
  <c r="CT39" i="1"/>
  <c r="CU39" i="1" s="1"/>
  <c r="BJ39" i="1"/>
  <c r="CR39" i="1"/>
  <c r="CS39" i="1" s="1"/>
  <c r="GO39" i="1"/>
  <c r="GT39" i="1"/>
  <c r="BE40" i="1"/>
  <c r="BE46" i="1"/>
  <c r="DB39" i="1"/>
  <c r="DC39" i="1" s="1"/>
  <c r="AN40" i="1"/>
  <c r="AN46" i="1"/>
  <c r="GE39" i="1"/>
  <c r="FP43" i="1"/>
  <c r="FS47" i="1"/>
  <c r="DT40" i="1"/>
  <c r="DU40" i="1" s="1"/>
  <c r="AV39" i="1"/>
  <c r="O27" i="23"/>
  <c r="FT14" i="1"/>
  <c r="DN20" i="1"/>
  <c r="DO20" i="1" s="1"/>
  <c r="DN43" i="1"/>
  <c r="DO43" i="1" s="1"/>
  <c r="DN46" i="1"/>
  <c r="DO46" i="1" s="1"/>
  <c r="DN35" i="1"/>
  <c r="DO35" i="1" s="1"/>
  <c r="G19" i="23"/>
  <c r="O17" i="23"/>
  <c r="P18" i="23" s="1"/>
  <c r="DN40" i="1"/>
  <c r="DO40" i="1" s="1"/>
  <c r="DT35" i="1"/>
  <c r="DU35" i="1" s="1"/>
  <c r="P33" i="23"/>
  <c r="BX40" i="1"/>
  <c r="BY53" i="1" l="1"/>
  <c r="BY66" i="1"/>
  <c r="Q46" i="22"/>
  <c r="R46" i="22"/>
  <c r="Q43" i="22"/>
  <c r="R43" i="22"/>
  <c r="Q17" i="22"/>
  <c r="R17" i="22"/>
  <c r="F15" i="23"/>
  <c r="K46" i="22"/>
  <c r="K47" i="22" s="1"/>
  <c r="J47" i="22"/>
  <c r="V44" i="22"/>
  <c r="U44" i="22"/>
  <c r="P4" i="22"/>
  <c r="P9" i="23"/>
  <c r="DF20" i="1"/>
  <c r="DG20" i="1" s="1"/>
  <c r="GG46" i="1"/>
  <c r="C46" i="23"/>
  <c r="GG40" i="1"/>
  <c r="P47" i="22"/>
  <c r="GA35" i="1"/>
  <c r="CX46" i="1"/>
  <c r="CY46" i="1" s="1"/>
  <c r="DD43" i="1"/>
  <c r="DE43" i="1" s="1"/>
  <c r="GE35" i="1"/>
  <c r="DF43" i="1"/>
  <c r="DG43" i="1" s="1"/>
  <c r="BY56" i="1"/>
  <c r="BY55" i="1"/>
  <c r="GS20" i="1"/>
  <c r="GH43" i="1"/>
  <c r="GS35" i="1"/>
  <c r="FJ35" i="1"/>
  <c r="FK35" i="1" s="1"/>
  <c r="GS43" i="1"/>
  <c r="DF35" i="1"/>
  <c r="DG35" i="1" s="1"/>
  <c r="CV46" i="1"/>
  <c r="CW46" i="1" s="1"/>
  <c r="P10" i="22"/>
  <c r="Q10" i="22" s="1"/>
  <c r="GP40" i="1"/>
  <c r="BY35" i="1"/>
  <c r="BY33" i="1"/>
  <c r="GN40" i="1"/>
  <c r="BY43" i="1"/>
  <c r="D10" i="23"/>
  <c r="P10" i="23" s="1"/>
  <c r="BY20" i="1"/>
  <c r="BY70" i="1"/>
  <c r="BY60" i="1"/>
  <c r="BY37" i="1"/>
  <c r="BY29" i="1"/>
  <c r="BY24" i="1"/>
  <c r="BY15" i="1"/>
  <c r="BY5" i="1"/>
  <c r="BY34" i="1"/>
  <c r="BY7" i="1"/>
  <c r="BY54" i="1"/>
  <c r="BY39" i="1"/>
  <c r="BY17" i="1"/>
  <c r="BY59" i="1"/>
  <c r="BY52" i="1"/>
  <c r="BY28" i="1"/>
  <c r="BY22" i="1"/>
  <c r="BY13" i="1"/>
  <c r="BY64" i="1"/>
  <c r="BY58" i="1"/>
  <c r="BY42" i="1"/>
  <c r="BY26" i="1"/>
  <c r="BY62" i="1"/>
  <c r="BY48" i="1"/>
  <c r="BY30" i="1"/>
  <c r="BY25" i="1"/>
  <c r="BY6" i="1"/>
  <c r="BY16" i="1"/>
  <c r="BY38" i="1"/>
  <c r="BY61" i="1"/>
  <c r="BY69" i="1"/>
  <c r="BY68" i="1"/>
  <c r="BY23" i="1"/>
  <c r="BY45" i="1"/>
  <c r="BY67" i="1"/>
  <c r="BY27" i="1"/>
  <c r="BY50" i="1"/>
  <c r="BY63" i="1"/>
  <c r="BY32" i="1"/>
  <c r="BY57" i="1"/>
  <c r="BY18" i="1"/>
  <c r="BY19" i="1"/>
  <c r="BY40" i="1"/>
  <c r="I15" i="23"/>
  <c r="GJ43" i="1"/>
  <c r="GA46" i="1"/>
  <c r="GJ35" i="1"/>
  <c r="GD43" i="1"/>
  <c r="GK43" i="1"/>
  <c r="FJ43" i="1"/>
  <c r="FK43" i="1" s="1"/>
  <c r="GD35" i="1"/>
  <c r="GD20" i="1"/>
  <c r="GK46" i="1"/>
  <c r="AV4" i="1"/>
  <c r="AW34" i="1" s="1"/>
  <c r="GJ20" i="1"/>
  <c r="FJ20" i="1"/>
  <c r="FK20" i="1" s="1"/>
  <c r="GK20" i="1"/>
  <c r="BJ4" i="1"/>
  <c r="DB43" i="1"/>
  <c r="DC43" i="1" s="1"/>
  <c r="GM46" i="1"/>
  <c r="CP46" i="1"/>
  <c r="CQ46" i="1" s="1"/>
  <c r="CN46" i="1"/>
  <c r="CO46" i="1" s="1"/>
  <c r="GO35" i="1"/>
  <c r="CR35" i="1"/>
  <c r="CS35" i="1" s="1"/>
  <c r="CT35" i="1"/>
  <c r="CU35" i="1" s="1"/>
  <c r="CT43" i="1"/>
  <c r="CU43" i="1" s="1"/>
  <c r="GO43" i="1"/>
  <c r="CR43" i="1"/>
  <c r="CS43" i="1" s="1"/>
  <c r="GM40" i="1"/>
  <c r="CN40" i="1"/>
  <c r="CO40" i="1" s="1"/>
  <c r="CP40" i="1"/>
  <c r="CQ40" i="1" s="1"/>
  <c r="CT20" i="1"/>
  <c r="CU20" i="1" s="1"/>
  <c r="CR20" i="1"/>
  <c r="CS20" i="1" s="1"/>
  <c r="GO20" i="1"/>
  <c r="E15" i="23"/>
  <c r="C47" i="23"/>
  <c r="GT35" i="1"/>
  <c r="DB35" i="1"/>
  <c r="DC35" i="1" s="1"/>
  <c r="DD35" i="1"/>
  <c r="DE35" i="1" s="1"/>
  <c r="GT20" i="1"/>
  <c r="DB20" i="1"/>
  <c r="DC20" i="1" s="1"/>
  <c r="DD20" i="1"/>
  <c r="DE20" i="1" s="1"/>
  <c r="J15" i="23"/>
  <c r="C52" i="23"/>
  <c r="G10" i="22"/>
  <c r="H10" i="22" s="1"/>
  <c r="J10" i="22"/>
  <c r="K10" i="22" s="1"/>
  <c r="O22" i="23"/>
  <c r="P23" i="23" s="1"/>
  <c r="Q18" i="23" s="1"/>
  <c r="R18" i="23" s="1"/>
  <c r="D24" i="23"/>
  <c r="G37" i="22"/>
  <c r="H37" i="22" s="1"/>
  <c r="G38" i="22"/>
  <c r="H38" i="22" s="1"/>
  <c r="G44" i="22"/>
  <c r="H44" i="22" s="1"/>
  <c r="GM35" i="1"/>
  <c r="CP35" i="1"/>
  <c r="CQ35" i="1" s="1"/>
  <c r="CN35" i="1"/>
  <c r="CO35" i="1" s="1"/>
  <c r="CN20" i="1"/>
  <c r="CO20" i="1" s="1"/>
  <c r="GM20" i="1"/>
  <c r="CP20" i="1"/>
  <c r="CQ20" i="1" s="1"/>
  <c r="GR35" i="1"/>
  <c r="CX35" i="1"/>
  <c r="CY35" i="1" s="1"/>
  <c r="CZ35" i="1"/>
  <c r="DA35" i="1" s="1"/>
  <c r="CX43" i="1"/>
  <c r="CY43" i="1" s="1"/>
  <c r="GR43" i="1"/>
  <c r="CZ43" i="1"/>
  <c r="DA43" i="1" s="1"/>
  <c r="H15" i="23"/>
  <c r="C50" i="23"/>
  <c r="CV20" i="1"/>
  <c r="CW20" i="1" s="1"/>
  <c r="GQ20" i="1"/>
  <c r="GQ43" i="1"/>
  <c r="CV43" i="1"/>
  <c r="CW43" i="1" s="1"/>
  <c r="G15" i="23"/>
  <c r="C49" i="23"/>
  <c r="CV40" i="1"/>
  <c r="CW40" i="1" s="1"/>
  <c r="GQ40" i="1"/>
  <c r="GM43" i="1"/>
  <c r="CN43" i="1"/>
  <c r="CO43" i="1" s="1"/>
  <c r="CP43" i="1"/>
  <c r="CQ43" i="1" s="1"/>
  <c r="C14" i="23"/>
  <c r="O12" i="23"/>
  <c r="P2" i="23" s="1"/>
  <c r="CX20" i="1"/>
  <c r="CY20" i="1" s="1"/>
  <c r="GR20" i="1"/>
  <c r="CZ20" i="1"/>
  <c r="DA20" i="1" s="1"/>
  <c r="GQ35" i="1"/>
  <c r="CV35" i="1"/>
  <c r="CW35" i="1" s="1"/>
  <c r="CX40" i="1"/>
  <c r="CY40" i="1" s="1"/>
  <c r="GR40" i="1"/>
  <c r="GT46" i="1"/>
  <c r="DB46" i="1"/>
  <c r="DC46" i="1" s="1"/>
  <c r="GO46" i="1"/>
  <c r="CT46" i="1"/>
  <c r="CU46" i="1" s="1"/>
  <c r="CR46" i="1"/>
  <c r="CS46" i="1" s="1"/>
  <c r="GS46" i="1"/>
  <c r="CZ46" i="1"/>
  <c r="DA46" i="1" s="1"/>
  <c r="DD40" i="1"/>
  <c r="DE40" i="1" s="1"/>
  <c r="GU40" i="1"/>
  <c r="DF40" i="1"/>
  <c r="DG40" i="1" s="1"/>
  <c r="GT40" i="1"/>
  <c r="DB40" i="1"/>
  <c r="DC40" i="1" s="1"/>
  <c r="BJ40" i="1"/>
  <c r="BJ46" i="1"/>
  <c r="P44" i="22" s="1"/>
  <c r="P37" i="22"/>
  <c r="Q37" i="22" s="1"/>
  <c r="GO40" i="1"/>
  <c r="CT40" i="1"/>
  <c r="CU40" i="1" s="1"/>
  <c r="CR40" i="1"/>
  <c r="CS40" i="1" s="1"/>
  <c r="GS40" i="1"/>
  <c r="CZ40" i="1"/>
  <c r="DA40" i="1" s="1"/>
  <c r="GU46" i="1"/>
  <c r="DD46" i="1"/>
  <c r="DE46" i="1" s="1"/>
  <c r="DF46" i="1"/>
  <c r="DG46" i="1" s="1"/>
  <c r="FJ46" i="1"/>
  <c r="FK46" i="1" s="1"/>
  <c r="FU14" i="1"/>
  <c r="AV40" i="1"/>
  <c r="AV46" i="1"/>
  <c r="FT47" i="1"/>
  <c r="GE46" i="1"/>
  <c r="P27" i="23"/>
  <c r="P30" i="23"/>
  <c r="P28" i="23"/>
  <c r="P29" i="23"/>
  <c r="GE40" i="1"/>
  <c r="G20" i="23"/>
  <c r="P20" i="23" s="1"/>
  <c r="P19" i="23"/>
  <c r="P17" i="23"/>
  <c r="BY46" i="1" l="1"/>
  <c r="BY49" i="1"/>
  <c r="Q47" i="22"/>
  <c r="R47" i="22"/>
  <c r="Q44" i="22"/>
  <c r="R44" i="22"/>
  <c r="Q4" i="22"/>
  <c r="R4" i="22"/>
  <c r="P38" i="22"/>
  <c r="CM167" i="1"/>
  <c r="P13" i="23"/>
  <c r="Q13" i="23" s="1"/>
  <c r="R13" i="23" s="1"/>
  <c r="P7" i="23"/>
  <c r="Q2" i="23" s="1"/>
  <c r="R2" i="23" s="1"/>
  <c r="BK19" i="1"/>
  <c r="BK33" i="1"/>
  <c r="BK35" i="1"/>
  <c r="BK66" i="1"/>
  <c r="BK7" i="1"/>
  <c r="BK30" i="1"/>
  <c r="BK61" i="1"/>
  <c r="BK42" i="1"/>
  <c r="BK6" i="1"/>
  <c r="BK20" i="1"/>
  <c r="BK37" i="1"/>
  <c r="BK48" i="1"/>
  <c r="BK69" i="1"/>
  <c r="BK59" i="1"/>
  <c r="BK60" i="1"/>
  <c r="BK52" i="1"/>
  <c r="BK38" i="1"/>
  <c r="BK64" i="1"/>
  <c r="BK58" i="1"/>
  <c r="BK22" i="1"/>
  <c r="BK63" i="1"/>
  <c r="BK39" i="1"/>
  <c r="BK15" i="1"/>
  <c r="BK54" i="1"/>
  <c r="BK62" i="1"/>
  <c r="BK16" i="1"/>
  <c r="AW20" i="1"/>
  <c r="AW35" i="1"/>
  <c r="AW38" i="1"/>
  <c r="AW22" i="1"/>
  <c r="AW5" i="1"/>
  <c r="AW68" i="1"/>
  <c r="AW57" i="1"/>
  <c r="AW28" i="1"/>
  <c r="AW60" i="1"/>
  <c r="AW30" i="1"/>
  <c r="AW29" i="1"/>
  <c r="AW15" i="1"/>
  <c r="AW64" i="1"/>
  <c r="AW54" i="1"/>
  <c r="AW25" i="1"/>
  <c r="AW6" i="1"/>
  <c r="AW24" i="1"/>
  <c r="AW26" i="1"/>
  <c r="AW17" i="1"/>
  <c r="AW70" i="1"/>
  <c r="AW66" i="1"/>
  <c r="AW7" i="1"/>
  <c r="AW37" i="1"/>
  <c r="AW43" i="1"/>
  <c r="AW32" i="1"/>
  <c r="AW63" i="1"/>
  <c r="AW23" i="1"/>
  <c r="AW39" i="1"/>
  <c r="AW16" i="1"/>
  <c r="AW61" i="1"/>
  <c r="AW59" i="1"/>
  <c r="AW69" i="1"/>
  <c r="AW45" i="1"/>
  <c r="AW48" i="1"/>
  <c r="AW52" i="1"/>
  <c r="AW67" i="1"/>
  <c r="AW42" i="1"/>
  <c r="AW19" i="1"/>
  <c r="AW13" i="1"/>
  <c r="AW27" i="1"/>
  <c r="AW58" i="1"/>
  <c r="AW62" i="1"/>
  <c r="AW53" i="1"/>
  <c r="AW40" i="1"/>
  <c r="BK40" i="1"/>
  <c r="BK43" i="1"/>
  <c r="BK17" i="1"/>
  <c r="BK34" i="1"/>
  <c r="BK70" i="1"/>
  <c r="BK25" i="1"/>
  <c r="BK53" i="1"/>
  <c r="BK13" i="1"/>
  <c r="BK29" i="1"/>
  <c r="BK67" i="1"/>
  <c r="BK68" i="1"/>
  <c r="BK27" i="1"/>
  <c r="BK57" i="1"/>
  <c r="BK45" i="1"/>
  <c r="BK24" i="1"/>
  <c r="BK28" i="1"/>
  <c r="BK32" i="1"/>
  <c r="BK26" i="1"/>
  <c r="BK5" i="1"/>
  <c r="BK23" i="1"/>
  <c r="P22" i="23"/>
  <c r="Q22" i="23" s="1"/>
  <c r="R22" i="23" s="1"/>
  <c r="Q23" i="23"/>
  <c r="R23" i="23" s="1"/>
  <c r="BY11" i="1"/>
  <c r="AW11" i="1"/>
  <c r="BK11" i="1"/>
  <c r="P24" i="23"/>
  <c r="Q19" i="23" s="1"/>
  <c r="R19" i="23" s="1"/>
  <c r="D25" i="23"/>
  <c r="P25" i="23" s="1"/>
  <c r="Q20" i="23" s="1"/>
  <c r="R20" i="23" s="1"/>
  <c r="C15" i="23"/>
  <c r="P15" i="23" s="1"/>
  <c r="C45" i="23"/>
  <c r="P14" i="23"/>
  <c r="P12" i="23"/>
  <c r="Q12" i="23" s="1"/>
  <c r="R12" i="23" s="1"/>
  <c r="Q28" i="23"/>
  <c r="R28" i="23" s="1"/>
  <c r="Q29" i="23"/>
  <c r="R29" i="23" s="1"/>
  <c r="FV14" i="1"/>
  <c r="Q30" i="23"/>
  <c r="R30" i="23" s="1"/>
  <c r="FU47" i="1"/>
  <c r="J44" i="22"/>
  <c r="K44" i="22" s="1"/>
  <c r="Q27" i="23"/>
  <c r="R27" i="23" s="1"/>
  <c r="J37" i="22"/>
  <c r="K37" i="22" s="1"/>
  <c r="J38" i="22"/>
  <c r="K38" i="22" s="1"/>
  <c r="Q17" i="23"/>
  <c r="R17" i="23" s="1"/>
  <c r="Q38" i="22" l="1"/>
  <c r="R38" i="22"/>
  <c r="Q8" i="23"/>
  <c r="R8" i="23" s="1"/>
  <c r="Q7" i="23"/>
  <c r="R7" i="23" s="1"/>
  <c r="Q14" i="23"/>
  <c r="R14" i="23" s="1"/>
  <c r="Q9" i="23"/>
  <c r="R9" i="23" s="1"/>
  <c r="Q15" i="23"/>
  <c r="R15" i="23" s="1"/>
  <c r="Q10" i="23"/>
  <c r="R10" i="23" s="1"/>
  <c r="AW50" i="1"/>
  <c r="BY167" i="1"/>
  <c r="BK49" i="1"/>
  <c r="BK50" i="1"/>
  <c r="BK46" i="1"/>
  <c r="BK18" i="1"/>
  <c r="AW167" i="1"/>
  <c r="AW49" i="1"/>
  <c r="BK167" i="1"/>
  <c r="AW18" i="1"/>
  <c r="AW46" i="1"/>
  <c r="Q24" i="23"/>
  <c r="R24" i="23" s="1"/>
  <c r="Q25" i="23"/>
  <c r="R25" i="23" s="1"/>
  <c r="FW14" i="1"/>
  <c r="FV47" i="1"/>
  <c r="FW47" i="1" l="1"/>
  <c r="FX14" i="1"/>
  <c r="FY14" i="1" l="1"/>
  <c r="FX47" i="1"/>
  <c r="FY47" i="1" l="1"/>
  <c r="FZ14" i="1"/>
  <c r="FZ47" i="1" l="1"/>
  <c r="D7" i="22" l="1"/>
  <c r="E7" i="22" s="1"/>
  <c r="D45" i="22"/>
  <c r="E45" i="22" s="1"/>
  <c r="V1" i="1" l="1"/>
  <c r="W1" i="1" l="1"/>
  <c r="V2" i="1"/>
  <c r="V3" i="1" s="1"/>
  <c r="V14" i="1" s="1"/>
  <c r="V8" i="1"/>
  <c r="W2" i="1" l="1"/>
  <c r="W3" i="1" s="1"/>
  <c r="W14" i="1" s="1"/>
  <c r="X1" i="1"/>
  <c r="G7" i="22"/>
  <c r="H7" i="22" s="1"/>
  <c r="G45" i="22"/>
  <c r="H45" i="22" s="1"/>
  <c r="W8" i="1"/>
  <c r="V47" i="1"/>
  <c r="X2" i="1" l="1"/>
  <c r="X3" i="1" s="1"/>
  <c r="X14" i="1" s="1"/>
  <c r="Y1" i="1"/>
  <c r="X8" i="1"/>
  <c r="W47" i="1"/>
  <c r="Y2" i="1" l="1"/>
  <c r="Y3" i="1" s="1"/>
  <c r="Y14" i="1" s="1"/>
  <c r="X47" i="1"/>
  <c r="Y8" i="1"/>
  <c r="Y47" i="1" l="1"/>
  <c r="AJ1" i="1" l="1"/>
  <c r="AJ2" i="1" l="1"/>
  <c r="AJ3" i="1" s="1"/>
  <c r="AJ14" i="1" s="1"/>
  <c r="AK1" i="1"/>
  <c r="AV8" i="1"/>
  <c r="AJ8" i="1"/>
  <c r="GA14" i="1" l="1"/>
  <c r="AK2" i="1"/>
  <c r="AK3" i="1" s="1"/>
  <c r="AK14" i="1" s="1"/>
  <c r="AL1" i="1"/>
  <c r="AK8" i="1"/>
  <c r="AJ47" i="1"/>
  <c r="AV47" i="1"/>
  <c r="J45" i="22" s="1"/>
  <c r="K45" i="22" s="1"/>
  <c r="J7" i="22"/>
  <c r="K7" i="22" s="1"/>
  <c r="AW8" i="1"/>
  <c r="AW47" i="1" s="1"/>
  <c r="GB14" i="1" l="1"/>
  <c r="AM1" i="1"/>
  <c r="AL2" i="1"/>
  <c r="AL3" i="1" s="1"/>
  <c r="AL14" i="1" s="1"/>
  <c r="GA47" i="1"/>
  <c r="AL8" i="1"/>
  <c r="AK47" i="1"/>
  <c r="GC14" i="1" l="1"/>
  <c r="AN1" i="1"/>
  <c r="AM2" i="1"/>
  <c r="AM3" i="1" s="1"/>
  <c r="AM14" i="1" s="1"/>
  <c r="AM8" i="1"/>
  <c r="AL47" i="1"/>
  <c r="GC47" i="1" s="1"/>
  <c r="GB47" i="1"/>
  <c r="GD14" i="1" l="1"/>
  <c r="AO1" i="1"/>
  <c r="AN2" i="1"/>
  <c r="AN3" i="1" s="1"/>
  <c r="AN14" i="1" s="1"/>
  <c r="AM47" i="1"/>
  <c r="AN8" i="1"/>
  <c r="GE14" i="1" l="1"/>
  <c r="AO2" i="1"/>
  <c r="AO3" i="1" s="1"/>
  <c r="AO14" i="1" s="1"/>
  <c r="AP1" i="1"/>
  <c r="AO8" i="1"/>
  <c r="AN47" i="1"/>
  <c r="GD47" i="1"/>
  <c r="GF14" i="1" l="1"/>
  <c r="AQ1" i="1"/>
  <c r="AP2" i="1"/>
  <c r="AP3" i="1" s="1"/>
  <c r="AP14" i="1" s="1"/>
  <c r="AP8" i="1"/>
  <c r="AO47" i="1"/>
  <c r="GE47" i="1"/>
  <c r="GG14" i="1" l="1"/>
  <c r="AR1" i="1"/>
  <c r="AQ2" i="1"/>
  <c r="AQ3" i="1" s="1"/>
  <c r="AQ14" i="1" s="1"/>
  <c r="GF47" i="1"/>
  <c r="AP47" i="1"/>
  <c r="AQ8" i="1"/>
  <c r="GH14" i="1" l="1"/>
  <c r="AR2" i="1"/>
  <c r="AR3" i="1" s="1"/>
  <c r="AS1" i="1"/>
  <c r="AR8" i="1"/>
  <c r="AQ47" i="1"/>
  <c r="GG47" i="1"/>
  <c r="AR14" i="1" l="1"/>
  <c r="AS2" i="1"/>
  <c r="AT1" i="1"/>
  <c r="GH47" i="1"/>
  <c r="AS8" i="1"/>
  <c r="AR47" i="1"/>
  <c r="AS3" i="1" l="1"/>
  <c r="GI14" i="1"/>
  <c r="AU1" i="1"/>
  <c r="AT2" i="1"/>
  <c r="GI47" i="1"/>
  <c r="AT8" i="1"/>
  <c r="AS47" i="1"/>
  <c r="AT3" i="1" l="1"/>
  <c r="AS14" i="1"/>
  <c r="AU2" i="1"/>
  <c r="AX1" i="1"/>
  <c r="AU8" i="1"/>
  <c r="AT47" i="1"/>
  <c r="GJ47" i="1"/>
  <c r="AU3" i="1" l="1"/>
  <c r="AT14" i="1"/>
  <c r="GJ14" i="1"/>
  <c r="AX2" i="1"/>
  <c r="AY1" i="1"/>
  <c r="GK47" i="1"/>
  <c r="AX8" i="1"/>
  <c r="AU47" i="1"/>
  <c r="BJ8" i="1"/>
  <c r="AX3" i="1" l="1"/>
  <c r="AU14" i="1"/>
  <c r="GK14" i="1"/>
  <c r="AY2" i="1"/>
  <c r="AZ1" i="1"/>
  <c r="GL47" i="1"/>
  <c r="BJ47" i="1"/>
  <c r="BK8" i="1"/>
  <c r="BK47" i="1" s="1"/>
  <c r="AY8" i="1"/>
  <c r="AX47" i="1"/>
  <c r="AY3" i="1" l="1"/>
  <c r="AX14" i="1"/>
  <c r="GL14" i="1"/>
  <c r="AW14" i="1"/>
  <c r="BA1" i="1"/>
  <c r="AZ2" i="1"/>
  <c r="CN47" i="1"/>
  <c r="CO47" i="1" s="1"/>
  <c r="GM47" i="1"/>
  <c r="AY47" i="1"/>
  <c r="AZ8" i="1"/>
  <c r="AZ3" i="1" l="1"/>
  <c r="AY14" i="1"/>
  <c r="CN14" i="1"/>
  <c r="CO14" i="1" s="1"/>
  <c r="GM14" i="1"/>
  <c r="BA2" i="1"/>
  <c r="BB1" i="1"/>
  <c r="GN47" i="1"/>
  <c r="CP47" i="1"/>
  <c r="CQ47" i="1" s="1"/>
  <c r="BA8" i="1"/>
  <c r="AZ47" i="1"/>
  <c r="BA3" i="1" l="1"/>
  <c r="AZ14" i="1"/>
  <c r="GN14" i="1"/>
  <c r="CP14" i="1"/>
  <c r="CQ14" i="1" s="1"/>
  <c r="BC1" i="1"/>
  <c r="BB2" i="1"/>
  <c r="GO47" i="1"/>
  <c r="CR47" i="1"/>
  <c r="CS47" i="1" s="1"/>
  <c r="BA47" i="1"/>
  <c r="BB8" i="1"/>
  <c r="BB3" i="1" l="1"/>
  <c r="BA14" i="1"/>
  <c r="GO14" i="1"/>
  <c r="CR14" i="1"/>
  <c r="CS14" i="1" s="1"/>
  <c r="BD1" i="1"/>
  <c r="BC2" i="1"/>
  <c r="BB47" i="1"/>
  <c r="BC8" i="1"/>
  <c r="CT47" i="1"/>
  <c r="CU47" i="1" s="1"/>
  <c r="GP47" i="1"/>
  <c r="BC3" i="1" l="1"/>
  <c r="BB14" i="1"/>
  <c r="CT14" i="1"/>
  <c r="CU14" i="1" s="1"/>
  <c r="GP14" i="1"/>
  <c r="BE1" i="1"/>
  <c r="BD2" i="1"/>
  <c r="BD8" i="1"/>
  <c r="BC47" i="1"/>
  <c r="CV47" i="1"/>
  <c r="CW47" i="1" s="1"/>
  <c r="GQ47" i="1"/>
  <c r="BD3" i="1" l="1"/>
  <c r="BC14" i="1"/>
  <c r="CV14" i="1"/>
  <c r="CW14" i="1" s="1"/>
  <c r="GQ14" i="1"/>
  <c r="BE2" i="1"/>
  <c r="BF1" i="1"/>
  <c r="CX47" i="1"/>
  <c r="CY47" i="1" s="1"/>
  <c r="GR47" i="1"/>
  <c r="BD47" i="1"/>
  <c r="BE8" i="1"/>
  <c r="BE3" i="1" l="1"/>
  <c r="BD14" i="1"/>
  <c r="CZ14" i="1" s="1"/>
  <c r="DA14" i="1" s="1"/>
  <c r="CX14" i="1"/>
  <c r="CY14" i="1" s="1"/>
  <c r="GR14" i="1"/>
  <c r="BF2" i="1"/>
  <c r="BG1" i="1"/>
  <c r="BE47" i="1"/>
  <c r="BF8" i="1"/>
  <c r="CZ47" i="1"/>
  <c r="DA47" i="1" s="1"/>
  <c r="GS47" i="1"/>
  <c r="BF3" i="1" l="1"/>
  <c r="BE14" i="1"/>
  <c r="DB14" i="1" s="1"/>
  <c r="DC14" i="1" s="1"/>
  <c r="GS14" i="1"/>
  <c r="BG2" i="1"/>
  <c r="BH1" i="1"/>
  <c r="BG8" i="1"/>
  <c r="BF47" i="1"/>
  <c r="DB47" i="1"/>
  <c r="DC47" i="1" s="1"/>
  <c r="GT47" i="1"/>
  <c r="BG3" i="1" l="1"/>
  <c r="BG47" i="1"/>
  <c r="BF14" i="1"/>
  <c r="GU14" i="1" s="1"/>
  <c r="GT14" i="1"/>
  <c r="BH8" i="1"/>
  <c r="BH2" i="1"/>
  <c r="BI1" i="1"/>
  <c r="GU47" i="1"/>
  <c r="DD47" i="1"/>
  <c r="DE47" i="1" s="1"/>
  <c r="BH3" i="1" l="1"/>
  <c r="GV47" i="1"/>
  <c r="DF47" i="1"/>
  <c r="DG47" i="1" s="1"/>
  <c r="BG14" i="1"/>
  <c r="DD14" i="1"/>
  <c r="DE14" i="1" s="1"/>
  <c r="BI8" i="1"/>
  <c r="BH47" i="1"/>
  <c r="BL1" i="1"/>
  <c r="BL2" i="1" s="1"/>
  <c r="BI2" i="1"/>
  <c r="GV14" i="1" l="1"/>
  <c r="DF14" i="1"/>
  <c r="DG14" i="1" s="1"/>
  <c r="BI47" i="1"/>
  <c r="BI3" i="1"/>
  <c r="BH14" i="1"/>
  <c r="GW47" i="1"/>
  <c r="DH47" i="1"/>
  <c r="DI47" i="1" s="1"/>
  <c r="BX8" i="1"/>
  <c r="P7" i="22" s="1"/>
  <c r="BL8" i="1"/>
  <c r="BM1" i="1"/>
  <c r="BM2" i="1" l="1"/>
  <c r="BL3" i="1"/>
  <c r="Q7" i="22"/>
  <c r="R7" i="22"/>
  <c r="DJ47" i="1"/>
  <c r="DK47" i="1" s="1"/>
  <c r="BI14" i="1"/>
  <c r="GX47" i="1"/>
  <c r="GW14" i="1"/>
  <c r="DH14" i="1"/>
  <c r="DI14" i="1" s="1"/>
  <c r="BY8" i="1"/>
  <c r="BX47" i="1"/>
  <c r="P45" i="22" s="1"/>
  <c r="BL47" i="1"/>
  <c r="BM8" i="1"/>
  <c r="BN1" i="1"/>
  <c r="BN2" i="1" l="1"/>
  <c r="Q45" i="22"/>
  <c r="R45" i="22"/>
  <c r="BK14" i="1"/>
  <c r="BM47" i="1"/>
  <c r="BM3" i="1"/>
  <c r="BL14" i="1"/>
  <c r="DJ14" i="1"/>
  <c r="DK14" i="1" s="1"/>
  <c r="GX14" i="1"/>
  <c r="BN8" i="1"/>
  <c r="GY47" i="1"/>
  <c r="DL47" i="1"/>
  <c r="DM47" i="1" s="1"/>
  <c r="BO1" i="1"/>
  <c r="BO2" i="1" l="1"/>
  <c r="BN47" i="1"/>
  <c r="BM14" i="1"/>
  <c r="BN3" i="1"/>
  <c r="DL14" i="1"/>
  <c r="DM14" i="1" s="1"/>
  <c r="GY14" i="1"/>
  <c r="DN47" i="1"/>
  <c r="DO47" i="1" s="1"/>
  <c r="GZ47" i="1"/>
  <c r="BO8" i="1"/>
  <c r="BP1" i="1"/>
  <c r="BP2" i="1" l="1"/>
  <c r="BO47" i="1"/>
  <c r="BN14" i="1"/>
  <c r="GZ14" i="1"/>
  <c r="DN14" i="1"/>
  <c r="DO14" i="1" s="1"/>
  <c r="BO3" i="1"/>
  <c r="BP8" i="1"/>
  <c r="DP47" i="1"/>
  <c r="DQ47" i="1" s="1"/>
  <c r="HA47" i="1"/>
  <c r="BQ1" i="1"/>
  <c r="BQ2" i="1" l="1"/>
  <c r="BP3" i="1"/>
  <c r="BP47" i="1"/>
  <c r="DR47" i="1"/>
  <c r="DS47" i="1" s="1"/>
  <c r="BO14" i="1"/>
  <c r="DP14" i="1"/>
  <c r="DQ14" i="1" s="1"/>
  <c r="HA14" i="1"/>
  <c r="BQ8" i="1"/>
  <c r="HB47" i="1"/>
  <c r="BR1" i="1"/>
  <c r="BR2" i="1" l="1"/>
  <c r="BQ3" i="1"/>
  <c r="BQ47" i="1"/>
  <c r="BP14" i="1"/>
  <c r="DR14" i="1"/>
  <c r="DS14" i="1" s="1"/>
  <c r="HB14" i="1"/>
  <c r="BR8" i="1"/>
  <c r="DT47" i="1"/>
  <c r="DU47" i="1" s="1"/>
  <c r="HC47" i="1"/>
  <c r="BS1" i="1"/>
  <c r="BT1" i="1" l="1"/>
  <c r="BS2" i="1"/>
  <c r="BR3" i="1"/>
  <c r="BR47" i="1"/>
  <c r="BQ14" i="1"/>
  <c r="HC14" i="1"/>
  <c r="DT14" i="1"/>
  <c r="DU14" i="1" s="1"/>
  <c r="DV47" i="1"/>
  <c r="DW47" i="1" s="1"/>
  <c r="HD47" i="1"/>
  <c r="BS8" i="1"/>
  <c r="BT2" i="1" l="1"/>
  <c r="BS47" i="1"/>
  <c r="BS3" i="1"/>
  <c r="BR14" i="1"/>
  <c r="DV14" i="1"/>
  <c r="DW14" i="1" s="1"/>
  <c r="HD14" i="1"/>
  <c r="DX47" i="1"/>
  <c r="DY47" i="1" s="1"/>
  <c r="HE47" i="1"/>
  <c r="BT8" i="1"/>
  <c r="BU1" i="1"/>
  <c r="BT3" i="1" l="1"/>
  <c r="HE14" i="1"/>
  <c r="BU2" i="1"/>
  <c r="BT47" i="1"/>
  <c r="BS14" i="1"/>
  <c r="DX14" i="1"/>
  <c r="DY14" i="1" s="1"/>
  <c r="BU8" i="1"/>
  <c r="HF47" i="1"/>
  <c r="DZ47" i="1"/>
  <c r="EA47" i="1" s="1"/>
  <c r="BV1" i="1"/>
  <c r="FH1" i="1" s="1"/>
  <c r="BU3" i="1" l="1"/>
  <c r="BV2" i="1"/>
  <c r="BU47" i="1"/>
  <c r="BT14" i="1"/>
  <c r="DZ14" i="1"/>
  <c r="EA14" i="1" s="1"/>
  <c r="HF14" i="1"/>
  <c r="HG47" i="1"/>
  <c r="EB47" i="1"/>
  <c r="EC47" i="1" s="1"/>
  <c r="BV8" i="1"/>
  <c r="FH8" i="1" s="1"/>
  <c r="BW1" i="1"/>
  <c r="BV3" i="1" l="1"/>
  <c r="FH3" i="1" s="1"/>
  <c r="FH2" i="1"/>
  <c r="BU14" i="1"/>
  <c r="HH14" i="1" s="1"/>
  <c r="BW2" i="1"/>
  <c r="BW3" i="1" s="1"/>
  <c r="BW14" i="1" s="1"/>
  <c r="BZ1" i="1"/>
  <c r="BV47" i="1"/>
  <c r="FH47" i="1" s="1"/>
  <c r="EB14" i="1"/>
  <c r="EC14" i="1" s="1"/>
  <c r="HG14" i="1"/>
  <c r="HH47" i="1"/>
  <c r="ED47" i="1"/>
  <c r="EE47" i="1" s="1"/>
  <c r="BW8" i="1"/>
  <c r="ED14" i="1" l="1"/>
  <c r="EE14" i="1" s="1"/>
  <c r="BZ2" i="1"/>
  <c r="BW47" i="1"/>
  <c r="CA1" i="1"/>
  <c r="BV14" i="1"/>
  <c r="FH14" i="1" s="1"/>
  <c r="BZ8" i="1"/>
  <c r="CL8" i="1"/>
  <c r="S7" i="22" s="1"/>
  <c r="T7" i="22" s="1"/>
  <c r="EF47" i="1"/>
  <c r="EG47" i="1" s="1"/>
  <c r="HI47" i="1"/>
  <c r="CA2" i="1" l="1"/>
  <c r="BZ47" i="1"/>
  <c r="BZ3" i="1"/>
  <c r="CB1" i="1"/>
  <c r="BY47" i="1"/>
  <c r="HJ47" i="1"/>
  <c r="U7" i="22"/>
  <c r="V7" i="22"/>
  <c r="EH47" i="1"/>
  <c r="EI47" i="1" s="1"/>
  <c r="EF14" i="1"/>
  <c r="EG14" i="1" s="1"/>
  <c r="HI14" i="1"/>
  <c r="BY14" i="1"/>
  <c r="CA8" i="1"/>
  <c r="CM8" i="1"/>
  <c r="CL47" i="1"/>
  <c r="S45" i="22" s="1"/>
  <c r="T45" i="22" s="1"/>
  <c r="HJ14" i="1"/>
  <c r="EH14" i="1"/>
  <c r="EI14" i="1" s="1"/>
  <c r="CB2" i="1" l="1"/>
  <c r="CA3" i="1"/>
  <c r="CA47" i="1"/>
  <c r="CC1" i="1"/>
  <c r="BZ14" i="1"/>
  <c r="U45" i="22"/>
  <c r="V45" i="22"/>
  <c r="HK47" i="1"/>
  <c r="EJ47" i="1"/>
  <c r="EK47" i="1" s="1"/>
  <c r="CB8" i="1"/>
  <c r="CC2" i="1" l="1"/>
  <c r="CB3" i="1"/>
  <c r="CB47" i="1"/>
  <c r="CA14" i="1"/>
  <c r="CD1" i="1"/>
  <c r="HK14" i="1"/>
  <c r="EJ14" i="1"/>
  <c r="EK14" i="1" s="1"/>
  <c r="EL47" i="1"/>
  <c r="EM47" i="1" s="1"/>
  <c r="HL47" i="1"/>
  <c r="CC8" i="1"/>
  <c r="CD2" i="1" l="1"/>
  <c r="CD3" i="1" s="1"/>
  <c r="CC3" i="1"/>
  <c r="CC47" i="1"/>
  <c r="CB14" i="1"/>
  <c r="HL14" i="1"/>
  <c r="EL14" i="1"/>
  <c r="EM14" i="1" s="1"/>
  <c r="CE1" i="1"/>
  <c r="HM47" i="1"/>
  <c r="EN47" i="1"/>
  <c r="EO47" i="1" s="1"/>
  <c r="CD8" i="1"/>
  <c r="CE2" i="1" l="1"/>
  <c r="CD47" i="1"/>
  <c r="CD14" i="1"/>
  <c r="CC14" i="1"/>
  <c r="HM14" i="1"/>
  <c r="EN14" i="1"/>
  <c r="EO14" i="1" s="1"/>
  <c r="CF1" i="1"/>
  <c r="HN47" i="1"/>
  <c r="EP47" i="1"/>
  <c r="EQ47" i="1" s="1"/>
  <c r="CE8" i="1"/>
  <c r="CF2" i="1" l="1"/>
  <c r="CE3" i="1"/>
  <c r="CE47" i="1"/>
  <c r="HO14" i="1"/>
  <c r="EP14" i="1"/>
  <c r="EQ14" i="1" s="1"/>
  <c r="ER14" i="1"/>
  <c r="ES14" i="1" s="1"/>
  <c r="HN14" i="1"/>
  <c r="CG1" i="1"/>
  <c r="HO47" i="1"/>
  <c r="ER47" i="1"/>
  <c r="ES47" i="1" s="1"/>
  <c r="CF8" i="1"/>
  <c r="CG2" i="1" l="1"/>
  <c r="CG3" i="1" s="1"/>
  <c r="CF3" i="1"/>
  <c r="CF47" i="1"/>
  <c r="CE14" i="1"/>
  <c r="CH1" i="1"/>
  <c r="HP47" i="1"/>
  <c r="ET47" i="1"/>
  <c r="EU47" i="1" s="1"/>
  <c r="CG8" i="1"/>
  <c r="CH2" i="1" l="1"/>
  <c r="CG47" i="1"/>
  <c r="CG14" i="1"/>
  <c r="CF14" i="1"/>
  <c r="EV14" i="1" s="1"/>
  <c r="EW14" i="1" s="1"/>
  <c r="HP14" i="1"/>
  <c r="ET14" i="1"/>
  <c r="EU14" i="1" s="1"/>
  <c r="CI1" i="1"/>
  <c r="HQ47" i="1"/>
  <c r="EV47" i="1"/>
  <c r="EW47" i="1" s="1"/>
  <c r="CH8" i="1"/>
  <c r="CI2" i="1" l="1"/>
  <c r="CH3" i="1"/>
  <c r="CH14" i="1" s="1"/>
  <c r="CH47" i="1"/>
  <c r="HR14" i="1"/>
  <c r="EX14" i="1"/>
  <c r="EY14" i="1" s="1"/>
  <c r="HQ14" i="1"/>
  <c r="CJ1" i="1"/>
  <c r="HR47" i="1"/>
  <c r="EX47" i="1"/>
  <c r="EY47" i="1" s="1"/>
  <c r="CI8" i="1"/>
  <c r="CJ2" i="1" l="1"/>
  <c r="FI2" i="1" s="1"/>
  <c r="FI1" i="1"/>
  <c r="CI3" i="1"/>
  <c r="CI47" i="1"/>
  <c r="EZ14" i="1"/>
  <c r="FA14" i="1" s="1"/>
  <c r="HS14" i="1"/>
  <c r="CJ3" i="1"/>
  <c r="CK1" i="1"/>
  <c r="CK2" i="1" s="1"/>
  <c r="HS47" i="1"/>
  <c r="EZ47" i="1"/>
  <c r="FA47" i="1" s="1"/>
  <c r="CJ8" i="1"/>
  <c r="CJ14" i="1" l="1"/>
  <c r="FI14" i="1" s="1"/>
  <c r="FI3" i="1"/>
  <c r="CK8" i="1"/>
  <c r="FI8" i="1"/>
  <c r="CJ47" i="1"/>
  <c r="CI14" i="1"/>
  <c r="CK3" i="1"/>
  <c r="HT47" i="1"/>
  <c r="FB47" i="1"/>
  <c r="FC47" i="1" s="1"/>
  <c r="HU14" i="1" l="1"/>
  <c r="FI47" i="1"/>
  <c r="FJ47" i="1" s="1"/>
  <c r="FK47" i="1" s="1"/>
  <c r="HU47" i="1"/>
  <c r="FF47" i="1"/>
  <c r="FG47" i="1" s="1"/>
  <c r="FD47" i="1"/>
  <c r="FE47" i="1" s="1"/>
  <c r="CM47" i="1"/>
  <c r="FJ14" i="1"/>
  <c r="FK14" i="1" s="1"/>
  <c r="HT14" i="1"/>
  <c r="CM14" i="1"/>
  <c r="FB14" i="1"/>
  <c r="FC14" i="1" s="1"/>
  <c r="FD14" i="1"/>
  <c r="FE14" i="1" s="1"/>
  <c r="HV14" i="1"/>
  <c r="FF14" i="1"/>
  <c r="FG14" i="1" s="1"/>
  <c r="CM5" i="1" l="1"/>
  <c r="EJ5" i="1"/>
  <c r="EK5" i="1" s="1"/>
  <c r="FJ5" i="1"/>
  <c r="FK5" i="1" s="1"/>
  <c r="C3" i="23"/>
  <c r="P3" i="23" s="1"/>
  <c r="Q3" i="23" s="1"/>
  <c r="R3" i="23" s="1"/>
  <c r="EL5" i="1"/>
  <c r="EM5" i="1" s="1"/>
  <c r="BZ40" i="1"/>
  <c r="HK40" i="1" s="1"/>
  <c r="CL5" i="1"/>
  <c r="S4" i="22" s="1"/>
  <c r="T4" i="22" s="1"/>
  <c r="O3" i="23" l="1"/>
  <c r="CL40" i="1"/>
  <c r="S38" i="22" s="1"/>
  <c r="T38" i="22" s="1"/>
  <c r="V38" i="22" s="1"/>
  <c r="C4" i="23"/>
  <c r="P4" i="23" s="1"/>
  <c r="Q4" i="23" s="1"/>
  <c r="R4" i="23" s="1"/>
  <c r="U4" i="22"/>
  <c r="V4" i="22"/>
  <c r="EL40" i="1"/>
  <c r="EM40" i="1" s="1"/>
  <c r="CM40" i="1"/>
  <c r="FJ40" i="1"/>
  <c r="FK40" i="1" s="1"/>
  <c r="EJ40" i="1"/>
  <c r="EK40" i="1" s="1"/>
  <c r="C5" i="23" l="1"/>
  <c r="P5" i="23" s="1"/>
  <c r="Q5" i="23" s="1"/>
  <c r="R5" i="23" s="1"/>
  <c r="U38" i="22"/>
</calcChain>
</file>

<file path=xl/comments1.xml><?xml version="1.0" encoding="utf-8"?>
<comments xmlns="http://schemas.openxmlformats.org/spreadsheetml/2006/main">
  <authors>
    <author>RBarnette</author>
  </authors>
  <commentList>
    <comment ref="FO10" authorId="0" shapeId="0">
      <text>
        <r>
          <rPr>
            <b/>
            <sz val="8"/>
            <color indexed="81"/>
            <rFont val="Tahoma"/>
            <family val="2"/>
          </rPr>
          <t>Yellow shaded items = FY1517 Strategic Plan Metric</t>
        </r>
        <r>
          <rPr>
            <sz val="8"/>
            <color indexed="81"/>
            <rFont val="Tahoma"/>
            <family val="2"/>
          </rPr>
          <t xml:space="preserve">
</t>
        </r>
      </text>
    </comment>
    <comment ref="CB32" authorId="0" shapeId="0">
      <text>
        <r>
          <rPr>
            <sz val="8"/>
            <color indexed="81"/>
            <rFont val="Tahoma"/>
            <family val="2"/>
          </rPr>
          <t xml:space="preserve">
Temp Staff for open enrollment, Benefits Focus setup for SHP</t>
        </r>
      </text>
    </comment>
    <comment ref="E34" authorId="0" shapeId="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text>
        <r>
          <rPr>
            <b/>
            <sz val="8"/>
            <color indexed="81"/>
            <rFont val="Tahoma"/>
            <family val="2"/>
          </rPr>
          <t>RBarnette:</t>
        </r>
        <r>
          <rPr>
            <sz val="8"/>
            <color indexed="81"/>
            <rFont val="Tahoma"/>
            <family val="2"/>
          </rPr>
          <t xml:space="preserve">
12,000 NG delimited each of the biweekly PP thus 24,000 monthly decrease</t>
        </r>
      </text>
    </comment>
    <comment ref="BI42" authorId="0" shapeId="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text>
        <r>
          <rPr>
            <sz val="8"/>
            <color indexed="81"/>
            <rFont val="Tahoma"/>
            <family val="2"/>
          </rPr>
          <t xml:space="preserve">
Does not Include $4,000,000 loan to NC Department of Revenue for tax refunds, that is to be reimubrsed by FY end.
</t>
        </r>
      </text>
    </comment>
    <comment ref="BA45" authorId="0" shapeId="0">
      <text>
        <r>
          <rPr>
            <b/>
            <sz val="8"/>
            <color indexed="81"/>
            <rFont val="Tahoma"/>
            <family val="2"/>
          </rPr>
          <t>includes costs for SAP Bi Bus Obj Lic, temp sol Sep + Oct, ITS inv Sep + Oct</t>
        </r>
        <r>
          <rPr>
            <sz val="8"/>
            <color indexed="81"/>
            <rFont val="Tahoma"/>
            <family val="2"/>
          </rPr>
          <t xml:space="preserve">
</t>
        </r>
      </text>
    </comment>
    <comment ref="CC45" authorId="0" shapeId="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0" shapeId="0">
      <text>
        <r>
          <rPr>
            <b/>
            <sz val="8"/>
            <color indexed="81"/>
            <rFont val="Tahoma"/>
            <family val="2"/>
          </rPr>
          <t>RBarnette:</t>
        </r>
        <r>
          <rPr>
            <sz val="8"/>
            <color indexed="81"/>
            <rFont val="Tahoma"/>
            <family val="2"/>
          </rPr>
          <t xml:space="preserve">
Beginning May 2014, section 7.5 changed from Costs/Call to Costs/Ticket</t>
        </r>
      </text>
    </comment>
    <comment ref="AY67" authorId="0" shapeId="0">
      <text>
        <r>
          <rPr>
            <sz val="8"/>
            <color indexed="81"/>
            <rFont val="Tahoma"/>
            <family val="2"/>
          </rPr>
          <t xml:space="preserve">
</t>
        </r>
        <r>
          <rPr>
            <b/>
            <sz val="8"/>
            <color indexed="81"/>
            <rFont val="Tahoma"/>
            <family val="2"/>
          </rPr>
          <t>Outage due to ITS Network Issues</t>
        </r>
      </text>
    </comment>
    <comment ref="AY69" authorId="0" shapeId="0">
      <text>
        <r>
          <rPr>
            <sz val="8"/>
            <color indexed="81"/>
            <rFont val="Tahoma"/>
            <family val="2"/>
          </rPr>
          <t xml:space="preserve">
</t>
        </r>
        <r>
          <rPr>
            <b/>
            <sz val="8"/>
            <color indexed="81"/>
            <rFont val="Tahoma"/>
            <family val="2"/>
          </rPr>
          <t>Outage due to ITS Network Issues</t>
        </r>
      </text>
    </comment>
  </commentList>
</comments>
</file>

<file path=xl/comments2.xml><?xml version="1.0" encoding="utf-8"?>
<comments xmlns="http://schemas.openxmlformats.org/spreadsheetml/2006/main">
  <authors>
    <author>RBarnette</author>
    <author>R Barnette</author>
  </authors>
  <commentList>
    <comment ref="C22" authorId="0" shapeId="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text>
        <r>
          <rPr>
            <b/>
            <sz val="8"/>
            <color indexed="81"/>
            <rFont val="Tahoma"/>
            <family val="2"/>
          </rPr>
          <t>RBarnette:</t>
        </r>
        <r>
          <rPr>
            <sz val="8"/>
            <color indexed="81"/>
            <rFont val="Tahoma"/>
            <family val="2"/>
          </rPr>
          <t xml:space="preserve">
Beginning May 2014, 7.5 changed from Costs/Call to Cots/Ticket
</t>
        </r>
      </text>
    </comment>
    <comment ref="H48" authorId="1" shapeId="0">
      <text>
        <r>
          <rPr>
            <b/>
            <sz val="8"/>
            <color indexed="10"/>
            <rFont val="Tahoma"/>
            <family val="2"/>
          </rPr>
          <t xml:space="preserve">
Number Attending eLearning = Total Number of State Employees Participating in virtual classrooms or web based trainings</t>
        </r>
      </text>
    </comment>
  </commentList>
</comments>
</file>

<file path=xl/sharedStrings.xml><?xml version="1.0" encoding="utf-8"?>
<sst xmlns="http://schemas.openxmlformats.org/spreadsheetml/2006/main" count="707" uniqueCount="283">
  <si>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</si>
  <si>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</si>
  <si>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</si>
  <si>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</si>
  <si>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</si>
  <si>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</si>
  <si>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</si>
  <si>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</si>
  <si>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</si>
  <si>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</si>
  <si>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</si>
  <si>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</si>
  <si>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</si>
  <si>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</si>
  <si>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</si>
  <si>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</si>
  <si>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</si>
  <si>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</si>
  <si>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</si>
  <si>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</si>
  <si>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</si>
  <si>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</si>
  <si>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</si>
  <si>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</si>
  <si>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</si>
  <si>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</si>
  <si>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</si>
  <si>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</si>
  <si>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</si>
  <si>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</si>
  <si>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</si>
  <si>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</si>
  <si>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</si>
  <si>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</si>
  <si>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</si>
  <si>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</si>
  <si>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</si>
  <si>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</si>
  <si>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</si>
  <si>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</si>
  <si>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</si>
  <si>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</si>
  <si>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</si>
  <si>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</si>
  <si>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</si>
  <si>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</si>
  <si>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</si>
  <si>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</si>
  <si>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</si>
  <si>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</si>
  <si>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</si>
  <si>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</si>
  <si>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</si>
  <si>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</si>
  <si>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</si>
  <si>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</si>
  <si>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</si>
  <si>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</si>
  <si>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</si>
  <si>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</si>
  <si>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</si>
  <si>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</si>
  <si>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</si>
  <si>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</si>
  <si>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</si>
  <si>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</si>
  <si>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</si>
  <si>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</si>
  <si>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</si>
  <si>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</si>
  <si>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</si>
  <si>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</si>
  <si>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</si>
  <si>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</si>
  <si>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</si>
  <si>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</si>
  <si>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</si>
  <si>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New Tickets</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</si>
  <si>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</si>
  <si>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</si>
  <si>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</si>
  <si>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</si>
  <si>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</si>
  <si>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</si>
  <si>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</si>
  <si>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</si>
  <si>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</si>
  <si>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</si>
  <si>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</si>
  <si>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</si>
  <si>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</si>
  <si>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</si>
  <si>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</si>
  <si>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</si>
  <si>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</si>
  <si>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</si>
  <si>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</si>
  <si>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</si>
  <si>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</si>
  <si>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</si>
  <si>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</si>
  <si>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</si>
  <si>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</si>
  <si>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</si>
  <si>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</si>
  <si>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</si>
  <si>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</si>
  <si>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</si>
  <si>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</si>
  <si>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</si>
  <si>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</si>
  <si>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</si>
  <si>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</si>
  <si>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</si>
  <si>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</si>
  <si>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</si>
  <si>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</si>
  <si>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</si>
  <si>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</si>
  <si>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</si>
  <si>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</si>
  <si>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</si>
  <si>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</si>
  <si>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</si>
  <si>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</si>
  <si>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</si>
  <si>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</si>
  <si>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</si>
  <si>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</si>
  <si>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</si>
  <si>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</si>
  <si>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</si>
  <si>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</si>
  <si>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</si>
  <si>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</si>
  <si>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</si>
  <si>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</si>
  <si>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</si>
  <si>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</si>
  <si>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</si>
  <si>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</si>
  <si>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</si>
  <si>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</si>
  <si>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</si>
  <si>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</si>
  <si>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</si>
  <si>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</si>
  <si>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</si>
  <si>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</si>
  <si>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</si>
  <si>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</si>
  <si>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</si>
  <si>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</si>
  <si>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</si>
  <si>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</si>
  <si>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</si>
  <si>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</si>
  <si>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</si>
  <si>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</si>
  <si>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</si>
  <si>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</si>
  <si>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</si>
  <si>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</si>
  <si>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</si>
  <si>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ERP Employees/Payroll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</si>
  <si>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</si>
  <si>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</si>
  <si>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</si>
  <si>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</si>
  <si>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</si>
  <si>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</si>
  <si>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</si>
  <si>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</si>
  <si>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</si>
  <si>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</si>
  <si>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</si>
  <si>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</si>
  <si>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</si>
  <si>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</si>
  <si>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</si>
  <si>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 ^ Prior FY</t>
  </si>
  <si>
    <t>^ Prior FY</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</si>
  <si>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</si>
  <si>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</si>
  <si>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</si>
  <si>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</si>
  <si>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</si>
  <si>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</si>
  <si>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</si>
  <si>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</si>
  <si>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</si>
  <si>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ERP Employees /Payroll Processed = Number of Employee Payroll Remittances Processed Divided by Total Number of  ERP Employees</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</si>
  <si>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</si>
  <si>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</si>
  <si>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</si>
  <si>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</si>
  <si>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</si>
  <si>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r>
      <t>Curr</t>
    </r>
    <r>
      <rPr>
        <b/>
        <sz val="14"/>
        <color indexed="10"/>
        <rFont val="Calibri"/>
        <family val="2"/>
      </rPr>
      <t xml:space="preserve"> </t>
    </r>
    <r>
      <rPr>
        <b/>
        <sz val="14"/>
        <color indexed="10"/>
        <rFont val="Calibri"/>
        <family val="2"/>
      </rPr>
      <t>YR</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</si>
  <si>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</si>
  <si>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</si>
  <si>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</si>
  <si>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</si>
  <si>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</si>
  <si>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</si>
  <si>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</si>
  <si>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</si>
  <si>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</si>
  <si>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</si>
  <si>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</si>
  <si>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</si>
  <si>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Prior YR</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</si>
  <si>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</si>
  <si>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</si>
  <si>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</si>
  <si>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</si>
  <si>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</si>
  <si>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</si>
  <si>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</si>
  <si>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</si>
  <si>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</si>
  <si>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</si>
  <si>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</si>
  <si>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</si>
  <si>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</si>
  <si>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</si>
  <si>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</si>
  <si>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</si>
  <si>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</si>
  <si>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</si>
  <si>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</si>
  <si>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</si>
  <si>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</si>
  <si>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</si>
  <si>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</si>
  <si>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</si>
  <si>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</si>
  <si>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</si>
  <si>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</si>
  <si>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</si>
  <si>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</si>
  <si>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</si>
  <si>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</si>
  <si>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</si>
  <si>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</si>
  <si>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</si>
  <si>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</si>
  <si>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</si>
  <si>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</si>
  <si>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</si>
  <si>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</si>
  <si>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</si>
  <si>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</si>
  <si>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</si>
  <si>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</si>
  <si>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</si>
  <si>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</si>
  <si>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</si>
  <si>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</si>
  <si>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 ckrr vs Prior Mo        Amt          %</t>
  </si>
  <si>
    <t>done</t>
  </si>
  <si>
    <t>cb</t>
  </si>
  <si>
    <t>cc</t>
  </si>
  <si>
    <t>cd</t>
  </si>
  <si>
    <t>ce</t>
  </si>
  <si>
    <t>cf</t>
  </si>
  <si>
    <t>cg</t>
  </si>
  <si>
    <t>ch</t>
  </si>
  <si>
    <t>ci</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</si>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</sst>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_(* #,##0.0_);_(* \(#,##0.0\);_(* &quot;-&quot;?_);_(@_)"/>
    <numFmt numFmtId="178" formatCode="#,##0.00000_);[Red]\(#,##0.00000\)"/>
  </numFmts>
  <fonts count="60"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8"/>
      <color indexed="10"/>
      <name val="Tahoma"/>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b/>
      <sz val="14"/>
      <color indexed="10"/>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s>
  <fills count="22">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cellStyleXfs>
  <cellXfs count="1086">
    <xf numFmtId="0" fontId="0" fillId="0" borderId="0" xfId="0"/>
    <xf numFmtId="0" fontId="0" fillId="0" borderId="1" xfId="0" applyBorder="1"/>
    <xf numFmtId="0" fontId="0" fillId="0" borderId="0" xfId="0" applyBorder="1"/>
    <xf numFmtId="0" fontId="0" fillId="0" borderId="2" xfId="0" applyBorder="1"/>
    <xf numFmtId="0" fontId="17" fillId="0" borderId="1" xfId="0" applyFont="1" applyBorder="1"/>
    <xf numFmtId="0" fontId="17" fillId="0" borderId="2" xfId="0" applyFont="1" applyBorder="1"/>
    <xf numFmtId="0" fontId="17" fillId="0" borderId="0" xfId="0" applyFont="1"/>
    <xf numFmtId="0" fontId="17" fillId="0" borderId="0" xfId="0" applyFont="1" applyBorder="1"/>
    <xf numFmtId="0" fontId="0" fillId="0" borderId="0" xfId="0" applyBorder="1" applyAlignment="1">
      <alignment horizontal="right"/>
    </xf>
    <xf numFmtId="0" fontId="19" fillId="0" borderId="0" xfId="0" applyFont="1" applyBorder="1"/>
    <xf numFmtId="0" fontId="19" fillId="0" borderId="1" xfId="0" applyFont="1" applyBorder="1" applyAlignment="1">
      <alignment horizontal="center" vertical="center" wrapText="1"/>
    </xf>
    <xf numFmtId="0" fontId="20" fillId="0" borderId="0" xfId="0" applyFont="1" applyFill="1" applyBorder="1" applyAlignment="1">
      <alignment horizontal="right"/>
    </xf>
    <xf numFmtId="0" fontId="0" fillId="0" borderId="0" xfId="0" applyFont="1"/>
    <xf numFmtId="0" fontId="21" fillId="0" borderId="0" xfId="0" applyFont="1" applyBorder="1"/>
    <xf numFmtId="0" fontId="21" fillId="0" borderId="1" xfId="0" applyFont="1" applyBorder="1"/>
    <xf numFmtId="0" fontId="22" fillId="0" borderId="0" xfId="0" applyFont="1"/>
    <xf numFmtId="0" fontId="23" fillId="0" borderId="3" xfId="0" applyFont="1" applyFill="1" applyBorder="1" applyAlignment="1">
      <alignment horizontal="right"/>
    </xf>
    <xf numFmtId="166" fontId="24" fillId="0" borderId="4" xfId="1" applyNumberFormat="1" applyFont="1" applyBorder="1"/>
    <xf numFmtId="0" fontId="0" fillId="0" borderId="5" xfId="0" applyBorder="1"/>
    <xf numFmtId="10" fontId="24" fillId="0" borderId="3" xfId="3" applyNumberFormat="1" applyFont="1" applyBorder="1"/>
    <xf numFmtId="0" fontId="0" fillId="0" borderId="3" xfId="0" applyBorder="1"/>
    <xf numFmtId="2" fontId="24" fillId="0" borderId="3" xfId="0" applyNumberFormat="1" applyFont="1" applyBorder="1"/>
    <xf numFmtId="2" fontId="0" fillId="0" borderId="4" xfId="0" applyNumberFormat="1" applyBorder="1"/>
    <xf numFmtId="166" fontId="24" fillId="0" borderId="3" xfId="1" applyNumberFormat="1" applyFont="1" applyBorder="1"/>
    <xf numFmtId="5" fontId="24" fillId="0" borderId="3" xfId="1" applyNumberFormat="1" applyFont="1" applyBorder="1"/>
    <xf numFmtId="7" fontId="15" fillId="0" borderId="3" xfId="2" applyNumberFormat="1" applyFont="1" applyBorder="1"/>
    <xf numFmtId="0" fontId="0" fillId="0" borderId="3" xfId="0" applyFont="1" applyBorder="1"/>
    <xf numFmtId="0" fontId="0" fillId="0" borderId="3" xfId="0" applyBorder="1" applyAlignment="1">
      <alignment horizontal="right"/>
    </xf>
    <xf numFmtId="0" fontId="17" fillId="0" borderId="6" xfId="0" applyFont="1" applyBorder="1"/>
    <xf numFmtId="0" fontId="0" fillId="0" borderId="6" xfId="0" applyBorder="1"/>
    <xf numFmtId="0" fontId="17" fillId="0" borderId="7" xfId="0" applyFont="1" applyBorder="1"/>
    <xf numFmtId="166" fontId="24" fillId="0" borderId="8" xfId="1" applyNumberFormat="1" applyFont="1" applyBorder="1"/>
    <xf numFmtId="0" fontId="0" fillId="0" borderId="7" xfId="0" applyBorder="1"/>
    <xf numFmtId="166" fontId="15" fillId="0" borderId="3" xfId="1" applyNumberFormat="1" applyFont="1" applyBorder="1"/>
    <xf numFmtId="166" fontId="15" fillId="0" borderId="9" xfId="1" applyNumberFormat="1" applyFont="1" applyBorder="1"/>
    <xf numFmtId="10" fontId="17" fillId="0" borderId="0" xfId="3" applyNumberFormat="1" applyFont="1" applyBorder="1"/>
    <xf numFmtId="10" fontId="15" fillId="0" borderId="0" xfId="3" applyNumberFormat="1" applyFont="1"/>
    <xf numFmtId="0" fontId="0" fillId="0" borderId="3" xfId="0" applyFill="1" applyBorder="1" applyAlignment="1">
      <alignment horizontal="right"/>
    </xf>
    <xf numFmtId="0" fontId="22" fillId="2" borderId="0" xfId="0" applyFont="1" applyFill="1" applyAlignment="1">
      <alignment horizontal="center"/>
    </xf>
    <xf numFmtId="0" fontId="25" fillId="2" borderId="0" xfId="0" applyFont="1" applyFill="1" applyAlignment="1">
      <alignment horizontal="center"/>
    </xf>
    <xf numFmtId="0" fontId="25" fillId="2" borderId="3" xfId="0" applyFont="1" applyFill="1" applyBorder="1" applyAlignment="1">
      <alignment horizontal="center"/>
    </xf>
    <xf numFmtId="165" fontId="26" fillId="2" borderId="0" xfId="0" applyNumberFormat="1" applyFont="1" applyFill="1" applyBorder="1" applyAlignment="1">
      <alignment horizontal="center"/>
    </xf>
    <xf numFmtId="165" fontId="26" fillId="2" borderId="0" xfId="0" applyNumberFormat="1" applyFont="1" applyFill="1" applyAlignment="1">
      <alignment horizontal="center"/>
    </xf>
    <xf numFmtId="165" fontId="26" fillId="2" borderId="3" xfId="0" applyNumberFormat="1" applyFont="1" applyFill="1" applyBorder="1" applyAlignment="1">
      <alignment horizontal="center"/>
    </xf>
    <xf numFmtId="0" fontId="22" fillId="2" borderId="1" xfId="0" applyFont="1" applyFill="1" applyBorder="1" applyAlignment="1">
      <alignment horizontal="center"/>
    </xf>
    <xf numFmtId="0" fontId="25" fillId="2" borderId="1" xfId="0" applyFont="1" applyFill="1" applyBorder="1" applyAlignment="1">
      <alignment horizontal="center"/>
    </xf>
    <xf numFmtId="0" fontId="25" fillId="2" borderId="4" xfId="0" applyFont="1" applyFill="1" applyBorder="1" applyAlignment="1">
      <alignment horizontal="center"/>
    </xf>
    <xf numFmtId="0" fontId="17" fillId="0" borderId="2" xfId="0" applyFont="1" applyFill="1" applyBorder="1" applyAlignment="1">
      <alignment horizontal="left"/>
    </xf>
    <xf numFmtId="0" fontId="25" fillId="0" borderId="2" xfId="0" applyFont="1" applyFill="1" applyBorder="1" applyAlignment="1">
      <alignment horizontal="right"/>
    </xf>
    <xf numFmtId="0" fontId="23" fillId="0" borderId="5" xfId="0" applyFont="1" applyFill="1" applyBorder="1" applyAlignment="1">
      <alignment horizontal="right"/>
    </xf>
    <xf numFmtId="0" fontId="20" fillId="0" borderId="2" xfId="0" applyFont="1" applyFill="1" applyBorder="1" applyAlignment="1">
      <alignment horizontal="right"/>
    </xf>
    <xf numFmtId="0" fontId="17" fillId="0" borderId="0" xfId="0" applyFont="1" applyFill="1" applyBorder="1" applyAlignment="1">
      <alignment horizontal="left"/>
    </xf>
    <xf numFmtId="0" fontId="25" fillId="0" borderId="0" xfId="0" applyFont="1" applyFill="1" applyBorder="1" applyAlignment="1">
      <alignment horizontal="right"/>
    </xf>
    <xf numFmtId="0" fontId="17" fillId="0" borderId="1" xfId="0" applyFont="1" applyFill="1" applyBorder="1" applyAlignment="1">
      <alignment horizontal="left"/>
    </xf>
    <xf numFmtId="0" fontId="25" fillId="0" borderId="1" xfId="0" applyFont="1" applyFill="1" applyBorder="1" applyAlignment="1">
      <alignment horizontal="right"/>
    </xf>
    <xf numFmtId="166" fontId="27" fillId="0" borderId="4" xfId="0" applyNumberFormat="1" applyFont="1" applyFill="1" applyBorder="1" applyAlignment="1">
      <alignment horizontal="right"/>
    </xf>
    <xf numFmtId="0" fontId="28" fillId="0" borderId="0" xfId="0" applyFont="1" applyBorder="1"/>
    <xf numFmtId="0" fontId="28" fillId="0" borderId="1" xfId="0" applyFont="1" applyBorder="1"/>
    <xf numFmtId="0" fontId="28" fillId="0" borderId="6" xfId="0" applyFont="1" applyBorder="1"/>
    <xf numFmtId="165" fontId="26" fillId="0" borderId="3" xfId="0" applyNumberFormat="1" applyFont="1" applyFill="1" applyBorder="1" applyAlignment="1">
      <alignment horizontal="center"/>
    </xf>
    <xf numFmtId="0" fontId="22" fillId="0" borderId="3" xfId="0" applyFont="1" applyFill="1" applyBorder="1" applyAlignment="1">
      <alignment horizontal="center"/>
    </xf>
    <xf numFmtId="7" fontId="15" fillId="3" borderId="3" xfId="2" applyNumberFormat="1" applyFont="1" applyFill="1" applyBorder="1"/>
    <xf numFmtId="0" fontId="23" fillId="3" borderId="5" xfId="0" applyFont="1" applyFill="1" applyBorder="1" applyAlignment="1">
      <alignment horizontal="right"/>
    </xf>
    <xf numFmtId="0" fontId="23" fillId="3" borderId="3" xfId="0" applyFont="1" applyFill="1" applyBorder="1" applyAlignment="1">
      <alignment horizontal="right"/>
    </xf>
    <xf numFmtId="166" fontId="27" fillId="3" borderId="4" xfId="0" applyNumberFormat="1" applyFont="1" applyFill="1" applyBorder="1" applyAlignment="1">
      <alignment horizontal="right"/>
    </xf>
    <xf numFmtId="166" fontId="24"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4" fillId="3" borderId="3" xfId="0" applyNumberFormat="1" applyFont="1" applyFill="1" applyBorder="1" applyAlignment="1">
      <alignment horizontal="right"/>
    </xf>
    <xf numFmtId="2" fontId="0" fillId="3" borderId="4" xfId="0" applyNumberFormat="1" applyFill="1" applyBorder="1" applyAlignment="1">
      <alignment horizontal="right"/>
    </xf>
    <xf numFmtId="166" fontId="24" fillId="3" borderId="3" xfId="1" applyNumberFormat="1" applyFont="1" applyFill="1" applyBorder="1" applyAlignment="1">
      <alignment horizontal="right"/>
    </xf>
    <xf numFmtId="166" fontId="15" fillId="3" borderId="9" xfId="1" applyNumberFormat="1" applyFont="1" applyFill="1" applyBorder="1" applyAlignment="1">
      <alignment horizontal="right"/>
    </xf>
    <xf numFmtId="5" fontId="24" fillId="3" borderId="3" xfId="1" applyNumberFormat="1" applyFont="1" applyFill="1" applyBorder="1" applyAlignment="1">
      <alignment horizontal="right"/>
    </xf>
    <xf numFmtId="0" fontId="0" fillId="3" borderId="3" xfId="0" applyFont="1" applyFill="1" applyBorder="1" applyAlignment="1">
      <alignment horizontal="right"/>
    </xf>
    <xf numFmtId="10" fontId="24" fillId="3" borderId="3" xfId="3" applyNumberFormat="1" applyFont="1" applyFill="1" applyBorder="1" applyAlignment="1">
      <alignment horizontal="right"/>
    </xf>
    <xf numFmtId="0" fontId="0" fillId="0" borderId="5" xfId="0" applyFill="1" applyBorder="1" applyAlignment="1">
      <alignment horizontal="right"/>
    </xf>
    <xf numFmtId="0" fontId="28" fillId="0" borderId="7" xfId="0" applyFont="1" applyBorder="1"/>
    <xf numFmtId="166" fontId="15" fillId="3" borderId="3" xfId="1" applyNumberFormat="1" applyFont="1" applyFill="1" applyBorder="1" applyAlignment="1">
      <alignment horizontal="right"/>
    </xf>
    <xf numFmtId="166" fontId="24" fillId="3" borderId="8" xfId="1" applyNumberFormat="1" applyFont="1" applyFill="1" applyBorder="1" applyAlignment="1">
      <alignment horizontal="right"/>
    </xf>
    <xf numFmtId="166" fontId="30" fillId="3" borderId="3" xfId="1" applyNumberFormat="1" applyFont="1" applyFill="1" applyBorder="1"/>
    <xf numFmtId="166" fontId="30" fillId="0" borderId="3" xfId="1" applyNumberFormat="1" applyFont="1" applyBorder="1"/>
    <xf numFmtId="168" fontId="24" fillId="0" borderId="3" xfId="1" applyNumberFormat="1" applyFont="1" applyBorder="1"/>
    <xf numFmtId="43" fontId="24" fillId="0" borderId="3" xfId="1" applyFont="1" applyBorder="1"/>
    <xf numFmtId="43" fontId="24" fillId="3" borderId="3" xfId="1" applyFont="1" applyFill="1" applyBorder="1" applyAlignment="1">
      <alignment horizontal="right"/>
    </xf>
    <xf numFmtId="43" fontId="15" fillId="0" borderId="0" xfId="1" applyFont="1"/>
    <xf numFmtId="0" fontId="31" fillId="0" borderId="0" xfId="0" applyFont="1" applyBorder="1"/>
    <xf numFmtId="0" fontId="32" fillId="0" borderId="0" xfId="0" applyFont="1" applyBorder="1"/>
    <xf numFmtId="0" fontId="33" fillId="0" borderId="0" xfId="0" applyFont="1" applyBorder="1"/>
    <xf numFmtId="7" fontId="33" fillId="0" borderId="3" xfId="1" applyNumberFormat="1" applyFont="1" applyBorder="1"/>
    <xf numFmtId="7" fontId="33" fillId="3" borderId="3" xfId="1" applyNumberFormat="1" applyFont="1" applyFill="1" applyBorder="1" applyAlignment="1">
      <alignment horizontal="right"/>
    </xf>
    <xf numFmtId="43" fontId="24" fillId="0" borderId="3" xfId="1" applyFont="1" applyFill="1" applyBorder="1"/>
    <xf numFmtId="43" fontId="33" fillId="0" borderId="3" xfId="1" applyFont="1" applyFill="1" applyBorder="1"/>
    <xf numFmtId="43" fontId="33" fillId="3" borderId="3" xfId="1" applyFont="1" applyFill="1" applyBorder="1" applyAlignment="1">
      <alignment horizontal="right"/>
    </xf>
    <xf numFmtId="0" fontId="33" fillId="0" borderId="0" xfId="0" applyFont="1"/>
    <xf numFmtId="0" fontId="33" fillId="0" borderId="1" xfId="0" applyFont="1" applyBorder="1"/>
    <xf numFmtId="43" fontId="33" fillId="0" borderId="4" xfId="1" applyFont="1" applyBorder="1"/>
    <xf numFmtId="43" fontId="33" fillId="3" borderId="4" xfId="1" applyFont="1" applyFill="1" applyBorder="1" applyAlignment="1">
      <alignment horizontal="right"/>
    </xf>
    <xf numFmtId="10" fontId="15" fillId="3" borderId="8" xfId="3" applyNumberFormat="1" applyFont="1" applyFill="1" applyBorder="1"/>
    <xf numFmtId="10" fontId="15" fillId="0" borderId="8" xfId="3" applyNumberFormat="1" applyFont="1" applyBorder="1"/>
    <xf numFmtId="166" fontId="30" fillId="0" borderId="4" xfId="1" applyNumberFormat="1" applyFont="1" applyBorder="1"/>
    <xf numFmtId="166" fontId="30" fillId="3" borderId="4" xfId="1" applyNumberFormat="1" applyFont="1" applyFill="1" applyBorder="1" applyAlignment="1">
      <alignment horizontal="right"/>
    </xf>
    <xf numFmtId="0" fontId="30" fillId="0" borderId="1" xfId="0" applyFont="1" applyBorder="1"/>
    <xf numFmtId="10" fontId="15" fillId="3" borderId="3" xfId="3" applyNumberFormat="1" applyFont="1" applyFill="1" applyBorder="1"/>
    <xf numFmtId="0" fontId="19" fillId="0" borderId="2" xfId="0" applyFont="1" applyBorder="1"/>
    <xf numFmtId="2" fontId="28" fillId="0" borderId="1" xfId="0" applyNumberFormat="1" applyFont="1" applyBorder="1"/>
    <xf numFmtId="10" fontId="30" fillId="0" borderId="3" xfId="3" applyNumberFormat="1" applyFont="1" applyBorder="1"/>
    <xf numFmtId="10" fontId="30" fillId="0" borderId="10" xfId="3" applyNumberFormat="1" applyFont="1" applyBorder="1"/>
    <xf numFmtId="40" fontId="0" fillId="0" borderId="11" xfId="0" applyNumberFormat="1" applyBorder="1"/>
    <xf numFmtId="10" fontId="15" fillId="0" borderId="12" xfId="3" applyNumberFormat="1" applyFont="1" applyBorder="1"/>
    <xf numFmtId="10" fontId="15" fillId="0" borderId="14" xfId="3" applyNumberFormat="1" applyFont="1" applyBorder="1"/>
    <xf numFmtId="10" fontId="15" fillId="0" borderId="16" xfId="3" applyNumberFormat="1" applyFont="1" applyFill="1" applyBorder="1"/>
    <xf numFmtId="40" fontId="0" fillId="0" borderId="13" xfId="0" applyNumberFormat="1" applyBorder="1"/>
    <xf numFmtId="10" fontId="15" fillId="0" borderId="17" xfId="3" applyNumberFormat="1" applyFont="1" applyBorder="1"/>
    <xf numFmtId="40" fontId="0" fillId="0" borderId="15" xfId="0" applyNumberFormat="1" applyBorder="1"/>
    <xf numFmtId="10" fontId="33" fillId="0" borderId="14" xfId="3" applyNumberFormat="1" applyFont="1" applyBorder="1"/>
    <xf numFmtId="40" fontId="0" fillId="0" borderId="13" xfId="0" applyNumberFormat="1" applyBorder="1" applyAlignment="1">
      <alignment horizontal="right"/>
    </xf>
    <xf numFmtId="10" fontId="15" fillId="0" borderId="14" xfId="3" applyNumberFormat="1" applyFont="1" applyBorder="1" applyAlignment="1">
      <alignment horizontal="right"/>
    </xf>
    <xf numFmtId="10" fontId="15" fillId="0" borderId="18" xfId="3" applyNumberFormat="1" applyFont="1" applyBorder="1"/>
    <xf numFmtId="40" fontId="0" fillId="0" borderId="13" xfId="0" applyNumberFormat="1" applyFont="1" applyBorder="1"/>
    <xf numFmtId="0" fontId="17" fillId="0" borderId="0" xfId="0" applyFont="1" applyFill="1" applyBorder="1"/>
    <xf numFmtId="0" fontId="17" fillId="0" borderId="6" xfId="0" applyFont="1" applyFill="1" applyBorder="1"/>
    <xf numFmtId="0" fontId="34" fillId="4" borderId="0" xfId="0" applyFont="1" applyFill="1" applyBorder="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5" fillId="0" borderId="13" xfId="1" applyNumberFormat="1" applyFont="1" applyBorder="1"/>
    <xf numFmtId="38" fontId="15" fillId="0" borderId="15" xfId="1" applyNumberFormat="1" applyFont="1" applyBorder="1"/>
    <xf numFmtId="164" fontId="19" fillId="5" borderId="20" xfId="0" applyNumberFormat="1" applyFont="1" applyFill="1" applyBorder="1" applyAlignment="1">
      <alignment horizontal="center" vertical="center" wrapText="1"/>
    </xf>
    <xf numFmtId="3" fontId="30"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5" fillId="5" borderId="3" xfId="1" applyNumberFormat="1" applyFont="1" applyFill="1" applyBorder="1" applyAlignment="1">
      <alignment horizontal="right"/>
    </xf>
    <xf numFmtId="166" fontId="30" fillId="5" borderId="3" xfId="1" applyNumberFormat="1" applyFont="1" applyFill="1" applyBorder="1" applyAlignment="1">
      <alignment horizontal="center"/>
    </xf>
    <xf numFmtId="3" fontId="30" fillId="5" borderId="3" xfId="1" applyNumberFormat="1" applyFont="1" applyFill="1" applyBorder="1" applyAlignment="1">
      <alignment horizontal="center"/>
    </xf>
    <xf numFmtId="43" fontId="30" fillId="5" borderId="3" xfId="1" applyFont="1" applyFill="1" applyBorder="1" applyAlignment="1">
      <alignment horizontal="center"/>
    </xf>
    <xf numFmtId="166" fontId="30" fillId="5" borderId="4" xfId="1" applyNumberFormat="1" applyFont="1" applyFill="1" applyBorder="1" applyAlignment="1">
      <alignment horizontal="center"/>
    </xf>
    <xf numFmtId="3" fontId="33" fillId="5" borderId="3" xfId="1" applyNumberFormat="1" applyFont="1" applyFill="1" applyBorder="1" applyAlignment="1">
      <alignment horizontal="center"/>
    </xf>
    <xf numFmtId="43" fontId="33" fillId="5" borderId="4" xfId="1" applyFont="1" applyFill="1" applyBorder="1" applyAlignment="1">
      <alignment horizontal="center"/>
    </xf>
    <xf numFmtId="3" fontId="0" fillId="5" borderId="3" xfId="0" applyNumberFormat="1" applyFill="1" applyBorder="1" applyAlignment="1">
      <alignment horizontal="right"/>
    </xf>
    <xf numFmtId="37" fontId="15" fillId="5" borderId="9" xfId="1" applyNumberFormat="1" applyFont="1" applyFill="1" applyBorder="1" applyAlignment="1">
      <alignment horizontal="right"/>
    </xf>
    <xf numFmtId="0" fontId="0" fillId="5" borderId="3" xfId="0" applyFill="1" applyBorder="1" applyAlignment="1">
      <alignment horizontal="right"/>
    </xf>
    <xf numFmtId="5" fontId="15" fillId="5" borderId="3" xfId="1" applyNumberFormat="1" applyFont="1" applyFill="1" applyBorder="1" applyAlignment="1">
      <alignment horizontal="right"/>
    </xf>
    <xf numFmtId="7" fontId="15" fillId="5" borderId="3" xfId="2" applyNumberFormat="1" applyFont="1" applyFill="1" applyBorder="1" applyAlignment="1">
      <alignment horizontal="right"/>
    </xf>
    <xf numFmtId="10" fontId="15" fillId="5" borderId="8" xfId="3" applyNumberFormat="1" applyFont="1" applyFill="1" applyBorder="1" applyAlignment="1">
      <alignment horizontal="right"/>
    </xf>
    <xf numFmtId="7" fontId="33" fillId="5" borderId="3" xfId="1" applyNumberFormat="1" applyFont="1" applyFill="1" applyBorder="1" applyAlignment="1">
      <alignment horizontal="right"/>
    </xf>
    <xf numFmtId="10" fontId="15" fillId="5" borderId="4" xfId="3" applyNumberFormat="1" applyFont="1" applyFill="1" applyBorder="1" applyAlignment="1">
      <alignment horizontal="right"/>
    </xf>
    <xf numFmtId="166" fontId="15" fillId="5" borderId="8" xfId="1" applyNumberFormat="1" applyFont="1" applyFill="1" applyBorder="1" applyAlignment="1">
      <alignment horizontal="right"/>
    </xf>
    <xf numFmtId="166" fontId="15" fillId="5" borderId="4" xfId="1" applyNumberFormat="1" applyFont="1" applyFill="1" applyBorder="1" applyAlignment="1">
      <alignment horizontal="right"/>
    </xf>
    <xf numFmtId="0" fontId="0" fillId="5" borderId="3" xfId="0" applyFont="1" applyFill="1" applyBorder="1" applyAlignment="1">
      <alignment horizontal="right"/>
    </xf>
    <xf numFmtId="164" fontId="19"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5" fillId="6" borderId="3" xfId="1" applyFont="1" applyFill="1" applyBorder="1" applyAlignment="1">
      <alignment horizontal="right"/>
    </xf>
    <xf numFmtId="10" fontId="15" fillId="6" borderId="3" xfId="3" applyNumberFormat="1" applyFont="1" applyFill="1" applyBorder="1" applyAlignment="1">
      <alignment horizontal="right"/>
    </xf>
    <xf numFmtId="43" fontId="15" fillId="6" borderId="4" xfId="1" applyFont="1" applyFill="1" applyBorder="1" applyAlignment="1">
      <alignment horizontal="right"/>
    </xf>
    <xf numFmtId="168" fontId="15" fillId="6" borderId="3" xfId="1" applyNumberFormat="1" applyFont="1" applyFill="1" applyBorder="1" applyAlignment="1">
      <alignment horizontal="right"/>
    </xf>
    <xf numFmtId="0" fontId="0" fillId="6" borderId="3" xfId="0" applyFill="1" applyBorder="1" applyAlignment="1">
      <alignment horizontal="right"/>
    </xf>
    <xf numFmtId="43" fontId="33" fillId="6" borderId="3" xfId="1" applyFont="1" applyFill="1" applyBorder="1" applyAlignment="1">
      <alignment horizontal="right"/>
    </xf>
    <xf numFmtId="43" fontId="33" fillId="6" borderId="4" xfId="1" applyFont="1" applyFill="1" applyBorder="1" applyAlignment="1">
      <alignment horizontal="right"/>
    </xf>
    <xf numFmtId="3" fontId="0" fillId="6" borderId="3" xfId="0" applyNumberFormat="1" applyFill="1" applyBorder="1" applyAlignment="1">
      <alignment horizontal="right"/>
    </xf>
    <xf numFmtId="166" fontId="15" fillId="6" borderId="9" xfId="1" applyNumberFormat="1" applyFont="1" applyFill="1" applyBorder="1" applyAlignment="1">
      <alignment horizontal="right"/>
    </xf>
    <xf numFmtId="10" fontId="15" fillId="6" borderId="4" xfId="3" applyNumberFormat="1" applyFont="1" applyFill="1" applyBorder="1" applyAlignment="1">
      <alignment horizontal="right"/>
    </xf>
    <xf numFmtId="5" fontId="15" fillId="6" borderId="3" xfId="1" applyNumberFormat="1" applyFont="1" applyFill="1" applyBorder="1" applyAlignment="1">
      <alignment horizontal="right"/>
    </xf>
    <xf numFmtId="10" fontId="15" fillId="6" borderId="8" xfId="3" applyNumberFormat="1" applyFont="1" applyFill="1" applyBorder="1" applyAlignment="1">
      <alignment horizontal="right"/>
    </xf>
    <xf numFmtId="7" fontId="33" fillId="6" borderId="3" xfId="1" applyNumberFormat="1" applyFont="1" applyFill="1" applyBorder="1" applyAlignment="1">
      <alignment horizontal="right"/>
    </xf>
    <xf numFmtId="166" fontId="15" fillId="6" borderId="3" xfId="1" applyNumberFormat="1" applyFont="1" applyFill="1" applyBorder="1" applyAlignment="1">
      <alignment horizontal="right"/>
    </xf>
    <xf numFmtId="166" fontId="15" fillId="6" borderId="8" xfId="1" applyNumberFormat="1" applyFont="1" applyFill="1" applyBorder="1" applyAlignment="1">
      <alignment horizontal="right"/>
    </xf>
    <xf numFmtId="166" fontId="15" fillId="6" borderId="4" xfId="1" applyNumberFormat="1" applyFont="1" applyFill="1" applyBorder="1" applyAlignment="1">
      <alignment horizontal="right"/>
    </xf>
    <xf numFmtId="0" fontId="0" fillId="6" borderId="3" xfId="0" applyFont="1" applyFill="1" applyBorder="1" applyAlignment="1">
      <alignment horizontal="right"/>
    </xf>
    <xf numFmtId="168" fontId="24" fillId="3" borderId="3" xfId="1" applyNumberFormat="1" applyFont="1" applyFill="1" applyBorder="1" applyAlignment="1">
      <alignment horizontal="right"/>
    </xf>
    <xf numFmtId="0" fontId="29" fillId="0" borderId="1" xfId="0" applyFont="1" applyFill="1" applyBorder="1" applyAlignment="1">
      <alignment horizontal="right"/>
    </xf>
    <xf numFmtId="38" fontId="30" fillId="0" borderId="15" xfId="0" applyNumberFormat="1" applyFont="1" applyBorder="1"/>
    <xf numFmtId="0" fontId="0" fillId="0" borderId="21" xfId="0" applyBorder="1"/>
    <xf numFmtId="165" fontId="35" fillId="2" borderId="0" xfId="0" applyNumberFormat="1" applyFont="1" applyFill="1" applyBorder="1" applyAlignment="1">
      <alignment horizontal="center" wrapText="1"/>
    </xf>
    <xf numFmtId="165" fontId="35" fillId="2" borderId="1" xfId="0" applyNumberFormat="1" applyFont="1" applyFill="1" applyBorder="1" applyAlignment="1">
      <alignment horizontal="center" wrapText="1"/>
    </xf>
    <xf numFmtId="10" fontId="17" fillId="0" borderId="7" xfId="3" applyNumberFormat="1" applyFont="1" applyBorder="1"/>
    <xf numFmtId="10" fontId="24" fillId="0" borderId="8" xfId="3" applyNumberFormat="1" applyFont="1" applyBorder="1"/>
    <xf numFmtId="10" fontId="24" fillId="3" borderId="8" xfId="3" applyNumberFormat="1" applyFont="1" applyFill="1" applyBorder="1" applyAlignment="1">
      <alignment horizontal="right"/>
    </xf>
    <xf numFmtId="3" fontId="30" fillId="5" borderId="8" xfId="1" applyNumberFormat="1" applyFont="1" applyFill="1" applyBorder="1" applyAlignment="1">
      <alignment horizontal="center"/>
    </xf>
    <xf numFmtId="10" fontId="15" fillId="0" borderId="7" xfId="3" applyNumberFormat="1" applyFont="1" applyBorder="1"/>
    <xf numFmtId="166" fontId="30" fillId="6" borderId="4" xfId="1" applyNumberFormat="1" applyFont="1" applyFill="1" applyBorder="1" applyAlignment="1">
      <alignment horizontal="right"/>
    </xf>
    <xf numFmtId="43" fontId="24" fillId="0" borderId="3" xfId="1" applyFont="1" applyBorder="1" applyAlignment="1">
      <alignment horizontal="right"/>
    </xf>
    <xf numFmtId="168" fontId="30" fillId="5" borderId="3" xfId="1" applyNumberFormat="1" applyFont="1" applyFill="1" applyBorder="1" applyAlignment="1">
      <alignment horizontal="center"/>
    </xf>
    <xf numFmtId="166" fontId="22" fillId="0" borderId="4" xfId="0" applyNumberFormat="1" applyFont="1" applyFill="1" applyBorder="1" applyAlignment="1">
      <alignment horizontal="center"/>
    </xf>
    <xf numFmtId="0" fontId="36" fillId="0" borderId="5" xfId="0" applyFont="1" applyFill="1" applyBorder="1" applyAlignment="1">
      <alignment horizontal="right"/>
    </xf>
    <xf numFmtId="0" fontId="36" fillId="0" borderId="3" xfId="0" applyFont="1" applyFill="1" applyBorder="1" applyAlignment="1">
      <alignment horizontal="right"/>
    </xf>
    <xf numFmtId="166" fontId="30" fillId="3" borderId="3" xfId="1" applyNumberFormat="1" applyFont="1" applyFill="1" applyBorder="1" applyAlignment="1">
      <alignment horizontal="right"/>
    </xf>
    <xf numFmtId="166" fontId="36" fillId="0" borderId="5" xfId="1" applyNumberFormat="1" applyFont="1" applyFill="1" applyBorder="1" applyAlignment="1">
      <alignment horizontal="right"/>
    </xf>
    <xf numFmtId="166" fontId="36" fillId="0" borderId="3" xfId="1" applyNumberFormat="1" applyFont="1" applyFill="1" applyBorder="1" applyAlignment="1">
      <alignment horizontal="right"/>
    </xf>
    <xf numFmtId="5" fontId="0" fillId="3" borderId="3" xfId="0" applyNumberFormat="1" applyFill="1" applyBorder="1" applyAlignment="1">
      <alignment horizontal="right"/>
    </xf>
    <xf numFmtId="10" fontId="15" fillId="3" borderId="4" xfId="3" applyNumberFormat="1" applyFont="1" applyFill="1" applyBorder="1"/>
    <xf numFmtId="10" fontId="15" fillId="0" borderId="4" xfId="3" applyNumberFormat="1" applyFont="1" applyBorder="1"/>
    <xf numFmtId="167" fontId="15" fillId="3" borderId="4" xfId="3" applyNumberFormat="1" applyFont="1" applyFill="1" applyBorder="1"/>
    <xf numFmtId="10" fontId="15" fillId="6" borderId="4" xfId="3" applyNumberFormat="1" applyFont="1" applyFill="1" applyBorder="1" applyAlignment="1">
      <alignment horizontal="right"/>
    </xf>
    <xf numFmtId="167" fontId="15" fillId="0" borderId="4" xfId="3" applyNumberFormat="1" applyFont="1" applyFill="1" applyBorder="1"/>
    <xf numFmtId="10" fontId="15" fillId="0" borderId="16" xfId="3" applyNumberFormat="1" applyFont="1" applyBorder="1"/>
    <xf numFmtId="0" fontId="0" fillId="0" borderId="1" xfId="0" applyFont="1" applyBorder="1"/>
    <xf numFmtId="0" fontId="0" fillId="0" borderId="0" xfId="0" applyAlignment="1">
      <alignment horizontal="center"/>
    </xf>
    <xf numFmtId="0" fontId="17" fillId="7" borderId="0" xfId="0" applyFont="1" applyFill="1" applyAlignment="1">
      <alignment horizontal="center"/>
    </xf>
    <xf numFmtId="0" fontId="37" fillId="3" borderId="5" xfId="0" applyFont="1" applyFill="1" applyBorder="1" applyAlignment="1">
      <alignment horizontal="center" vertical="center" wrapText="1"/>
    </xf>
    <xf numFmtId="43" fontId="24" fillId="0" borderId="3" xfId="1" applyFont="1" applyFill="1" applyBorder="1" applyAlignment="1">
      <alignment horizontal="right"/>
    </xf>
    <xf numFmtId="40" fontId="15" fillId="6" borderId="4" xfId="1" applyNumberFormat="1" applyFont="1" applyFill="1" applyBorder="1" applyAlignment="1">
      <alignment horizontal="right"/>
    </xf>
    <xf numFmtId="40" fontId="30" fillId="0" borderId="4" xfId="1" applyNumberFormat="1" applyFont="1" applyBorder="1"/>
    <xf numFmtId="40" fontId="30" fillId="5" borderId="4" xfId="1" applyNumberFormat="1" applyFont="1" applyFill="1" applyBorder="1" applyAlignment="1">
      <alignment horizontal="center"/>
    </xf>
    <xf numFmtId="40" fontId="15" fillId="3" borderId="4" xfId="1" applyNumberFormat="1" applyFont="1" applyFill="1" applyBorder="1"/>
    <xf numFmtId="0" fontId="28" fillId="0" borderId="13" xfId="0" applyFont="1" applyBorder="1" applyAlignment="1">
      <alignment horizontal="right" vertical="top"/>
    </xf>
    <xf numFmtId="0" fontId="21" fillId="0" borderId="0" xfId="0" applyFont="1" applyBorder="1" applyAlignment="1">
      <alignment vertical="top"/>
    </xf>
    <xf numFmtId="0" fontId="38" fillId="0" borderId="0" xfId="0" applyFont="1" applyBorder="1" applyAlignment="1">
      <alignment vertical="top"/>
    </xf>
    <xf numFmtId="0" fontId="38" fillId="0" borderId="0" xfId="0" applyFont="1" applyAlignment="1">
      <alignment vertical="top"/>
    </xf>
    <xf numFmtId="166" fontId="30" fillId="0" borderId="4" xfId="1" applyNumberFormat="1" applyFont="1" applyFill="1" applyBorder="1" applyAlignment="1">
      <alignment horizontal="right"/>
    </xf>
    <xf numFmtId="0" fontId="37" fillId="0" borderId="5" xfId="0" applyFont="1" applyFill="1" applyBorder="1" applyAlignment="1">
      <alignment horizontal="center" vertical="center" wrapText="1"/>
    </xf>
    <xf numFmtId="166" fontId="24" fillId="0" borderId="3" xfId="1" applyNumberFormat="1" applyFont="1" applyFill="1" applyBorder="1" applyAlignment="1">
      <alignment horizontal="right"/>
    </xf>
    <xf numFmtId="166" fontId="30" fillId="0" borderId="3" xfId="1" applyNumberFormat="1" applyFont="1" applyFill="1" applyBorder="1"/>
    <xf numFmtId="10" fontId="15" fillId="0" borderId="3" xfId="3" applyNumberFormat="1" applyFont="1" applyFill="1" applyBorder="1"/>
    <xf numFmtId="40" fontId="15" fillId="0" borderId="4" xfId="1" applyNumberFormat="1" applyFont="1" applyFill="1" applyBorder="1"/>
    <xf numFmtId="166" fontId="30" fillId="0" borderId="3" xfId="1" applyNumberFormat="1" applyFont="1" applyFill="1" applyBorder="1" applyAlignment="1">
      <alignment horizontal="right"/>
    </xf>
    <xf numFmtId="166" fontId="24" fillId="0" borderId="8" xfId="1" applyNumberFormat="1" applyFont="1" applyFill="1" applyBorder="1" applyAlignment="1">
      <alignment horizontal="right"/>
    </xf>
    <xf numFmtId="168" fontId="24" fillId="0" borderId="3" xfId="1" applyNumberFormat="1" applyFont="1" applyFill="1" applyBorder="1" applyAlignment="1">
      <alignment horizontal="right"/>
    </xf>
    <xf numFmtId="166" fontId="24" fillId="0" borderId="4" xfId="1" applyNumberFormat="1" applyFont="1" applyFill="1" applyBorder="1" applyAlignment="1">
      <alignment horizontal="right"/>
    </xf>
    <xf numFmtId="2" fontId="24" fillId="0" borderId="3" xfId="0" applyNumberFormat="1" applyFont="1" applyFill="1" applyBorder="1" applyAlignment="1">
      <alignment horizontal="right"/>
    </xf>
    <xf numFmtId="43" fontId="33" fillId="0" borderId="3" xfId="1" applyFont="1" applyFill="1" applyBorder="1" applyAlignment="1">
      <alignment horizontal="right"/>
    </xf>
    <xf numFmtId="43" fontId="33" fillId="0" borderId="4" xfId="1" applyFont="1" applyFill="1" applyBorder="1" applyAlignment="1">
      <alignment horizontal="right"/>
    </xf>
    <xf numFmtId="166" fontId="15" fillId="0" borderId="9" xfId="1" applyNumberFormat="1" applyFont="1" applyFill="1" applyBorder="1" applyAlignment="1">
      <alignment horizontal="right"/>
    </xf>
    <xf numFmtId="5" fontId="0" fillId="0" borderId="3" xfId="0" applyNumberFormat="1" applyFill="1" applyBorder="1" applyAlignment="1">
      <alignment horizontal="right"/>
    </xf>
    <xf numFmtId="5" fontId="24" fillId="0" borderId="3" xfId="1" applyNumberFormat="1" applyFont="1" applyFill="1" applyBorder="1" applyAlignment="1">
      <alignment horizontal="right"/>
    </xf>
    <xf numFmtId="7" fontId="15" fillId="0" borderId="3" xfId="2" applyNumberFormat="1" applyFont="1" applyFill="1" applyBorder="1"/>
    <xf numFmtId="10" fontId="15" fillId="0" borderId="8" xfId="3" applyNumberFormat="1" applyFont="1" applyFill="1" applyBorder="1"/>
    <xf numFmtId="7" fontId="33" fillId="0" borderId="3" xfId="1" applyNumberFormat="1" applyFont="1" applyFill="1" applyBorder="1" applyAlignment="1">
      <alignment horizontal="right"/>
    </xf>
    <xf numFmtId="10" fontId="15" fillId="0" borderId="4" xfId="3" applyNumberFormat="1" applyFont="1" applyFill="1" applyBorder="1"/>
    <xf numFmtId="0" fontId="0" fillId="0" borderId="3" xfId="0" applyFont="1" applyFill="1" applyBorder="1" applyAlignment="1">
      <alignment horizontal="right"/>
    </xf>
    <xf numFmtId="10" fontId="24" fillId="0" borderId="3" xfId="3" applyNumberFormat="1" applyFont="1" applyFill="1" applyBorder="1" applyAlignment="1">
      <alignment horizontal="right"/>
    </xf>
    <xf numFmtId="10" fontId="24" fillId="0" borderId="8" xfId="3" applyNumberFormat="1" applyFont="1" applyFill="1" applyBorder="1" applyAlignment="1">
      <alignment horizontal="right"/>
    </xf>
    <xf numFmtId="38" fontId="0" fillId="0" borderId="22" xfId="0" applyNumberFormat="1" applyBorder="1"/>
    <xf numFmtId="164" fontId="39" fillId="0" borderId="20" xfId="0" quotePrefix="1" applyNumberFormat="1" applyFont="1" applyFill="1" applyBorder="1" applyAlignment="1">
      <alignment horizontal="center" vertical="center" wrapText="1"/>
    </xf>
    <xf numFmtId="164" fontId="39" fillId="3" borderId="20" xfId="0" quotePrefix="1" applyNumberFormat="1" applyFont="1" applyFill="1" applyBorder="1" applyAlignment="1">
      <alignment horizontal="center" vertical="center" wrapText="1"/>
    </xf>
    <xf numFmtId="164" fontId="39" fillId="0" borderId="20" xfId="0" quotePrefix="1" applyNumberFormat="1" applyFont="1" applyBorder="1" applyAlignment="1">
      <alignment horizontal="center" vertical="center" wrapText="1"/>
    </xf>
    <xf numFmtId="1" fontId="36" fillId="0" borderId="3" xfId="0" applyNumberFormat="1" applyFont="1" applyFill="1" applyBorder="1" applyAlignment="1">
      <alignment horizontal="right"/>
    </xf>
    <xf numFmtId="2" fontId="28" fillId="0" borderId="7" xfId="0" applyNumberFormat="1" applyFont="1" applyBorder="1"/>
    <xf numFmtId="0" fontId="0" fillId="0" borderId="23" xfId="0" applyBorder="1" applyAlignment="1">
      <alignment horizontal="center"/>
    </xf>
    <xf numFmtId="0" fontId="0" fillId="0" borderId="0" xfId="0" quotePrefix="1" applyBorder="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6" fillId="8" borderId="27" xfId="0" applyFont="1" applyFill="1" applyBorder="1" applyAlignment="1">
      <alignment horizontal="center"/>
    </xf>
    <xf numFmtId="0" fontId="16" fillId="8" borderId="28" xfId="0" applyFont="1" applyFill="1" applyBorder="1" applyAlignment="1">
      <alignment horizontal="center"/>
    </xf>
    <xf numFmtId="0" fontId="16"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4" fillId="9" borderId="3" xfId="1" applyNumberFormat="1" applyFont="1" applyFill="1" applyBorder="1" applyAlignment="1">
      <alignment horizontal="right"/>
    </xf>
    <xf numFmtId="10" fontId="15" fillId="0" borderId="32" xfId="3" applyNumberFormat="1" applyFont="1" applyBorder="1"/>
    <xf numFmtId="0" fontId="22" fillId="10" borderId="4" xfId="0" applyFont="1" applyFill="1" applyBorder="1" applyAlignment="1">
      <alignment horizontal="center"/>
    </xf>
    <xf numFmtId="165" fontId="21" fillId="7" borderId="3" xfId="0" applyNumberFormat="1" applyFont="1" applyFill="1" applyBorder="1" applyAlignment="1">
      <alignment horizontal="center"/>
    </xf>
    <xf numFmtId="165" fontId="21" fillId="11" borderId="3" xfId="0" applyNumberFormat="1" applyFont="1" applyFill="1" applyBorder="1" applyAlignment="1">
      <alignment horizontal="center"/>
    </xf>
    <xf numFmtId="0" fontId="21" fillId="7" borderId="3" xfId="0" applyFont="1" applyFill="1" applyBorder="1" applyAlignment="1">
      <alignment horizontal="center"/>
    </xf>
    <xf numFmtId="0" fontId="21" fillId="11" borderId="3" xfId="0" applyFont="1" applyFill="1" applyBorder="1" applyAlignment="1">
      <alignment horizontal="center"/>
    </xf>
    <xf numFmtId="0" fontId="21" fillId="7" borderId="4" xfId="0" applyFont="1" applyFill="1" applyBorder="1" applyAlignment="1">
      <alignment horizontal="center"/>
    </xf>
    <xf numFmtId="0" fontId="21" fillId="11" borderId="4" xfId="0" applyFont="1" applyFill="1" applyBorder="1" applyAlignment="1">
      <alignment horizontal="center"/>
    </xf>
    <xf numFmtId="0" fontId="40" fillId="7" borderId="5" xfId="0" applyFont="1" applyFill="1" applyBorder="1" applyAlignment="1">
      <alignment horizontal="right"/>
    </xf>
    <xf numFmtId="0" fontId="40" fillId="11" borderId="5" xfId="0" applyFont="1" applyFill="1" applyBorder="1" applyAlignment="1">
      <alignment horizontal="right"/>
    </xf>
    <xf numFmtId="0" fontId="40" fillId="7" borderId="3" xfId="0" applyFont="1" applyFill="1" applyBorder="1" applyAlignment="1">
      <alignment horizontal="right"/>
    </xf>
    <xf numFmtId="0" fontId="40" fillId="11" borderId="3" xfId="0" applyFont="1" applyFill="1" applyBorder="1" applyAlignment="1">
      <alignment horizontal="right"/>
    </xf>
    <xf numFmtId="166" fontId="41" fillId="7" borderId="4" xfId="0" applyNumberFormat="1" applyFont="1" applyFill="1" applyBorder="1" applyAlignment="1">
      <alignment horizontal="right"/>
    </xf>
    <xf numFmtId="166" fontId="41" fillId="11" borderId="4" xfId="0" applyNumberFormat="1" applyFont="1" applyFill="1" applyBorder="1" applyAlignment="1">
      <alignment horizontal="right"/>
    </xf>
    <xf numFmtId="164" fontId="21" fillId="7" borderId="20" xfId="0" applyNumberFormat="1" applyFont="1" applyFill="1" applyBorder="1" applyAlignment="1">
      <alignment horizontal="center" vertical="center" wrapText="1"/>
    </xf>
    <xf numFmtId="164" fontId="21" fillId="11" borderId="20" xfId="0" applyNumberFormat="1" applyFont="1" applyFill="1" applyBorder="1" applyAlignment="1">
      <alignment horizontal="center" vertical="center" wrapText="1"/>
    </xf>
    <xf numFmtId="166" fontId="42" fillId="7" borderId="4" xfId="1" applyNumberFormat="1" applyFont="1" applyFill="1" applyBorder="1" applyAlignment="1">
      <alignment horizontal="right"/>
    </xf>
    <xf numFmtId="166" fontId="42" fillId="11" borderId="4" xfId="1" applyNumberFormat="1" applyFont="1" applyFill="1" applyBorder="1" applyAlignment="1">
      <alignment horizontal="right"/>
    </xf>
    <xf numFmtId="3" fontId="38" fillId="7" borderId="5" xfId="0" applyNumberFormat="1" applyFont="1" applyFill="1" applyBorder="1" applyAlignment="1">
      <alignment horizontal="right"/>
    </xf>
    <xf numFmtId="3" fontId="38" fillId="11" borderId="5" xfId="0" applyNumberFormat="1" applyFont="1" applyFill="1" applyBorder="1" applyAlignment="1">
      <alignment horizontal="right"/>
    </xf>
    <xf numFmtId="166" fontId="38" fillId="7" borderId="3" xfId="1" applyNumberFormat="1" applyFont="1" applyFill="1" applyBorder="1" applyAlignment="1">
      <alignment horizontal="right"/>
    </xf>
    <xf numFmtId="166" fontId="38" fillId="11" borderId="3" xfId="1" applyNumberFormat="1" applyFont="1" applyFill="1" applyBorder="1" applyAlignment="1">
      <alignment horizontal="right"/>
    </xf>
    <xf numFmtId="43" fontId="38" fillId="7" borderId="3" xfId="1" applyFont="1" applyFill="1" applyBorder="1" applyAlignment="1">
      <alignment horizontal="right"/>
    </xf>
    <xf numFmtId="43" fontId="38" fillId="11" borderId="3" xfId="1" applyFont="1" applyFill="1" applyBorder="1" applyAlignment="1">
      <alignment horizontal="right"/>
    </xf>
    <xf numFmtId="10" fontId="38" fillId="7" borderId="3" xfId="3" applyNumberFormat="1" applyFont="1" applyFill="1" applyBorder="1" applyAlignment="1">
      <alignment horizontal="right"/>
    </xf>
    <xf numFmtId="10" fontId="38" fillId="11" borderId="3" xfId="3" applyNumberFormat="1" applyFont="1" applyFill="1" applyBorder="1" applyAlignment="1">
      <alignment horizontal="right"/>
    </xf>
    <xf numFmtId="43" fontId="38" fillId="7" borderId="4" xfId="1" applyFont="1" applyFill="1" applyBorder="1" applyAlignment="1">
      <alignment horizontal="right"/>
    </xf>
    <xf numFmtId="43" fontId="38" fillId="11" borderId="4" xfId="1" applyFont="1" applyFill="1" applyBorder="1" applyAlignment="1">
      <alignment horizontal="right"/>
    </xf>
    <xf numFmtId="166" fontId="38" fillId="7" borderId="8" xfId="1" applyNumberFormat="1" applyFont="1" applyFill="1" applyBorder="1" applyAlignment="1">
      <alignment horizontal="right"/>
    </xf>
    <xf numFmtId="166" fontId="38" fillId="11" borderId="8" xfId="1" applyNumberFormat="1" applyFont="1" applyFill="1" applyBorder="1" applyAlignment="1">
      <alignment horizontal="right"/>
    </xf>
    <xf numFmtId="168" fontId="38" fillId="7" borderId="3" xfId="1" applyNumberFormat="1" applyFont="1" applyFill="1" applyBorder="1" applyAlignment="1">
      <alignment horizontal="right"/>
    </xf>
    <xf numFmtId="168" fontId="38" fillId="11" borderId="3" xfId="1" applyNumberFormat="1" applyFont="1" applyFill="1" applyBorder="1" applyAlignment="1">
      <alignment horizontal="right"/>
    </xf>
    <xf numFmtId="166" fontId="38" fillId="7" borderId="4" xfId="1" applyNumberFormat="1" applyFont="1" applyFill="1" applyBorder="1" applyAlignment="1">
      <alignment horizontal="right"/>
    </xf>
    <xf numFmtId="166" fontId="38" fillId="11" borderId="4" xfId="1" applyNumberFormat="1"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43" fontId="43" fillId="7" borderId="3" xfId="1" applyFont="1" applyFill="1" applyBorder="1" applyAlignment="1">
      <alignment horizontal="right"/>
    </xf>
    <xf numFmtId="43" fontId="43" fillId="11" borderId="3" xfId="1" applyFont="1" applyFill="1" applyBorder="1" applyAlignment="1">
      <alignment horizontal="right"/>
    </xf>
    <xf numFmtId="43" fontId="43" fillId="7" borderId="4" xfId="1" applyFont="1" applyFill="1" applyBorder="1" applyAlignment="1">
      <alignment horizontal="right"/>
    </xf>
    <xf numFmtId="43" fontId="43" fillId="11" borderId="4" xfId="1" applyFont="1" applyFill="1" applyBorder="1" applyAlignment="1">
      <alignment horizontal="right"/>
    </xf>
    <xf numFmtId="3" fontId="38" fillId="7" borderId="3" xfId="0" applyNumberFormat="1" applyFont="1" applyFill="1" applyBorder="1" applyAlignment="1">
      <alignment horizontal="right"/>
    </xf>
    <xf numFmtId="3" fontId="38" fillId="11" borderId="3" xfId="0" applyNumberFormat="1" applyFont="1" applyFill="1" applyBorder="1" applyAlignment="1">
      <alignment horizontal="right"/>
    </xf>
    <xf numFmtId="166" fontId="38" fillId="7" borderId="9" xfId="1" applyNumberFormat="1" applyFont="1" applyFill="1" applyBorder="1" applyAlignment="1">
      <alignment horizontal="right"/>
    </xf>
    <xf numFmtId="166" fontId="38" fillId="11" borderId="9" xfId="1" applyNumberFormat="1" applyFont="1" applyFill="1" applyBorder="1" applyAlignment="1">
      <alignment horizontal="right"/>
    </xf>
    <xf numFmtId="10" fontId="38" fillId="7" borderId="4" xfId="3" applyNumberFormat="1" applyFont="1" applyFill="1" applyBorder="1" applyAlignment="1">
      <alignment horizontal="right"/>
    </xf>
    <xf numFmtId="10" fontId="38" fillId="11" borderId="4" xfId="3" applyNumberFormat="1" applyFont="1" applyFill="1" applyBorder="1" applyAlignment="1">
      <alignment horizontal="right"/>
    </xf>
    <xf numFmtId="5" fontId="38" fillId="7" borderId="3" xfId="1" applyNumberFormat="1" applyFont="1" applyFill="1" applyBorder="1" applyAlignment="1">
      <alignment horizontal="right"/>
    </xf>
    <xf numFmtId="5" fontId="38" fillId="11" borderId="3" xfId="1" applyNumberFormat="1" applyFont="1" applyFill="1" applyBorder="1" applyAlignment="1">
      <alignment horizontal="right"/>
    </xf>
    <xf numFmtId="7" fontId="38" fillId="7" borderId="3" xfId="2" applyNumberFormat="1" applyFont="1" applyFill="1" applyBorder="1" applyAlignment="1">
      <alignment horizontal="right"/>
    </xf>
    <xf numFmtId="7" fontId="38" fillId="11" borderId="3" xfId="2" applyNumberFormat="1" applyFont="1" applyFill="1" applyBorder="1" applyAlignment="1">
      <alignment horizontal="right"/>
    </xf>
    <xf numFmtId="10" fontId="38" fillId="7" borderId="8" xfId="3" applyNumberFormat="1" applyFont="1" applyFill="1" applyBorder="1" applyAlignment="1">
      <alignment horizontal="right"/>
    </xf>
    <xf numFmtId="10" fontId="38" fillId="11" borderId="8" xfId="3" applyNumberFormat="1" applyFont="1" applyFill="1" applyBorder="1" applyAlignment="1">
      <alignment horizontal="right"/>
    </xf>
    <xf numFmtId="7" fontId="43" fillId="7" borderId="3" xfId="1" applyNumberFormat="1" applyFont="1" applyFill="1" applyBorder="1" applyAlignment="1">
      <alignment horizontal="right"/>
    </xf>
    <xf numFmtId="7" fontId="43" fillId="11" borderId="3" xfId="1" applyNumberFormat="1" applyFont="1" applyFill="1" applyBorder="1" applyAlignment="1">
      <alignment horizontal="right"/>
    </xf>
    <xf numFmtId="0" fontId="44" fillId="4" borderId="0" xfId="0" applyFont="1" applyFill="1" applyBorder="1" applyAlignment="1">
      <alignment horizontal="center" vertical="center"/>
    </xf>
    <xf numFmtId="0" fontId="44" fillId="4" borderId="0" xfId="0" applyFont="1" applyFill="1" applyBorder="1" applyAlignment="1">
      <alignment horizontal="right" vertical="center"/>
    </xf>
    <xf numFmtId="170" fontId="24" fillId="3" borderId="4" xfId="1" applyNumberFormat="1" applyFont="1" applyFill="1" applyBorder="1" applyAlignment="1">
      <alignment horizontal="right"/>
    </xf>
    <xf numFmtId="170" fontId="30" fillId="5" borderId="4" xfId="1" applyNumberFormat="1" applyFont="1" applyFill="1" applyBorder="1" applyAlignment="1">
      <alignment horizontal="center"/>
    </xf>
    <xf numFmtId="170" fontId="15" fillId="6" borderId="4" xfId="1" applyNumberFormat="1" applyFont="1" applyFill="1" applyBorder="1" applyAlignment="1">
      <alignment horizontal="right"/>
    </xf>
    <xf numFmtId="170" fontId="24" fillId="0" borderId="4" xfId="1" applyNumberFormat="1" applyFont="1" applyBorder="1"/>
    <xf numFmtId="170" fontId="28" fillId="0" borderId="1" xfId="0" applyNumberFormat="1" applyFont="1" applyBorder="1"/>
    <xf numFmtId="170" fontId="17" fillId="0" borderId="1" xfId="1" applyNumberFormat="1" applyFont="1" applyBorder="1"/>
    <xf numFmtId="170" fontId="15" fillId="0" borderId="1" xfId="1" applyNumberFormat="1" applyFont="1" applyBorder="1"/>
    <xf numFmtId="170" fontId="38" fillId="7" borderId="4" xfId="1" applyNumberFormat="1" applyFont="1" applyFill="1" applyBorder="1" applyAlignment="1">
      <alignment horizontal="right"/>
    </xf>
    <xf numFmtId="170" fontId="38" fillId="11" borderId="4" xfId="1" applyNumberFormat="1" applyFont="1" applyFill="1" applyBorder="1" applyAlignment="1">
      <alignment horizontal="right"/>
    </xf>
    <xf numFmtId="0" fontId="0" fillId="0" borderId="2" xfId="0" applyFill="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5" fillId="0" borderId="4" xfId="3" applyNumberFormat="1" applyFont="1" applyBorder="1"/>
    <xf numFmtId="174" fontId="24" fillId="3" borderId="3" xfId="1" applyNumberFormat="1" applyFont="1" applyFill="1" applyBorder="1" applyAlignment="1">
      <alignment horizontal="right"/>
    </xf>
    <xf numFmtId="10" fontId="0" fillId="0" borderId="3" xfId="0" applyNumberFormat="1" applyBorder="1"/>
    <xf numFmtId="40" fontId="30" fillId="0" borderId="11" xfId="0" applyNumberFormat="1" applyFont="1" applyBorder="1"/>
    <xf numFmtId="38" fontId="30" fillId="0" borderId="13" xfId="1" applyNumberFormat="1" applyFont="1" applyBorder="1"/>
    <xf numFmtId="40" fontId="30" fillId="0" borderId="13" xfId="1" applyNumberFormat="1" applyFont="1" applyBorder="1"/>
    <xf numFmtId="2" fontId="30" fillId="0" borderId="13" xfId="3" applyNumberFormat="1" applyFont="1" applyBorder="1"/>
    <xf numFmtId="40" fontId="30" fillId="0" borderId="15" xfId="1" applyNumberFormat="1" applyFont="1" applyFill="1" applyBorder="1"/>
    <xf numFmtId="40" fontId="30" fillId="0" borderId="13" xfId="0" applyNumberFormat="1" applyFont="1" applyBorder="1"/>
    <xf numFmtId="38" fontId="30" fillId="0" borderId="19" xfId="1" applyNumberFormat="1" applyFont="1" applyBorder="1"/>
    <xf numFmtId="169" fontId="30" fillId="0" borderId="13" xfId="1" applyNumberFormat="1" applyFont="1" applyBorder="1"/>
    <xf numFmtId="38" fontId="30" fillId="0" borderId="15" xfId="1" applyNumberFormat="1" applyFont="1" applyBorder="1"/>
    <xf numFmtId="40" fontId="30" fillId="0" borderId="15" xfId="1" applyNumberFormat="1" applyFont="1" applyBorder="1"/>
    <xf numFmtId="38" fontId="30" fillId="0" borderId="13" xfId="0" applyNumberFormat="1" applyFont="1" applyBorder="1"/>
    <xf numFmtId="38" fontId="30" fillId="0" borderId="22" xfId="0" applyNumberFormat="1" applyFont="1" applyBorder="1"/>
    <xf numFmtId="40" fontId="30" fillId="0" borderId="15" xfId="0" applyNumberFormat="1" applyFont="1" applyBorder="1"/>
    <xf numFmtId="6" fontId="30" fillId="0" borderId="13" xfId="1" applyNumberFormat="1" applyFont="1" applyBorder="1"/>
    <xf numFmtId="2" fontId="30" fillId="0" borderId="19" xfId="3" applyNumberFormat="1" applyFont="1" applyBorder="1"/>
    <xf numFmtId="40" fontId="30" fillId="0" borderId="13" xfId="0" applyNumberFormat="1" applyFont="1" applyBorder="1" applyAlignment="1">
      <alignment horizontal="right"/>
    </xf>
    <xf numFmtId="38" fontId="30" fillId="0" borderId="19" xfId="0" applyNumberFormat="1" applyFont="1" applyBorder="1"/>
    <xf numFmtId="173" fontId="30" fillId="0" borderId="15" xfId="1" applyNumberFormat="1" applyFont="1" applyBorder="1"/>
    <xf numFmtId="0" fontId="28" fillId="0" borderId="11" xfId="0" applyFont="1" applyBorder="1" applyAlignment="1">
      <alignment horizontal="right" vertical="top"/>
    </xf>
    <xf numFmtId="0" fontId="21" fillId="0" borderId="2" xfId="0" applyFont="1" applyBorder="1" applyAlignment="1">
      <alignment vertical="top"/>
    </xf>
    <xf numFmtId="0" fontId="38" fillId="0" borderId="0" xfId="0" applyFont="1" applyFill="1" applyBorder="1" applyAlignment="1">
      <alignment horizontal="left" vertical="top"/>
    </xf>
    <xf numFmtId="0" fontId="38" fillId="0" borderId="21" xfId="0" applyFont="1" applyFill="1" applyBorder="1" applyAlignment="1">
      <alignment horizontal="left" vertical="top"/>
    </xf>
    <xf numFmtId="0" fontId="38" fillId="0" borderId="0" xfId="0" applyFont="1" applyBorder="1" applyAlignment="1">
      <alignment horizontal="left" vertical="top"/>
    </xf>
    <xf numFmtId="0" fontId="38" fillId="0" borderId="21" xfId="0" applyFont="1" applyBorder="1" applyAlignment="1">
      <alignment horizontal="left" vertical="top"/>
    </xf>
    <xf numFmtId="0" fontId="28" fillId="0" borderId="0" xfId="0" applyFont="1" applyBorder="1" applyAlignment="1">
      <alignment vertical="top"/>
    </xf>
    <xf numFmtId="0" fontId="17" fillId="0" borderId="0" xfId="0" applyFont="1" applyBorder="1" applyAlignment="1">
      <alignment vertical="top"/>
    </xf>
    <xf numFmtId="0" fontId="0" fillId="0" borderId="0" xfId="0" applyFill="1" applyBorder="1" applyAlignment="1">
      <alignment horizontal="left" vertical="top"/>
    </xf>
    <xf numFmtId="0" fontId="0" fillId="0" borderId="0" xfId="0" applyBorder="1" applyAlignment="1">
      <alignment horizontal="left" vertical="top"/>
    </xf>
    <xf numFmtId="2" fontId="28" fillId="0" borderId="13" xfId="0" applyNumberFormat="1" applyFont="1" applyBorder="1" applyAlignment="1">
      <alignment horizontal="right" vertical="top"/>
    </xf>
    <xf numFmtId="10" fontId="21" fillId="0" borderId="0" xfId="3" applyNumberFormat="1" applyFont="1" applyBorder="1" applyAlignment="1">
      <alignment vertical="top"/>
    </xf>
    <xf numFmtId="10" fontId="38" fillId="0" borderId="0" xfId="3" applyNumberFormat="1" applyFont="1" applyFill="1" applyBorder="1" applyAlignment="1">
      <alignment horizontal="left" vertical="top"/>
    </xf>
    <xf numFmtId="10" fontId="38" fillId="0" borderId="21" xfId="3" applyNumberFormat="1" applyFont="1" applyFill="1" applyBorder="1" applyAlignment="1">
      <alignment horizontal="left" vertical="top"/>
    </xf>
    <xf numFmtId="0" fontId="28" fillId="0" borderId="15" xfId="0" applyFont="1" applyBorder="1" applyAlignment="1">
      <alignment horizontal="right" vertical="top"/>
    </xf>
    <xf numFmtId="43" fontId="21" fillId="0" borderId="1" xfId="1" applyFont="1" applyBorder="1" applyAlignment="1">
      <alignment vertical="top"/>
    </xf>
    <xf numFmtId="10" fontId="38" fillId="0" borderId="1" xfId="3" applyNumberFormat="1" applyFont="1" applyFill="1" applyBorder="1" applyAlignment="1">
      <alignment horizontal="left" vertical="top"/>
    </xf>
    <xf numFmtId="10" fontId="38" fillId="0" borderId="34" xfId="3" applyNumberFormat="1" applyFont="1" applyFill="1" applyBorder="1" applyAlignment="1">
      <alignment horizontal="left" vertical="top"/>
    </xf>
    <xf numFmtId="0" fontId="28" fillId="0" borderId="0" xfId="0" applyFont="1" applyBorder="1" applyAlignment="1">
      <alignment horizontal="right" vertical="top"/>
    </xf>
    <xf numFmtId="43" fontId="21" fillId="0" borderId="0" xfId="1" applyFont="1" applyBorder="1" applyAlignment="1">
      <alignment vertical="top"/>
    </xf>
    <xf numFmtId="0" fontId="22" fillId="2" borderId="2" xfId="0" applyFont="1" applyFill="1" applyBorder="1" applyAlignment="1">
      <alignment horizontal="right" vertical="top"/>
    </xf>
    <xf numFmtId="0" fontId="17" fillId="2" borderId="2" xfId="0" applyFont="1" applyFill="1" applyBorder="1" applyAlignment="1">
      <alignment vertical="top"/>
    </xf>
    <xf numFmtId="0" fontId="0" fillId="2" borderId="2" xfId="0" applyFill="1" applyBorder="1" applyAlignment="1">
      <alignment vertical="top"/>
    </xf>
    <xf numFmtId="0" fontId="0" fillId="2" borderId="0" xfId="0" applyFill="1" applyBorder="1" applyAlignment="1">
      <alignment vertical="top"/>
    </xf>
    <xf numFmtId="0" fontId="22" fillId="2" borderId="0" xfId="0" applyFont="1" applyFill="1" applyAlignment="1">
      <alignment horizontal="right" vertical="top"/>
    </xf>
    <xf numFmtId="0" fontId="17" fillId="2" borderId="0" xfId="0" applyFont="1" applyFill="1" applyAlignment="1">
      <alignment vertical="top"/>
    </xf>
    <xf numFmtId="0" fontId="0" fillId="2" borderId="0" xfId="0" applyFill="1" applyAlignment="1">
      <alignment vertical="top"/>
    </xf>
    <xf numFmtId="165" fontId="29" fillId="2" borderId="0" xfId="0" quotePrefix="1" applyNumberFormat="1" applyFont="1" applyFill="1" applyAlignment="1">
      <alignment horizontal="right" vertical="top"/>
    </xf>
    <xf numFmtId="165" fontId="29" fillId="2" borderId="0" xfId="0" quotePrefix="1" applyNumberFormat="1" applyFont="1" applyFill="1" applyAlignment="1">
      <alignment horizontal="center" vertical="top"/>
    </xf>
    <xf numFmtId="0" fontId="22" fillId="0" borderId="0" xfId="0" applyFont="1" applyAlignment="1">
      <alignment horizontal="right" vertical="top"/>
    </xf>
    <xf numFmtId="0" fontId="17" fillId="0" borderId="0" xfId="0" applyFont="1" applyAlignment="1">
      <alignment vertical="top"/>
    </xf>
    <xf numFmtId="0" fontId="0" fillId="0" borderId="0" xfId="0" applyBorder="1" applyAlignment="1">
      <alignment vertical="top"/>
    </xf>
    <xf numFmtId="165" fontId="38" fillId="0" borderId="0" xfId="0" applyNumberFormat="1" applyFont="1" applyBorder="1" applyAlignment="1">
      <alignment horizontal="center" vertical="top"/>
    </xf>
    <xf numFmtId="164" fontId="39" fillId="0" borderId="35" xfId="0" quotePrefix="1" applyNumberFormat="1" applyFont="1" applyBorder="1" applyAlignment="1">
      <alignment horizontal="center" vertical="center" wrapText="1"/>
    </xf>
    <xf numFmtId="166" fontId="30" fillId="0" borderId="34" xfId="1" applyNumberFormat="1" applyFont="1" applyBorder="1"/>
    <xf numFmtId="43" fontId="46" fillId="0" borderId="36" xfId="0" applyNumberFormat="1" applyFont="1" applyBorder="1" applyAlignment="1">
      <alignment horizontal="center" wrapText="1"/>
    </xf>
    <xf numFmtId="166" fontId="24" fillId="0" borderId="21" xfId="1" applyNumberFormat="1" applyFont="1" applyBorder="1"/>
    <xf numFmtId="166" fontId="30" fillId="0" borderId="21" xfId="1" applyNumberFormat="1" applyFont="1" applyFill="1" applyBorder="1"/>
    <xf numFmtId="43" fontId="24" fillId="0" borderId="21" xfId="1" applyFont="1" applyBorder="1"/>
    <xf numFmtId="43" fontId="24" fillId="0" borderId="21" xfId="1" applyFont="1" applyFill="1" applyBorder="1" applyAlignment="1">
      <alignment horizontal="right"/>
    </xf>
    <xf numFmtId="10" fontId="30" fillId="0" borderId="21" xfId="3" applyNumberFormat="1" applyFont="1" applyBorder="1"/>
    <xf numFmtId="40" fontId="30" fillId="0" borderId="34" xfId="1" applyNumberFormat="1" applyFont="1" applyBorder="1"/>
    <xf numFmtId="0" fontId="0" fillId="0" borderId="36" xfId="0" applyBorder="1"/>
    <xf numFmtId="166" fontId="15" fillId="0" borderId="21" xfId="1" applyNumberFormat="1" applyFont="1" applyBorder="1"/>
    <xf numFmtId="166" fontId="24" fillId="0" borderId="37" xfId="1" applyNumberFormat="1" applyFont="1" applyBorder="1"/>
    <xf numFmtId="168" fontId="24" fillId="0" borderId="21" xfId="1" applyNumberFormat="1" applyFont="1" applyBorder="1"/>
    <xf numFmtId="166" fontId="24" fillId="0" borderId="34" xfId="1" applyNumberFormat="1" applyFont="1" applyBorder="1"/>
    <xf numFmtId="43" fontId="24" fillId="0" borderId="21" xfId="1" applyFont="1" applyFill="1" applyBorder="1"/>
    <xf numFmtId="43" fontId="33" fillId="0" borderId="21" xfId="1" applyFont="1" applyFill="1" applyBorder="1"/>
    <xf numFmtId="43" fontId="33" fillId="0" borderId="34" xfId="1" applyFont="1" applyBorder="1"/>
    <xf numFmtId="166" fontId="15" fillId="0" borderId="38" xfId="1" applyNumberFormat="1" applyFont="1" applyBorder="1"/>
    <xf numFmtId="10" fontId="15" fillId="0" borderId="34" xfId="3" applyNumberFormat="1" applyFont="1" applyBorder="1"/>
    <xf numFmtId="2" fontId="24" fillId="0" borderId="21" xfId="0" applyNumberFormat="1" applyFont="1" applyBorder="1"/>
    <xf numFmtId="2" fontId="0" fillId="0" borderId="34" xfId="0" applyNumberFormat="1" applyBorder="1"/>
    <xf numFmtId="5" fontId="24" fillId="0" borderId="21" xfId="1" applyNumberFormat="1" applyFont="1" applyBorder="1"/>
    <xf numFmtId="7" fontId="15" fillId="0" borderId="21" xfId="2" applyNumberFormat="1" applyFont="1" applyBorder="1"/>
    <xf numFmtId="10" fontId="15" fillId="0" borderId="37" xfId="3" applyNumberFormat="1" applyFont="1" applyBorder="1"/>
    <xf numFmtId="7" fontId="33" fillId="0" borderId="21" xfId="1" applyNumberFormat="1" applyFont="1" applyBorder="1"/>
    <xf numFmtId="0" fontId="0" fillId="0" borderId="21" xfId="0" applyFont="1" applyBorder="1"/>
    <xf numFmtId="10" fontId="24" fillId="0" borderId="21" xfId="3" applyNumberFormat="1" applyFont="1" applyBorder="1"/>
    <xf numFmtId="10" fontId="24" fillId="0" borderId="37" xfId="3" applyNumberFormat="1" applyFont="1" applyBorder="1"/>
    <xf numFmtId="7" fontId="15" fillId="6" borderId="39" xfId="2" applyNumberFormat="1" applyFont="1" applyFill="1" applyBorder="1" applyAlignment="1">
      <alignment horizontal="right"/>
    </xf>
    <xf numFmtId="43" fontId="0" fillId="0" borderId="3" xfId="0" applyNumberFormat="1" applyBorder="1"/>
    <xf numFmtId="40" fontId="30" fillId="0" borderId="19" xfId="3" applyNumberFormat="1" applyFont="1" applyBorder="1"/>
    <xf numFmtId="40" fontId="30" fillId="0" borderId="13" xfId="3" applyNumberFormat="1" applyFont="1" applyBorder="1"/>
    <xf numFmtId="40" fontId="30" fillId="0" borderId="33" xfId="3" applyNumberFormat="1" applyFont="1" applyBorder="1"/>
    <xf numFmtId="40" fontId="30" fillId="0" borderId="15" xfId="3" applyNumberFormat="1" applyFont="1" applyBorder="1"/>
    <xf numFmtId="171" fontId="15" fillId="0" borderId="14" xfId="3" applyNumberFormat="1" applyFont="1" applyBorder="1"/>
    <xf numFmtId="171" fontId="30" fillId="0" borderId="10" xfId="3" applyNumberFormat="1" applyFont="1" applyBorder="1"/>
    <xf numFmtId="171" fontId="30" fillId="0" borderId="12" xfId="3" applyNumberFormat="1" applyFont="1" applyBorder="1"/>
    <xf numFmtId="171" fontId="30" fillId="0" borderId="14" xfId="3" applyNumberFormat="1" applyFont="1" applyBorder="1"/>
    <xf numFmtId="171" fontId="30" fillId="0" borderId="16" xfId="3" applyNumberFormat="1" applyFont="1" applyFill="1" applyBorder="1"/>
    <xf numFmtId="171" fontId="30" fillId="0" borderId="18" xfId="3" applyNumberFormat="1" applyFont="1" applyBorder="1"/>
    <xf numFmtId="171" fontId="30" fillId="0" borderId="16" xfId="3" applyNumberFormat="1" applyFont="1" applyBorder="1"/>
    <xf numFmtId="171" fontId="30" fillId="0" borderId="17" xfId="3" applyNumberFormat="1" applyFont="1" applyBorder="1"/>
    <xf numFmtId="171" fontId="30" fillId="0" borderId="32" xfId="3" applyNumberFormat="1" applyFont="1" applyBorder="1"/>
    <xf numFmtId="171" fontId="30" fillId="0" borderId="14" xfId="3" applyNumberFormat="1" applyFont="1" applyBorder="1" applyAlignment="1">
      <alignment horizontal="right"/>
    </xf>
    <xf numFmtId="171" fontId="45" fillId="0" borderId="18" xfId="3" applyNumberFormat="1" applyFont="1" applyBorder="1"/>
    <xf numFmtId="171" fontId="15" fillId="0" borderId="0" xfId="3" applyNumberFormat="1" applyFont="1"/>
    <xf numFmtId="166" fontId="0" fillId="0" borderId="3" xfId="0" applyNumberFormat="1" applyBorder="1"/>
    <xf numFmtId="166" fontId="0" fillId="3" borderId="3" xfId="0" applyNumberFormat="1" applyFill="1" applyBorder="1" applyAlignment="1">
      <alignment horizontal="right"/>
    </xf>
    <xf numFmtId="5" fontId="15" fillId="3" borderId="3" xfId="2" applyNumberFormat="1" applyFont="1" applyFill="1" applyBorder="1"/>
    <xf numFmtId="165" fontId="47" fillId="0" borderId="0" xfId="0" applyNumberFormat="1" applyFont="1" applyFill="1" applyBorder="1" applyAlignment="1"/>
    <xf numFmtId="171" fontId="47" fillId="0" borderId="0" xfId="3" applyNumberFormat="1" applyFont="1" applyFill="1" applyBorder="1" applyAlignment="1"/>
    <xf numFmtId="0" fontId="47" fillId="0" borderId="0" xfId="0" applyFont="1" applyFill="1" applyBorder="1" applyAlignment="1"/>
    <xf numFmtId="166" fontId="11" fillId="0" borderId="0" xfId="0" applyNumberFormat="1" applyFont="1" applyFill="1" applyBorder="1" applyAlignment="1"/>
    <xf numFmtId="171" fontId="11" fillId="0" borderId="0" xfId="3" applyNumberFormat="1" applyFont="1" applyFill="1" applyBorder="1" applyAlignment="1"/>
    <xf numFmtId="0" fontId="47" fillId="0" borderId="0" xfId="0" applyFont="1" applyFill="1" applyBorder="1" applyAlignment="1">
      <alignment vertical="center"/>
    </xf>
    <xf numFmtId="171" fontId="47" fillId="0" borderId="0" xfId="3" applyNumberFormat="1" applyFont="1" applyFill="1" applyBorder="1" applyAlignment="1">
      <alignment vertical="center"/>
    </xf>
    <xf numFmtId="164" fontId="47" fillId="0" borderId="0" xfId="0" applyNumberFormat="1" applyFont="1" applyFill="1" applyBorder="1" applyAlignment="1">
      <alignment vertical="center" wrapText="1"/>
    </xf>
    <xf numFmtId="171" fontId="47" fillId="0" borderId="0" xfId="3" applyNumberFormat="1" applyFont="1" applyFill="1" applyBorder="1" applyAlignment="1">
      <alignment vertical="center" wrapText="1"/>
    </xf>
    <xf numFmtId="3" fontId="47" fillId="0" borderId="0" xfId="1" applyNumberFormat="1" applyFont="1" applyFill="1" applyBorder="1" applyAlignment="1"/>
    <xf numFmtId="3" fontId="47" fillId="0" borderId="0" xfId="0" applyNumberFormat="1" applyFont="1" applyFill="1" applyBorder="1" applyAlignment="1"/>
    <xf numFmtId="166" fontId="47" fillId="0" borderId="0" xfId="1" applyNumberFormat="1" applyFont="1" applyFill="1" applyBorder="1" applyAlignment="1"/>
    <xf numFmtId="43" fontId="47" fillId="0" borderId="0" xfId="1" applyFont="1" applyFill="1" applyBorder="1" applyAlignment="1"/>
    <xf numFmtId="40" fontId="47" fillId="0" borderId="0" xfId="1" applyNumberFormat="1" applyFont="1" applyFill="1" applyBorder="1" applyAlignment="1"/>
    <xf numFmtId="168" fontId="47" fillId="0" borderId="0" xfId="1" applyNumberFormat="1" applyFont="1" applyFill="1" applyBorder="1" applyAlignment="1"/>
    <xf numFmtId="37" fontId="47" fillId="0" borderId="0" xfId="1" applyNumberFormat="1" applyFont="1" applyFill="1" applyBorder="1" applyAlignment="1"/>
    <xf numFmtId="10" fontId="47" fillId="0" borderId="0" xfId="3" applyNumberFormat="1" applyFont="1" applyFill="1" applyBorder="1" applyAlignment="1"/>
    <xf numFmtId="5" fontId="47" fillId="0" borderId="0" xfId="1" applyNumberFormat="1" applyFont="1" applyFill="1" applyBorder="1" applyAlignment="1"/>
    <xf numFmtId="7" fontId="47" fillId="0" borderId="0" xfId="2" applyNumberFormat="1" applyFont="1" applyFill="1" applyBorder="1" applyAlignment="1"/>
    <xf numFmtId="7" fontId="47" fillId="0" borderId="0" xfId="1" applyNumberFormat="1" applyFont="1" applyFill="1" applyBorder="1" applyAlignment="1"/>
    <xf numFmtId="170" fontId="47" fillId="0" borderId="0" xfId="1" applyNumberFormat="1" applyFont="1" applyFill="1" applyBorder="1" applyAlignment="1"/>
    <xf numFmtId="172" fontId="47" fillId="0" borderId="0" xfId="0" applyNumberFormat="1" applyFont="1" applyFill="1" applyBorder="1" applyAlignment="1"/>
    <xf numFmtId="0" fontId="38" fillId="0" borderId="0" xfId="0" applyFont="1"/>
    <xf numFmtId="5" fontId="30" fillId="0" borderId="3" xfId="1" applyNumberFormat="1" applyFont="1" applyFill="1" applyBorder="1" applyAlignment="1">
      <alignment horizontal="right"/>
    </xf>
    <xf numFmtId="40" fontId="47" fillId="0" borderId="0" xfId="0" applyNumberFormat="1" applyFont="1" applyFill="1" applyBorder="1" applyAlignment="1"/>
    <xf numFmtId="40" fontId="11" fillId="0" borderId="0" xfId="0" applyNumberFormat="1" applyFont="1" applyFill="1" applyBorder="1" applyAlignment="1"/>
    <xf numFmtId="40" fontId="47" fillId="0" borderId="0" xfId="0" applyNumberFormat="1" applyFont="1" applyFill="1" applyBorder="1" applyAlignment="1">
      <alignment vertical="center"/>
    </xf>
    <xf numFmtId="40" fontId="47" fillId="0" borderId="0" xfId="0" applyNumberFormat="1" applyFont="1" applyFill="1" applyBorder="1" applyAlignment="1">
      <alignment vertical="center" wrapText="1"/>
    </xf>
    <xf numFmtId="40" fontId="47" fillId="0" borderId="0" xfId="3" applyNumberFormat="1" applyFont="1" applyFill="1" applyBorder="1" applyAlignment="1"/>
    <xf numFmtId="40" fontId="47" fillId="0" borderId="0" xfId="2" applyNumberFormat="1" applyFont="1" applyFill="1" applyBorder="1" applyAlignment="1"/>
    <xf numFmtId="0" fontId="21" fillId="0" borderId="0" xfId="0" applyFont="1" applyFill="1" applyBorder="1"/>
    <xf numFmtId="0" fontId="21" fillId="0" borderId="1" xfId="0" applyFont="1" applyFill="1" applyBorder="1"/>
    <xf numFmtId="0" fontId="19" fillId="0" borderId="2" xfId="0" applyFont="1" applyFill="1" applyBorder="1"/>
    <xf numFmtId="0" fontId="17" fillId="0" borderId="7" xfId="0" applyFont="1" applyFill="1" applyBorder="1"/>
    <xf numFmtId="0" fontId="17" fillId="0" borderId="1" xfId="0" applyFont="1" applyFill="1" applyBorder="1"/>
    <xf numFmtId="0" fontId="19" fillId="0" borderId="0" xfId="0" applyFont="1" applyFill="1" applyBorder="1"/>
    <xf numFmtId="0" fontId="0" fillId="0" borderId="0" xfId="0" applyFill="1" applyBorder="1"/>
    <xf numFmtId="0" fontId="33" fillId="0" borderId="0" xfId="0" applyFont="1" applyFill="1" applyBorder="1"/>
    <xf numFmtId="0" fontId="33" fillId="0" borderId="1" xfId="0" applyFont="1" applyFill="1" applyBorder="1"/>
    <xf numFmtId="0" fontId="28" fillId="0" borderId="0" xfId="0" applyFont="1" applyFill="1" applyBorder="1"/>
    <xf numFmtId="0" fontId="28" fillId="0" borderId="1" xfId="0" applyFont="1" applyFill="1" applyBorder="1"/>
    <xf numFmtId="0" fontId="32" fillId="0" borderId="0" xfId="0" applyFont="1" applyFill="1" applyBorder="1"/>
    <xf numFmtId="0" fontId="0" fillId="0" borderId="0" xfId="0" applyFont="1" applyFill="1" applyBorder="1"/>
    <xf numFmtId="10" fontId="17" fillId="0" borderId="0" xfId="3" applyNumberFormat="1" applyFont="1" applyFill="1" applyBorder="1"/>
    <xf numFmtId="10" fontId="17" fillId="0" borderId="7" xfId="3" applyNumberFormat="1" applyFont="1" applyFill="1" applyBorder="1"/>
    <xf numFmtId="170" fontId="17" fillId="0" borderId="1" xfId="1" applyNumberFormat="1" applyFont="1" applyFill="1" applyBorder="1"/>
    <xf numFmtId="0" fontId="17" fillId="0" borderId="2" xfId="0" applyFont="1" applyFill="1" applyBorder="1"/>
    <xf numFmtId="0" fontId="17" fillId="0" borderId="0" xfId="0" applyFont="1" applyFill="1"/>
    <xf numFmtId="0" fontId="0" fillId="0" borderId="0" xfId="0" applyFill="1"/>
    <xf numFmtId="165" fontId="29" fillId="0" borderId="0" xfId="0" quotePrefix="1" applyNumberFormat="1" applyFont="1" applyFill="1" applyAlignment="1">
      <alignment horizontal="center"/>
    </xf>
    <xf numFmtId="0" fontId="18" fillId="0" borderId="0" xfId="0" applyFont="1" applyFill="1"/>
    <xf numFmtId="8" fontId="30" fillId="0" borderId="13" xfId="1" applyNumberFormat="1" applyFont="1" applyBorder="1"/>
    <xf numFmtId="43" fontId="15" fillId="0" borderId="4" xfId="1" applyFont="1" applyBorder="1"/>
    <xf numFmtId="43" fontId="15" fillId="3" borderId="4" xfId="1" applyFont="1" applyFill="1" applyBorder="1" applyAlignment="1">
      <alignment horizontal="right"/>
    </xf>
    <xf numFmtId="171" fontId="15" fillId="0" borderId="16" xfId="3" applyNumberFormat="1" applyFont="1" applyBorder="1"/>
    <xf numFmtId="16" fontId="0" fillId="0" borderId="0" xfId="0" quotePrefix="1" applyNumberFormat="1" applyBorder="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5" fillId="0" borderId="14" xfId="3" applyNumberFormat="1" applyFont="1" applyBorder="1"/>
    <xf numFmtId="43" fontId="15" fillId="0" borderId="4" xfId="1" applyFont="1" applyBorder="1"/>
    <xf numFmtId="43" fontId="15" fillId="3" borderId="4" xfId="1" applyFont="1" applyFill="1" applyBorder="1" applyAlignment="1">
      <alignment horizontal="right"/>
    </xf>
    <xf numFmtId="164" fontId="39" fillId="3" borderId="20" xfId="0" applyNumberFormat="1" applyFont="1" applyFill="1" applyBorder="1" applyAlignment="1">
      <alignment horizontal="center" vertical="center" wrapText="1"/>
    </xf>
    <xf numFmtId="171" fontId="35" fillId="12" borderId="0" xfId="3" applyNumberFormat="1" applyFont="1" applyFill="1" applyBorder="1" applyAlignment="1">
      <alignment horizontal="center" wrapText="1"/>
    </xf>
    <xf numFmtId="165" fontId="26" fillId="12" borderId="0" xfId="0" applyNumberFormat="1" applyFont="1" applyFill="1" applyAlignment="1">
      <alignment horizontal="center"/>
    </xf>
    <xf numFmtId="0" fontId="22" fillId="12" borderId="0" xfId="0" applyFont="1" applyFill="1" applyAlignment="1">
      <alignment horizontal="center"/>
    </xf>
    <xf numFmtId="171" fontId="35" fillId="12" borderId="1" xfId="3" applyNumberFormat="1" applyFont="1" applyFill="1" applyBorder="1" applyAlignment="1">
      <alignment horizontal="center" wrapText="1"/>
    </xf>
    <xf numFmtId="0" fontId="22" fillId="12" borderId="1" xfId="0" applyFont="1" applyFill="1" applyBorder="1" applyAlignment="1">
      <alignment horizontal="center"/>
    </xf>
    <xf numFmtId="164" fontId="34" fillId="4" borderId="43" xfId="0" applyNumberFormat="1" applyFont="1" applyFill="1" applyBorder="1" applyAlignment="1">
      <alignment horizontal="center" vertical="center"/>
    </xf>
    <xf numFmtId="171" fontId="34" fillId="4" borderId="0" xfId="3" quotePrefix="1" applyNumberFormat="1" applyFont="1" applyFill="1" applyBorder="1" applyAlignment="1">
      <alignment horizontal="center" vertical="center"/>
    </xf>
    <xf numFmtId="164" fontId="34" fillId="4" borderId="0" xfId="0" applyNumberFormat="1" applyFont="1" applyFill="1" applyBorder="1" applyAlignment="1">
      <alignment horizontal="center" vertical="center"/>
    </xf>
    <xf numFmtId="0" fontId="0" fillId="0" borderId="13" xfId="0" applyBorder="1"/>
    <xf numFmtId="171" fontId="47" fillId="0" borderId="21" xfId="3" applyNumberFormat="1" applyFont="1" applyFill="1" applyBorder="1" applyAlignment="1"/>
    <xf numFmtId="0" fontId="0" fillId="0" borderId="13" xfId="0" applyBorder="1" applyAlignment="1">
      <alignment horizontal="left" indent="2"/>
    </xf>
    <xf numFmtId="166" fontId="47" fillId="0" borderId="1" xfId="1" applyNumberFormat="1" applyFont="1" applyFill="1" applyBorder="1" applyAlignment="1"/>
    <xf numFmtId="40" fontId="47" fillId="0" borderId="1" xfId="1" applyNumberFormat="1" applyFont="1" applyFill="1" applyBorder="1" applyAlignment="1"/>
    <xf numFmtId="171" fontId="47" fillId="0" borderId="1" xfId="3" applyNumberFormat="1" applyFont="1" applyFill="1" applyBorder="1" applyAlignment="1"/>
    <xf numFmtId="171" fontId="47" fillId="0" borderId="34" xfId="3" applyNumberFormat="1" applyFont="1" applyFill="1" applyBorder="1" applyAlignment="1"/>
    <xf numFmtId="0" fontId="47" fillId="0" borderId="44" xfId="0" applyFont="1" applyFill="1" applyBorder="1" applyAlignment="1"/>
    <xf numFmtId="166" fontId="11" fillId="0" borderId="44" xfId="0" applyNumberFormat="1" applyFont="1" applyFill="1" applyBorder="1" applyAlignment="1"/>
    <xf numFmtId="0" fontId="47" fillId="0" borderId="44" xfId="0" applyFont="1" applyFill="1" applyBorder="1" applyAlignment="1">
      <alignment vertical="center"/>
    </xf>
    <xf numFmtId="164" fontId="47" fillId="0" borderId="44" xfId="0" applyNumberFormat="1" applyFont="1" applyFill="1" applyBorder="1" applyAlignment="1">
      <alignment vertical="center" wrapText="1"/>
    </xf>
    <xf numFmtId="3" fontId="47" fillId="0" borderId="44" xfId="1" applyNumberFormat="1" applyFont="1" applyFill="1" applyBorder="1" applyAlignment="1"/>
    <xf numFmtId="3" fontId="47" fillId="0" borderId="44" xfId="0" applyNumberFormat="1" applyFont="1" applyFill="1" applyBorder="1" applyAlignment="1"/>
    <xf numFmtId="166" fontId="47" fillId="0" borderId="44" xfId="1" applyNumberFormat="1" applyFont="1" applyFill="1" applyBorder="1" applyAlignment="1"/>
    <xf numFmtId="43" fontId="47" fillId="0" borderId="44" xfId="1" applyFont="1" applyFill="1" applyBorder="1" applyAlignment="1"/>
    <xf numFmtId="10" fontId="47" fillId="0" borderId="44" xfId="3" applyNumberFormat="1" applyFont="1" applyFill="1" applyBorder="1" applyAlignment="1"/>
    <xf numFmtId="40" fontId="47" fillId="0" borderId="44" xfId="1" applyNumberFormat="1" applyFont="1" applyFill="1" applyBorder="1" applyAlignment="1"/>
    <xf numFmtId="168" fontId="47" fillId="0" borderId="44" xfId="1" applyNumberFormat="1" applyFont="1" applyFill="1" applyBorder="1" applyAlignment="1"/>
    <xf numFmtId="37" fontId="47" fillId="0" borderId="44" xfId="1" applyNumberFormat="1" applyFont="1" applyFill="1" applyBorder="1" applyAlignment="1"/>
    <xf numFmtId="5" fontId="47" fillId="0" borderId="44" xfId="1" applyNumberFormat="1" applyFont="1" applyFill="1" applyBorder="1" applyAlignment="1"/>
    <xf numFmtId="7" fontId="47" fillId="0" borderId="44" xfId="2" applyNumberFormat="1" applyFont="1" applyFill="1" applyBorder="1" applyAlignment="1"/>
    <xf numFmtId="7" fontId="47" fillId="0" borderId="44" xfId="1" applyNumberFormat="1" applyFont="1" applyFill="1" applyBorder="1" applyAlignment="1"/>
    <xf numFmtId="166" fontId="47" fillId="0" borderId="45" xfId="1" applyNumberFormat="1" applyFont="1" applyFill="1" applyBorder="1" applyAlignment="1"/>
    <xf numFmtId="40" fontId="47" fillId="0" borderId="40" xfId="0" applyNumberFormat="1" applyFont="1" applyFill="1" applyBorder="1" applyAlignment="1"/>
    <xf numFmtId="10" fontId="47" fillId="0" borderId="40" xfId="3" applyNumberFormat="1" applyFont="1" applyFill="1" applyBorder="1" applyAlignment="1"/>
    <xf numFmtId="38" fontId="47" fillId="0" borderId="40" xfId="0" applyNumberFormat="1" applyFont="1" applyFill="1" applyBorder="1" applyAlignment="1"/>
    <xf numFmtId="38" fontId="47" fillId="0" borderId="42" xfId="0" applyNumberFormat="1" applyFont="1" applyFill="1" applyBorder="1" applyAlignment="1"/>
    <xf numFmtId="38" fontId="47" fillId="0" borderId="41" xfId="0" applyNumberFormat="1" applyFont="1" applyFill="1" applyBorder="1" applyAlignment="1"/>
    <xf numFmtId="6" fontId="47" fillId="0" borderId="40" xfId="1" applyNumberFormat="1" applyFont="1" applyFill="1" applyBorder="1" applyAlignment="1"/>
    <xf numFmtId="8" fontId="47" fillId="0" borderId="40" xfId="2" applyNumberFormat="1" applyFont="1" applyFill="1" applyBorder="1" applyAlignment="1"/>
    <xf numFmtId="8" fontId="47" fillId="0" borderId="40" xfId="1" applyNumberFormat="1" applyFont="1" applyFill="1" applyBorder="1" applyAlignment="1"/>
    <xf numFmtId="7" fontId="47" fillId="0" borderId="0" xfId="0" applyNumberFormat="1" applyFont="1" applyFill="1" applyBorder="1" applyAlignment="1"/>
    <xf numFmtId="0" fontId="49" fillId="4" borderId="0" xfId="0" applyFont="1" applyFill="1" applyBorder="1" applyAlignment="1">
      <alignment horizontal="center" vertical="center"/>
    </xf>
    <xf numFmtId="0" fontId="21" fillId="0" borderId="0" xfId="0" applyFont="1"/>
    <xf numFmtId="0" fontId="21" fillId="0" borderId="0" xfId="0" applyFont="1" applyFill="1"/>
    <xf numFmtId="0" fontId="38" fillId="0" borderId="0" xfId="0" applyFont="1" applyFill="1"/>
    <xf numFmtId="0" fontId="38" fillId="0" borderId="3" xfId="0" applyFont="1" applyBorder="1" applyAlignment="1">
      <alignment horizontal="right"/>
    </xf>
    <xf numFmtId="7" fontId="38" fillId="0" borderId="3" xfId="0" applyNumberFormat="1" applyFont="1" applyBorder="1" applyAlignment="1">
      <alignment horizontal="right"/>
    </xf>
    <xf numFmtId="171" fontId="38" fillId="0" borderId="0" xfId="3" applyNumberFormat="1" applyFont="1"/>
    <xf numFmtId="0" fontId="0" fillId="0" borderId="0" xfId="0" applyFont="1" applyFill="1"/>
    <xf numFmtId="0" fontId="38" fillId="0" borderId="0" xfId="0" applyFont="1" applyAlignment="1">
      <alignment vertical="center"/>
    </xf>
    <xf numFmtId="0" fontId="21" fillId="0" borderId="0" xfId="0" applyFont="1" applyAlignment="1">
      <alignment horizontal="left" indent="1"/>
    </xf>
    <xf numFmtId="166" fontId="38" fillId="0" borderId="47" xfId="1" applyNumberFormat="1" applyFont="1" applyFill="1" applyBorder="1" applyAlignment="1">
      <alignment vertical="center"/>
    </xf>
    <xf numFmtId="166" fontId="38" fillId="0" borderId="44" xfId="1" applyNumberFormat="1" applyFont="1" applyFill="1" applyBorder="1" applyAlignment="1">
      <alignment vertical="center"/>
    </xf>
    <xf numFmtId="166" fontId="38" fillId="0" borderId="0" xfId="1" applyNumberFormat="1" applyFont="1" applyFill="1" applyBorder="1" applyAlignment="1">
      <alignment vertical="center"/>
    </xf>
    <xf numFmtId="10" fontId="38" fillId="0" borderId="47" xfId="3" applyNumberFormat="1" applyFont="1" applyFill="1" applyBorder="1" applyAlignment="1">
      <alignment vertical="center"/>
    </xf>
    <xf numFmtId="10" fontId="38" fillId="0" borderId="44" xfId="3" applyNumberFormat="1" applyFont="1" applyFill="1" applyBorder="1" applyAlignment="1">
      <alignment vertical="center"/>
    </xf>
    <xf numFmtId="10" fontId="38" fillId="0" borderId="0" xfId="3" applyNumberFormat="1" applyFont="1" applyFill="1" applyBorder="1" applyAlignment="1">
      <alignment vertical="center"/>
    </xf>
    <xf numFmtId="10" fontId="38" fillId="0" borderId="48" xfId="0" applyNumberFormat="1" applyFont="1" applyFill="1" applyBorder="1" applyAlignment="1">
      <alignment vertical="center"/>
    </xf>
    <xf numFmtId="10" fontId="38" fillId="0" borderId="49" xfId="0" applyNumberFormat="1" applyFont="1" applyFill="1" applyBorder="1" applyAlignment="1">
      <alignment vertical="center"/>
    </xf>
    <xf numFmtId="10" fontId="38" fillId="0" borderId="50" xfId="0" applyNumberFormat="1" applyFont="1" applyFill="1" applyBorder="1" applyAlignment="1">
      <alignment vertical="center"/>
    </xf>
    <xf numFmtId="10" fontId="38" fillId="0" borderId="44" xfId="3" applyNumberFormat="1" applyFont="1" applyFill="1" applyBorder="1" applyAlignment="1">
      <alignment horizontal="right" vertical="center"/>
    </xf>
    <xf numFmtId="10" fontId="38" fillId="0" borderId="45" xfId="0" applyNumberFormat="1" applyFont="1" applyFill="1" applyBorder="1" applyAlignment="1">
      <alignment horizontal="right" vertical="center"/>
    </xf>
    <xf numFmtId="16" fontId="21" fillId="7" borderId="13" xfId="0" applyNumberFormat="1" applyFont="1" applyFill="1" applyBorder="1" applyAlignment="1">
      <alignment horizontal="left" vertical="center" indent="1"/>
    </xf>
    <xf numFmtId="0" fontId="21" fillId="7" borderId="13" xfId="0" applyFont="1" applyFill="1" applyBorder="1" applyAlignment="1">
      <alignment horizontal="left" vertical="center" indent="1"/>
    </xf>
    <xf numFmtId="0" fontId="21" fillId="7" borderId="51" xfId="0" applyFont="1" applyFill="1" applyBorder="1" applyAlignment="1">
      <alignment horizontal="left" vertical="center" indent="1"/>
    </xf>
    <xf numFmtId="16" fontId="21" fillId="13" borderId="13" xfId="0" applyNumberFormat="1" applyFont="1" applyFill="1" applyBorder="1" applyAlignment="1">
      <alignment horizontal="left" vertical="center" indent="1"/>
    </xf>
    <xf numFmtId="0" fontId="21" fillId="13" borderId="13" xfId="0" applyFont="1" applyFill="1" applyBorder="1" applyAlignment="1">
      <alignment horizontal="left" vertical="center" indent="1"/>
    </xf>
    <xf numFmtId="0" fontId="21" fillId="13" borderId="51" xfId="0" applyFont="1" applyFill="1" applyBorder="1" applyAlignment="1">
      <alignment horizontal="left" vertical="center" indent="1"/>
    </xf>
    <xf numFmtId="16" fontId="21" fillId="14" borderId="13" xfId="0" applyNumberFormat="1" applyFont="1" applyFill="1" applyBorder="1" applyAlignment="1">
      <alignment horizontal="left" vertical="center" indent="1"/>
    </xf>
    <xf numFmtId="0" fontId="21" fillId="14" borderId="13" xfId="0" applyFont="1" applyFill="1" applyBorder="1" applyAlignment="1">
      <alignment horizontal="left" vertical="center" indent="1"/>
    </xf>
    <xf numFmtId="0" fontId="21" fillId="14" borderId="51" xfId="0" applyFont="1" applyFill="1" applyBorder="1" applyAlignment="1">
      <alignment horizontal="left" vertical="center" indent="1"/>
    </xf>
    <xf numFmtId="16" fontId="21" fillId="11" borderId="13" xfId="0" applyNumberFormat="1" applyFont="1" applyFill="1" applyBorder="1" applyAlignment="1">
      <alignment horizontal="left" vertical="center" indent="1"/>
    </xf>
    <xf numFmtId="0" fontId="21" fillId="11" borderId="13" xfId="0" applyFont="1" applyFill="1" applyBorder="1" applyAlignment="1">
      <alignment horizontal="left" vertical="center" indent="1"/>
    </xf>
    <xf numFmtId="0" fontId="21" fillId="11" borderId="15" xfId="0" applyFont="1" applyFill="1" applyBorder="1" applyAlignment="1">
      <alignment horizontal="left" vertical="center" indent="1"/>
    </xf>
    <xf numFmtId="166" fontId="38" fillId="0" borderId="52" xfId="1" applyNumberFormat="1" applyFont="1" applyFill="1" applyBorder="1" applyAlignment="1">
      <alignment vertical="center"/>
    </xf>
    <xf numFmtId="10" fontId="38" fillId="0" borderId="52" xfId="3" applyNumberFormat="1" applyFont="1" applyFill="1" applyBorder="1" applyAlignment="1">
      <alignment vertical="center"/>
    </xf>
    <xf numFmtId="10" fontId="38" fillId="0" borderId="53" xfId="0" applyNumberFormat="1" applyFont="1" applyFill="1" applyBorder="1" applyAlignment="1">
      <alignment vertical="center"/>
    </xf>
    <xf numFmtId="10" fontId="38" fillId="0" borderId="52" xfId="3" applyNumberFormat="1" applyFont="1" applyFill="1" applyBorder="1" applyAlignment="1">
      <alignment horizontal="right" vertical="center"/>
    </xf>
    <xf numFmtId="10" fontId="38" fillId="0" borderId="54" xfId="0" applyNumberFormat="1" applyFont="1" applyFill="1" applyBorder="1" applyAlignment="1">
      <alignment horizontal="right" vertical="center"/>
    </xf>
    <xf numFmtId="166" fontId="38" fillId="0" borderId="55" xfId="0" applyNumberFormat="1" applyFont="1" applyFill="1" applyBorder="1" applyAlignment="1">
      <alignment vertical="center"/>
    </xf>
    <xf numFmtId="10" fontId="38" fillId="0" borderId="55" xfId="3" applyNumberFormat="1" applyFont="1" applyFill="1" applyBorder="1" applyAlignment="1">
      <alignment vertical="center"/>
    </xf>
    <xf numFmtId="10" fontId="38" fillId="0" borderId="56" xfId="3" applyNumberFormat="1" applyFont="1" applyFill="1" applyBorder="1" applyAlignment="1">
      <alignment vertical="center"/>
    </xf>
    <xf numFmtId="10" fontId="38" fillId="0" borderId="57" xfId="3" applyNumberFormat="1" applyFont="1" applyFill="1" applyBorder="1" applyAlignment="1">
      <alignment vertical="center"/>
    </xf>
    <xf numFmtId="10" fontId="38" fillId="0" borderId="40" xfId="3" applyNumberFormat="1" applyFont="1" applyFill="1" applyBorder="1" applyAlignment="1">
      <alignment horizontal="right" vertical="center"/>
    </xf>
    <xf numFmtId="10" fontId="38" fillId="0" borderId="42" xfId="0" applyNumberFormat="1" applyFont="1" applyFill="1" applyBorder="1" applyAlignment="1">
      <alignment horizontal="right" vertical="center"/>
    </xf>
    <xf numFmtId="166" fontId="38" fillId="0" borderId="58" xfId="0" applyNumberFormat="1" applyFont="1" applyFill="1" applyBorder="1" applyAlignment="1">
      <alignment vertical="center"/>
    </xf>
    <xf numFmtId="166" fontId="38" fillId="0" borderId="58" xfId="1" applyNumberFormat="1" applyFont="1" applyFill="1" applyBorder="1" applyAlignment="1">
      <alignment vertical="center"/>
    </xf>
    <xf numFmtId="10" fontId="38" fillId="0" borderId="58" xfId="3" applyNumberFormat="1" applyFont="1" applyFill="1" applyBorder="1" applyAlignment="1">
      <alignment vertical="center"/>
    </xf>
    <xf numFmtId="10" fontId="38" fillId="0" borderId="59" xfId="0" applyNumberFormat="1" applyFont="1" applyFill="1" applyBorder="1" applyAlignment="1">
      <alignment vertical="center"/>
    </xf>
    <xf numFmtId="166" fontId="38" fillId="0" borderId="59" xfId="0" applyNumberFormat="1" applyFont="1" applyFill="1" applyBorder="1" applyAlignment="1">
      <alignment vertical="center"/>
    </xf>
    <xf numFmtId="16" fontId="21" fillId="0" borderId="0" xfId="0" applyNumberFormat="1" applyFont="1" applyFill="1" applyBorder="1" applyAlignment="1">
      <alignment horizontal="left" vertical="center"/>
    </xf>
    <xf numFmtId="0" fontId="21" fillId="0" borderId="0" xfId="0" applyFont="1" applyFill="1" applyBorder="1" applyAlignment="1">
      <alignment horizontal="left" vertical="center"/>
    </xf>
    <xf numFmtId="0" fontId="21" fillId="0" borderId="50" xfId="0" applyFont="1" applyFill="1" applyBorder="1" applyAlignment="1">
      <alignment horizontal="left" vertical="center"/>
    </xf>
    <xf numFmtId="0" fontId="21" fillId="0" borderId="1" xfId="0" applyFont="1" applyFill="1" applyBorder="1" applyAlignment="1">
      <alignment horizontal="left" vertical="center"/>
    </xf>
    <xf numFmtId="0" fontId="26" fillId="7" borderId="11" xfId="0" applyFont="1" applyFill="1" applyBorder="1" applyAlignment="1">
      <alignment horizontal="left" vertical="center" indent="1"/>
    </xf>
    <xf numFmtId="0" fontId="26" fillId="7" borderId="2" xfId="0" applyFont="1" applyFill="1" applyBorder="1" applyAlignment="1">
      <alignment horizontal="left" vertical="center" indent="1"/>
    </xf>
    <xf numFmtId="164" fontId="26" fillId="7" borderId="60" xfId="0" quotePrefix="1" applyNumberFormat="1" applyFont="1" applyFill="1" applyBorder="1" applyAlignment="1">
      <alignment horizontal="center" vertical="center" wrapText="1"/>
    </xf>
    <xf numFmtId="164" fontId="26" fillId="7" borderId="61" xfId="0" quotePrefix="1" applyNumberFormat="1" applyFont="1" applyFill="1" applyBorder="1" applyAlignment="1">
      <alignment horizontal="center" vertical="center" wrapText="1"/>
    </xf>
    <xf numFmtId="164" fontId="26" fillId="7" borderId="62" xfId="0" quotePrefix="1" applyNumberFormat="1" applyFont="1" applyFill="1" applyBorder="1" applyAlignment="1">
      <alignment horizontal="center" vertical="center" wrapText="1"/>
    </xf>
    <xf numFmtId="164" fontId="26" fillId="7" borderId="2" xfId="0" quotePrefix="1" applyNumberFormat="1" applyFont="1" applyFill="1" applyBorder="1" applyAlignment="1">
      <alignment horizontal="center" vertical="center" wrapText="1"/>
    </xf>
    <xf numFmtId="164" fontId="26" fillId="7" borderId="63" xfId="0" applyNumberFormat="1" applyFont="1" applyFill="1" applyBorder="1" applyAlignment="1">
      <alignment horizontal="center" vertical="center" wrapText="1"/>
    </xf>
    <xf numFmtId="0" fontId="26" fillId="0" borderId="0" xfId="0" applyFont="1" applyFill="1" applyBorder="1" applyAlignment="1">
      <alignment vertical="center"/>
    </xf>
    <xf numFmtId="16" fontId="26" fillId="13" borderId="13" xfId="0" applyNumberFormat="1" applyFont="1" applyFill="1" applyBorder="1" applyAlignment="1">
      <alignment horizontal="left" vertical="center" indent="1"/>
    </xf>
    <xf numFmtId="16" fontId="26" fillId="13" borderId="0" xfId="0" applyNumberFormat="1" applyFont="1" applyFill="1" applyBorder="1" applyAlignment="1">
      <alignment horizontal="left" vertical="center"/>
    </xf>
    <xf numFmtId="164" fontId="26" fillId="13" borderId="52" xfId="0" quotePrefix="1" applyNumberFormat="1" applyFont="1" applyFill="1" applyBorder="1" applyAlignment="1">
      <alignment horizontal="center" vertical="center" wrapText="1"/>
    </xf>
    <xf numFmtId="164" fontId="26" fillId="13" borderId="44" xfId="0" quotePrefix="1" applyNumberFormat="1" applyFont="1" applyFill="1" applyBorder="1" applyAlignment="1">
      <alignment horizontal="center" vertical="center" wrapText="1"/>
    </xf>
    <xf numFmtId="164" fontId="26" fillId="13" borderId="47" xfId="0" quotePrefix="1" applyNumberFormat="1" applyFont="1" applyFill="1" applyBorder="1" applyAlignment="1">
      <alignment horizontal="center" vertical="center" wrapText="1"/>
    </xf>
    <xf numFmtId="164" fontId="26" fillId="13" borderId="0" xfId="0" quotePrefix="1" applyNumberFormat="1" applyFont="1" applyFill="1" applyBorder="1" applyAlignment="1">
      <alignment horizontal="center" vertical="center" wrapText="1"/>
    </xf>
    <xf numFmtId="164" fontId="26" fillId="13" borderId="58" xfId="0" quotePrefix="1" applyNumberFormat="1" applyFont="1" applyFill="1" applyBorder="1" applyAlignment="1">
      <alignment horizontal="center" vertical="center" wrapText="1"/>
    </xf>
    <xf numFmtId="164" fontId="26" fillId="13" borderId="55" xfId="0" quotePrefix="1" applyNumberFormat="1" applyFont="1" applyFill="1" applyBorder="1" applyAlignment="1">
      <alignment horizontal="center" vertical="center" wrapText="1"/>
    </xf>
    <xf numFmtId="0" fontId="26" fillId="0" borderId="0" xfId="0" applyFont="1" applyAlignment="1">
      <alignment vertical="center"/>
    </xf>
    <xf numFmtId="16" fontId="26" fillId="14" borderId="13" xfId="0" applyNumberFormat="1" applyFont="1" applyFill="1" applyBorder="1" applyAlignment="1">
      <alignment horizontal="left" vertical="center" indent="1"/>
    </xf>
    <xf numFmtId="16" fontId="26" fillId="14" borderId="0" xfId="0" applyNumberFormat="1" applyFont="1" applyFill="1" applyBorder="1" applyAlignment="1">
      <alignment horizontal="left" vertical="center"/>
    </xf>
    <xf numFmtId="164" fontId="26" fillId="14" borderId="52" xfId="0" quotePrefix="1" applyNumberFormat="1" applyFont="1" applyFill="1" applyBorder="1" applyAlignment="1">
      <alignment horizontal="center" vertical="center" wrapText="1"/>
    </xf>
    <xf numFmtId="164" fontId="26" fillId="14" borderId="44" xfId="0" quotePrefix="1" applyNumberFormat="1" applyFont="1" applyFill="1" applyBorder="1" applyAlignment="1">
      <alignment horizontal="center" vertical="center" wrapText="1"/>
    </xf>
    <xf numFmtId="164" fontId="26" fillId="14" borderId="47" xfId="0" quotePrefix="1" applyNumberFormat="1" applyFont="1" applyFill="1" applyBorder="1" applyAlignment="1">
      <alignment horizontal="center" vertical="center" wrapText="1"/>
    </xf>
    <xf numFmtId="164" fontId="26" fillId="14" borderId="0" xfId="0" quotePrefix="1" applyNumberFormat="1" applyFont="1" applyFill="1" applyBorder="1" applyAlignment="1">
      <alignment horizontal="center" vertical="center" wrapText="1"/>
    </xf>
    <xf numFmtId="164" fontId="26" fillId="14" borderId="58" xfId="0" quotePrefix="1" applyNumberFormat="1" applyFont="1" applyFill="1" applyBorder="1" applyAlignment="1">
      <alignment horizontal="center" vertical="center" wrapText="1"/>
    </xf>
    <xf numFmtId="164" fontId="26" fillId="14" borderId="55" xfId="0" quotePrefix="1" applyNumberFormat="1" applyFont="1" applyFill="1" applyBorder="1" applyAlignment="1">
      <alignment horizontal="center" vertical="center" wrapText="1"/>
    </xf>
    <xf numFmtId="16" fontId="26" fillId="11" borderId="13" xfId="0" applyNumberFormat="1" applyFont="1" applyFill="1" applyBorder="1" applyAlignment="1">
      <alignment horizontal="left" vertical="center" indent="1"/>
    </xf>
    <xf numFmtId="16" fontId="26" fillId="11" borderId="0" xfId="0" applyNumberFormat="1" applyFont="1" applyFill="1" applyBorder="1" applyAlignment="1">
      <alignment horizontal="left" vertical="center"/>
    </xf>
    <xf numFmtId="164" fontId="26" fillId="11" borderId="52" xfId="0" quotePrefix="1" applyNumberFormat="1" applyFont="1" applyFill="1" applyBorder="1" applyAlignment="1">
      <alignment horizontal="center" vertical="center" wrapText="1"/>
    </xf>
    <xf numFmtId="164" fontId="26" fillId="11" borderId="44" xfId="0" quotePrefix="1" applyNumberFormat="1" applyFont="1" applyFill="1" applyBorder="1" applyAlignment="1">
      <alignment horizontal="center" vertical="center" wrapText="1"/>
    </xf>
    <xf numFmtId="164" fontId="26" fillId="11" borderId="47" xfId="0" quotePrefix="1" applyNumberFormat="1" applyFont="1" applyFill="1" applyBorder="1" applyAlignment="1">
      <alignment horizontal="center" vertical="center" wrapText="1"/>
    </xf>
    <xf numFmtId="164" fontId="26" fillId="11" borderId="44" xfId="0" applyNumberFormat="1" applyFont="1" applyFill="1" applyBorder="1" applyAlignment="1">
      <alignment horizontal="center" vertical="center" wrapText="1"/>
    </xf>
    <xf numFmtId="164" fontId="26" fillId="11" borderId="0" xfId="0" quotePrefix="1" applyNumberFormat="1" applyFont="1" applyFill="1" applyBorder="1" applyAlignment="1">
      <alignment horizontal="center" vertical="center" wrapText="1"/>
    </xf>
    <xf numFmtId="164" fontId="26" fillId="11" borderId="58" xfId="0" quotePrefix="1" applyNumberFormat="1" applyFont="1" applyFill="1" applyBorder="1" applyAlignment="1">
      <alignment horizontal="center" vertical="center" wrapText="1"/>
    </xf>
    <xf numFmtId="164" fontId="26" fillId="11" borderId="55" xfId="0" quotePrefix="1" applyNumberFormat="1" applyFont="1" applyFill="1" applyBorder="1" applyAlignment="1">
      <alignment horizontal="center" vertical="center" wrapText="1"/>
    </xf>
    <xf numFmtId="166" fontId="38" fillId="0" borderId="44" xfId="1" applyNumberFormat="1" applyFont="1" applyFill="1" applyBorder="1" applyAlignment="1">
      <alignment horizontal="right" vertical="center"/>
    </xf>
    <xf numFmtId="166" fontId="38" fillId="0" borderId="0" xfId="1" applyNumberFormat="1" applyFont="1" applyFill="1" applyBorder="1" applyAlignment="1">
      <alignment horizontal="right" vertical="center"/>
    </xf>
    <xf numFmtId="167" fontId="38" fillId="0" borderId="44" xfId="3" applyNumberFormat="1" applyFont="1" applyFill="1" applyBorder="1" applyAlignment="1">
      <alignment vertical="center"/>
    </xf>
    <xf numFmtId="167" fontId="38" fillId="0" borderId="49" xfId="0" applyNumberFormat="1" applyFont="1" applyFill="1" applyBorder="1" applyAlignment="1">
      <alignment vertical="center"/>
    </xf>
    <xf numFmtId="0" fontId="22" fillId="0" borderId="11" xfId="0" applyFont="1" applyFill="1" applyBorder="1" applyAlignment="1">
      <alignment horizontal="center" vertical="center" wrapText="1"/>
    </xf>
    <xf numFmtId="0" fontId="22" fillId="0" borderId="36"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21" xfId="0" applyFont="1" applyFill="1" applyBorder="1" applyAlignment="1">
      <alignment horizontal="center" vertical="center" wrapText="1"/>
    </xf>
    <xf numFmtId="38" fontId="38" fillId="0" borderId="13" xfId="0" applyNumberFormat="1" applyFont="1" applyFill="1" applyBorder="1" applyAlignment="1">
      <alignment vertical="center"/>
    </xf>
    <xf numFmtId="167" fontId="38" fillId="0" borderId="13" xfId="3" applyNumberFormat="1" applyFont="1" applyFill="1" applyBorder="1" applyAlignment="1">
      <alignment vertical="center"/>
    </xf>
    <xf numFmtId="167" fontId="38" fillId="0" borderId="51" xfId="3" applyNumberFormat="1" applyFont="1" applyFill="1" applyBorder="1" applyAlignment="1">
      <alignment vertical="center"/>
    </xf>
    <xf numFmtId="167" fontId="38" fillId="0" borderId="15" xfId="3" applyNumberFormat="1" applyFont="1" applyFill="1" applyBorder="1" applyAlignment="1">
      <alignment vertical="center"/>
    </xf>
    <xf numFmtId="10" fontId="38" fillId="0" borderId="64" xfId="0" applyNumberFormat="1" applyFont="1" applyFill="1" applyBorder="1" applyAlignment="1">
      <alignment vertical="center"/>
    </xf>
    <xf numFmtId="164" fontId="26" fillId="7" borderId="65" xfId="0" applyNumberFormat="1" applyFont="1" applyFill="1" applyBorder="1" applyAlignment="1">
      <alignment horizontal="center" vertical="center" wrapText="1"/>
    </xf>
    <xf numFmtId="171" fontId="45" fillId="0" borderId="14" xfId="3" applyNumberFormat="1" applyFont="1" applyFill="1" applyBorder="1"/>
    <xf numFmtId="10" fontId="15" fillId="3" borderId="4" xfId="3" applyNumberFormat="1" applyFont="1" applyFill="1" applyBorder="1" applyAlignment="1">
      <alignment horizontal="right"/>
    </xf>
    <xf numFmtId="10" fontId="15" fillId="3" borderId="3" xfId="3" applyNumberFormat="1" applyFont="1" applyFill="1" applyBorder="1" applyAlignment="1">
      <alignment horizontal="right"/>
    </xf>
    <xf numFmtId="40" fontId="15" fillId="3" borderId="4" xfId="1" applyNumberFormat="1" applyFont="1" applyFill="1" applyBorder="1" applyAlignment="1">
      <alignment horizontal="right"/>
    </xf>
    <xf numFmtId="10" fontId="30" fillId="0" borderId="3" xfId="3" applyNumberFormat="1" applyFont="1" applyBorder="1" applyAlignment="1">
      <alignment horizontal="right"/>
    </xf>
    <xf numFmtId="40" fontId="30" fillId="0" borderId="4" xfId="1" applyNumberFormat="1" applyFont="1" applyBorder="1" applyAlignment="1">
      <alignment horizontal="right"/>
    </xf>
    <xf numFmtId="0" fontId="0" fillId="0" borderId="5" xfId="0" applyBorder="1" applyAlignment="1">
      <alignment horizontal="right"/>
    </xf>
    <xf numFmtId="166" fontId="15" fillId="0" borderId="3" xfId="1" applyNumberFormat="1" applyFont="1" applyBorder="1" applyAlignment="1">
      <alignment horizontal="right"/>
    </xf>
    <xf numFmtId="166" fontId="24" fillId="0" borderId="3" xfId="1" applyNumberFormat="1" applyFont="1" applyBorder="1" applyAlignment="1">
      <alignment horizontal="right"/>
    </xf>
    <xf numFmtId="166" fontId="24" fillId="0" borderId="8" xfId="1" applyNumberFormat="1" applyFont="1" applyBorder="1" applyAlignment="1">
      <alignment horizontal="right"/>
    </xf>
    <xf numFmtId="168" fontId="24" fillId="0" borderId="3" xfId="1" applyNumberFormat="1" applyFont="1" applyBorder="1" applyAlignment="1">
      <alignment horizontal="right"/>
    </xf>
    <xf numFmtId="166" fontId="24" fillId="0" borderId="4" xfId="1" applyNumberFormat="1" applyFont="1" applyBorder="1" applyAlignment="1">
      <alignment horizontal="right"/>
    </xf>
    <xf numFmtId="166" fontId="0" fillId="0" borderId="3" xfId="0" applyNumberFormat="1" applyBorder="1" applyAlignment="1">
      <alignment horizontal="right"/>
    </xf>
    <xf numFmtId="43" fontId="33" fillId="0" borderId="4" xfId="1" applyFont="1" applyBorder="1" applyAlignment="1">
      <alignment horizontal="right"/>
    </xf>
    <xf numFmtId="43" fontId="0" fillId="0" borderId="3" xfId="0" applyNumberFormat="1" applyBorder="1" applyAlignment="1">
      <alignment horizontal="right"/>
    </xf>
    <xf numFmtId="166" fontId="15" fillId="0" borderId="9" xfId="1" applyNumberFormat="1" applyFont="1" applyBorder="1" applyAlignment="1">
      <alignment horizontal="right"/>
    </xf>
    <xf numFmtId="10" fontId="15" fillId="0" borderId="4" xfId="3" applyNumberFormat="1" applyFont="1" applyBorder="1" applyAlignment="1">
      <alignment horizontal="right"/>
    </xf>
    <xf numFmtId="2" fontId="24" fillId="0" borderId="3" xfId="0" applyNumberFormat="1" applyFont="1" applyBorder="1" applyAlignment="1">
      <alignment horizontal="right"/>
    </xf>
    <xf numFmtId="2" fontId="0" fillId="0" borderId="4" xfId="0" applyNumberFormat="1" applyBorder="1" applyAlignment="1">
      <alignment horizontal="right"/>
    </xf>
    <xf numFmtId="43" fontId="15" fillId="0" borderId="4" xfId="1" applyFont="1" applyBorder="1" applyAlignment="1">
      <alignment horizontal="right"/>
    </xf>
    <xf numFmtId="5" fontId="15" fillId="3" borderId="3" xfId="2" applyNumberFormat="1" applyFont="1" applyFill="1" applyBorder="1" applyAlignment="1">
      <alignment horizontal="right"/>
    </xf>
    <xf numFmtId="7" fontId="15" fillId="0" borderId="3" xfId="2" applyNumberFormat="1" applyFont="1" applyBorder="1" applyAlignment="1">
      <alignment horizontal="right"/>
    </xf>
    <xf numFmtId="7" fontId="15" fillId="3" borderId="3" xfId="2" applyNumberFormat="1" applyFont="1" applyFill="1" applyBorder="1" applyAlignment="1">
      <alignment horizontal="right"/>
    </xf>
    <xf numFmtId="10" fontId="15" fillId="0" borderId="8" xfId="3" applyNumberFormat="1" applyFont="1" applyBorder="1" applyAlignment="1">
      <alignment horizontal="right"/>
    </xf>
    <xf numFmtId="10" fontId="15" fillId="3" borderId="8" xfId="3" applyNumberFormat="1" applyFont="1" applyFill="1" applyBorder="1" applyAlignment="1">
      <alignment horizontal="right"/>
    </xf>
    <xf numFmtId="7" fontId="33" fillId="0" borderId="3" xfId="1" applyNumberFormat="1" applyFont="1" applyBorder="1" applyAlignment="1">
      <alignment horizontal="right"/>
    </xf>
    <xf numFmtId="0" fontId="0" fillId="0" borderId="3" xfId="0" applyFont="1" applyBorder="1" applyAlignment="1">
      <alignment horizontal="right"/>
    </xf>
    <xf numFmtId="10" fontId="24" fillId="0" borderId="3" xfId="3" applyNumberFormat="1" applyFont="1" applyBorder="1" applyAlignment="1">
      <alignment horizontal="right"/>
    </xf>
    <xf numFmtId="10" fontId="24" fillId="0" borderId="8" xfId="3" applyNumberFormat="1" applyFont="1" applyBorder="1" applyAlignment="1">
      <alignment horizontal="right"/>
    </xf>
    <xf numFmtId="170" fontId="24" fillId="0" borderId="4" xfId="1" applyNumberFormat="1" applyFont="1" applyBorder="1" applyAlignment="1">
      <alignment horizontal="right"/>
    </xf>
    <xf numFmtId="5" fontId="50" fillId="0" borderId="3" xfId="1" applyNumberFormat="1" applyFont="1" applyFill="1" applyBorder="1" applyAlignment="1">
      <alignment horizontal="right"/>
    </xf>
    <xf numFmtId="5" fontId="50" fillId="3" borderId="3" xfId="2" applyNumberFormat="1" applyFont="1" applyFill="1" applyBorder="1"/>
    <xf numFmtId="5" fontId="50" fillId="3" borderId="3" xfId="1" applyNumberFormat="1" applyFont="1" applyFill="1" applyBorder="1" applyAlignment="1">
      <alignment horizontal="right"/>
    </xf>
    <xf numFmtId="166" fontId="50" fillId="0" borderId="3" xfId="1" applyNumberFormat="1" applyFont="1" applyBorder="1" applyAlignment="1">
      <alignment horizontal="right"/>
    </xf>
    <xf numFmtId="10" fontId="38" fillId="0" borderId="21" xfId="3" applyNumberFormat="1" applyFont="1" applyFill="1" applyBorder="1" applyAlignment="1">
      <alignment vertical="center"/>
    </xf>
    <xf numFmtId="10" fontId="38" fillId="0" borderId="66" xfId="3" applyNumberFormat="1" applyFont="1" applyFill="1" applyBorder="1" applyAlignment="1">
      <alignment vertical="center"/>
    </xf>
    <xf numFmtId="10" fontId="22" fillId="0" borderId="21" xfId="0" applyNumberFormat="1" applyFont="1" applyFill="1" applyBorder="1" applyAlignment="1">
      <alignment horizontal="center" vertical="center" wrapText="1"/>
    </xf>
    <xf numFmtId="10" fontId="38" fillId="0" borderId="34" xfId="3" applyNumberFormat="1" applyFont="1" applyFill="1" applyBorder="1" applyAlignment="1">
      <alignment vertical="center"/>
    </xf>
    <xf numFmtId="0" fontId="51" fillId="0" borderId="0" xfId="0" applyFont="1" applyBorder="1" applyAlignment="1">
      <alignment horizontal="center"/>
    </xf>
    <xf numFmtId="0" fontId="51" fillId="12" borderId="0" xfId="0" applyFont="1" applyFill="1" applyBorder="1" applyAlignment="1">
      <alignment horizontal="center"/>
    </xf>
    <xf numFmtId="10" fontId="37" fillId="3" borderId="5" xfId="0" applyNumberFormat="1" applyFont="1" applyFill="1" applyBorder="1" applyAlignment="1">
      <alignment horizontal="center" vertical="center" wrapText="1"/>
    </xf>
    <xf numFmtId="38" fontId="0" fillId="0" borderId="15" xfId="0" applyNumberFormat="1" applyFont="1" applyBorder="1"/>
    <xf numFmtId="171" fontId="15" fillId="0" borderId="10" xfId="3" applyNumberFormat="1" applyFont="1" applyBorder="1"/>
    <xf numFmtId="40" fontId="0" fillId="0" borderId="11" xfId="0" applyNumberFormat="1" applyFont="1" applyBorder="1"/>
    <xf numFmtId="171" fontId="15" fillId="0" borderId="12" xfId="3" applyNumberFormat="1" applyFont="1" applyBorder="1"/>
    <xf numFmtId="38" fontId="15" fillId="0" borderId="13" xfId="1" applyNumberFormat="1" applyFont="1" applyBorder="1"/>
    <xf numFmtId="171" fontId="15" fillId="0" borderId="14" xfId="3" applyNumberFormat="1" applyFont="1" applyBorder="1"/>
    <xf numFmtId="40" fontId="15" fillId="0" borderId="13" xfId="1" applyNumberFormat="1" applyFont="1" applyBorder="1"/>
    <xf numFmtId="40" fontId="15" fillId="0" borderId="13" xfId="3" applyNumberFormat="1" applyFont="1" applyBorder="1"/>
    <xf numFmtId="40" fontId="15" fillId="0" borderId="15" xfId="1" applyNumberFormat="1" applyFont="1" applyFill="1" applyBorder="1"/>
    <xf numFmtId="171" fontId="15" fillId="0" borderId="16" xfId="3" applyNumberFormat="1" applyFont="1" applyFill="1" applyBorder="1"/>
    <xf numFmtId="38" fontId="15" fillId="0" borderId="19" xfId="1" applyNumberFormat="1" applyFont="1" applyBorder="1"/>
    <xf numFmtId="171" fontId="15" fillId="0" borderId="18" xfId="3" applyNumberFormat="1" applyFont="1" applyBorder="1"/>
    <xf numFmtId="169" fontId="15" fillId="0" borderId="13" xfId="1" applyNumberFormat="1" applyFont="1" applyBorder="1"/>
    <xf numFmtId="38" fontId="15" fillId="0" borderId="15" xfId="1" applyNumberFormat="1" applyFont="1" applyBorder="1"/>
    <xf numFmtId="171" fontId="15" fillId="0" borderId="16" xfId="3" applyNumberFormat="1" applyFont="1" applyBorder="1"/>
    <xf numFmtId="40" fontId="15" fillId="0" borderId="15" xfId="1" applyNumberFormat="1" applyFont="1" applyBorder="1"/>
    <xf numFmtId="38" fontId="0" fillId="0" borderId="13" xfId="0" applyNumberFormat="1" applyFont="1" applyBorder="1"/>
    <xf numFmtId="38" fontId="0" fillId="0" borderId="22" xfId="0" applyNumberFormat="1" applyFont="1" applyBorder="1"/>
    <xf numFmtId="171" fontId="15" fillId="0" borderId="17" xfId="3" applyNumberFormat="1" applyFont="1" applyBorder="1"/>
    <xf numFmtId="40" fontId="15" fillId="0" borderId="33" xfId="3" applyNumberFormat="1" applyFont="1" applyBorder="1"/>
    <xf numFmtId="171" fontId="15" fillId="0" borderId="32" xfId="3" applyNumberFormat="1" applyFont="1" applyBorder="1"/>
    <xf numFmtId="40" fontId="0" fillId="0" borderId="15" xfId="0" applyNumberFormat="1" applyFont="1" applyBorder="1"/>
    <xf numFmtId="6" fontId="15" fillId="0" borderId="13" xfId="1" applyNumberFormat="1" applyFont="1" applyBorder="1"/>
    <xf numFmtId="8" fontId="15" fillId="0" borderId="13" xfId="1" applyNumberFormat="1" applyFont="1" applyBorder="1"/>
    <xf numFmtId="40" fontId="15" fillId="0" borderId="19" xfId="3" applyNumberFormat="1" applyFont="1" applyBorder="1"/>
    <xf numFmtId="40" fontId="15" fillId="0" borderId="15" xfId="3" applyNumberFormat="1" applyFont="1" applyBorder="1"/>
    <xf numFmtId="40" fontId="0" fillId="0" borderId="13" xfId="0" applyNumberFormat="1" applyFont="1" applyBorder="1" applyAlignment="1">
      <alignment horizontal="right"/>
    </xf>
    <xf numFmtId="171" fontId="15" fillId="0" borderId="14" xfId="3" applyNumberFormat="1" applyFont="1" applyBorder="1" applyAlignment="1">
      <alignment horizontal="right"/>
    </xf>
    <xf numFmtId="38" fontId="0" fillId="0" borderId="19" xfId="0" applyNumberFormat="1" applyFont="1" applyBorder="1"/>
    <xf numFmtId="171" fontId="15" fillId="0" borderId="46" xfId="3" applyNumberFormat="1" applyFont="1" applyBorder="1"/>
    <xf numFmtId="171" fontId="15" fillId="0" borderId="21" xfId="3" applyNumberFormat="1" applyFont="1" applyBorder="1"/>
    <xf numFmtId="2" fontId="15" fillId="0" borderId="19" xfId="3" applyNumberFormat="1" applyFont="1" applyBorder="1"/>
    <xf numFmtId="2" fontId="15" fillId="0" borderId="13" xfId="3" applyNumberFormat="1" applyFont="1" applyBorder="1"/>
    <xf numFmtId="173" fontId="15" fillId="0" borderId="15" xfId="1" applyNumberFormat="1" applyFont="1" applyBorder="1"/>
    <xf numFmtId="40" fontId="19" fillId="0" borderId="0" xfId="0" applyNumberFormat="1" applyFont="1" applyBorder="1" applyAlignment="1">
      <alignment horizontal="center" vertical="center" wrapText="1"/>
    </xf>
    <xf numFmtId="171" fontId="15" fillId="0" borderId="0" xfId="3" applyNumberFormat="1" applyFont="1" applyBorder="1"/>
    <xf numFmtId="171" fontId="15" fillId="0" borderId="1" xfId="3" applyNumberFormat="1" applyFont="1" applyBorder="1"/>
    <xf numFmtId="40" fontId="19" fillId="0" borderId="1" xfId="0" applyNumberFormat="1" applyFont="1" applyBorder="1" applyAlignment="1">
      <alignment horizontal="center" vertical="center" wrapText="1"/>
    </xf>
    <xf numFmtId="171" fontId="30" fillId="0" borderId="1" xfId="3" applyNumberFormat="1" applyFont="1" applyBorder="1"/>
    <xf numFmtId="171" fontId="30" fillId="0" borderId="2" xfId="3" applyNumberFormat="1" applyFont="1" applyBorder="1"/>
    <xf numFmtId="171" fontId="30" fillId="0" borderId="0" xfId="3" applyNumberFormat="1" applyFont="1" applyBorder="1"/>
    <xf numFmtId="171" fontId="30" fillId="0" borderId="1" xfId="3" applyNumberFormat="1" applyFont="1" applyFill="1" applyBorder="1"/>
    <xf numFmtId="171" fontId="30" fillId="0" borderId="6" xfId="3" applyNumberFormat="1" applyFont="1" applyBorder="1"/>
    <xf numFmtId="171" fontId="30" fillId="0" borderId="0" xfId="3" applyNumberFormat="1" applyFont="1" applyBorder="1" applyAlignment="1">
      <alignment horizontal="right"/>
    </xf>
    <xf numFmtId="171" fontId="30" fillId="0" borderId="7" xfId="3" applyNumberFormat="1" applyFont="1" applyBorder="1"/>
    <xf numFmtId="171" fontId="45" fillId="0" borderId="7" xfId="3" applyNumberFormat="1" applyFont="1" applyBorder="1"/>
    <xf numFmtId="166" fontId="23" fillId="0" borderId="4" xfId="0" applyNumberFormat="1" applyFont="1" applyFill="1" applyBorder="1" applyAlignment="1">
      <alignment horizontal="right"/>
    </xf>
    <xf numFmtId="166" fontId="23" fillId="3" borderId="4" xfId="0" applyNumberFormat="1" applyFont="1" applyFill="1" applyBorder="1" applyAlignment="1">
      <alignment horizontal="right"/>
    </xf>
    <xf numFmtId="43" fontId="29" fillId="0" borderId="1" xfId="0" applyNumberFormat="1" applyFont="1" applyFill="1" applyBorder="1" applyAlignment="1">
      <alignment horizontal="right"/>
    </xf>
    <xf numFmtId="0" fontId="29" fillId="0" borderId="34" xfId="0" applyFont="1" applyFill="1" applyBorder="1" applyAlignment="1">
      <alignment horizontal="right"/>
    </xf>
    <xf numFmtId="164" fontId="39" fillId="9" borderId="20" xfId="0" quotePrefix="1" applyNumberFormat="1" applyFont="1" applyFill="1" applyBorder="1" applyAlignment="1">
      <alignment horizontal="center" vertical="center" wrapText="1"/>
    </xf>
    <xf numFmtId="166" fontId="30" fillId="9" borderId="4" xfId="1" applyNumberFormat="1" applyFont="1" applyFill="1" applyBorder="1" applyAlignment="1">
      <alignment horizontal="right"/>
    </xf>
    <xf numFmtId="0" fontId="37" fillId="9" borderId="5" xfId="0" applyFont="1" applyFill="1" applyBorder="1" applyAlignment="1">
      <alignment horizontal="center" vertical="center" wrapText="1"/>
    </xf>
    <xf numFmtId="166" fontId="24" fillId="9" borderId="3" xfId="1" applyNumberFormat="1" applyFont="1" applyFill="1" applyBorder="1" applyAlignment="1">
      <alignment horizontal="right"/>
    </xf>
    <xf numFmtId="166" fontId="30" fillId="9" borderId="3" xfId="1" applyNumberFormat="1" applyFont="1" applyFill="1" applyBorder="1"/>
    <xf numFmtId="43" fontId="24" fillId="9" borderId="3" xfId="1" applyFont="1" applyFill="1" applyBorder="1" applyAlignment="1">
      <alignment horizontal="right"/>
    </xf>
    <xf numFmtId="10" fontId="15" fillId="9" borderId="3" xfId="3" applyNumberFormat="1" applyFont="1" applyFill="1" applyBorder="1"/>
    <xf numFmtId="40" fontId="15" fillId="9" borderId="4" xfId="1" applyNumberFormat="1" applyFont="1" applyFill="1" applyBorder="1"/>
    <xf numFmtId="0" fontId="0" fillId="9" borderId="5" xfId="0" applyFill="1" applyBorder="1" applyAlignment="1">
      <alignment horizontal="right"/>
    </xf>
    <xf numFmtId="166" fontId="30" fillId="9" borderId="3" xfId="1" applyNumberFormat="1" applyFont="1" applyFill="1" applyBorder="1" applyAlignment="1">
      <alignment horizontal="right"/>
    </xf>
    <xf numFmtId="166" fontId="24" fillId="9" borderId="8" xfId="1" applyNumberFormat="1" applyFont="1" applyFill="1" applyBorder="1" applyAlignment="1">
      <alignment horizontal="right"/>
    </xf>
    <xf numFmtId="168" fontId="24" fillId="9" borderId="3" xfId="1" applyNumberFormat="1" applyFont="1" applyFill="1" applyBorder="1" applyAlignment="1">
      <alignment horizontal="right"/>
    </xf>
    <xf numFmtId="166" fontId="24" fillId="9" borderId="4" xfId="1" applyNumberFormat="1" applyFont="1" applyFill="1" applyBorder="1" applyAlignment="1">
      <alignment horizontal="right"/>
    </xf>
    <xf numFmtId="0" fontId="0" fillId="9" borderId="3" xfId="0" applyFill="1" applyBorder="1" applyAlignment="1">
      <alignment horizontal="right"/>
    </xf>
    <xf numFmtId="2" fontId="24" fillId="9" borderId="3" xfId="0" applyNumberFormat="1" applyFont="1" applyFill="1" applyBorder="1" applyAlignment="1">
      <alignment horizontal="right"/>
    </xf>
    <xf numFmtId="43" fontId="33" fillId="9" borderId="3" xfId="1" applyFont="1" applyFill="1" applyBorder="1" applyAlignment="1">
      <alignment horizontal="right"/>
    </xf>
    <xf numFmtId="43" fontId="33" fillId="9" borderId="4" xfId="1" applyFont="1" applyFill="1" applyBorder="1" applyAlignment="1">
      <alignment horizontal="right"/>
    </xf>
    <xf numFmtId="166" fontId="15" fillId="9" borderId="9" xfId="1" applyNumberFormat="1" applyFont="1" applyFill="1" applyBorder="1" applyAlignment="1">
      <alignment horizontal="right"/>
    </xf>
    <xf numFmtId="10" fontId="15" fillId="9" borderId="4" xfId="3" applyNumberFormat="1" applyFont="1" applyFill="1" applyBorder="1"/>
    <xf numFmtId="5" fontId="0" fillId="9" borderId="3" xfId="0" applyNumberFormat="1" applyFill="1" applyBorder="1" applyAlignment="1">
      <alignment horizontal="right"/>
    </xf>
    <xf numFmtId="7" fontId="15" fillId="9" borderId="3" xfId="2" applyNumberFormat="1" applyFont="1" applyFill="1" applyBorder="1"/>
    <xf numFmtId="10" fontId="15" fillId="9" borderId="8" xfId="3" applyNumberFormat="1" applyFont="1" applyFill="1" applyBorder="1"/>
    <xf numFmtId="5" fontId="30" fillId="9" borderId="3" xfId="1" applyNumberFormat="1" applyFont="1" applyFill="1" applyBorder="1" applyAlignment="1">
      <alignment horizontal="right"/>
    </xf>
    <xf numFmtId="7" fontId="33" fillId="9" borderId="3" xfId="1" applyNumberFormat="1" applyFont="1" applyFill="1" applyBorder="1" applyAlignment="1">
      <alignment horizontal="right"/>
    </xf>
    <xf numFmtId="8" fontId="33" fillId="0" borderId="13" xfId="1" applyNumberFormat="1" applyFont="1" applyBorder="1"/>
    <xf numFmtId="0" fontId="0" fillId="9" borderId="3" xfId="0" applyFont="1" applyFill="1" applyBorder="1" applyAlignment="1">
      <alignment horizontal="right"/>
    </xf>
    <xf numFmtId="16" fontId="0" fillId="0" borderId="23" xfId="0" quotePrefix="1" applyNumberFormat="1" applyBorder="1" applyAlignment="1">
      <alignment horizontal="center" vertical="top"/>
    </xf>
    <xf numFmtId="0" fontId="0" fillId="0" borderId="0" xfId="0" quotePrefix="1" applyBorder="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Border="1" applyAlignment="1">
      <alignment horizontal="center" vertical="top"/>
    </xf>
    <xf numFmtId="0" fontId="0" fillId="0" borderId="67" xfId="0" applyBorder="1" applyAlignment="1">
      <alignment horizontal="center" vertical="top"/>
    </xf>
    <xf numFmtId="0" fontId="0" fillId="0" borderId="68" xfId="0" applyBorder="1" applyAlignment="1">
      <alignment horizontal="center" vertical="top"/>
    </xf>
    <xf numFmtId="0" fontId="0" fillId="0" borderId="69" xfId="0" applyBorder="1" applyAlignment="1">
      <alignment vertical="top"/>
    </xf>
    <xf numFmtId="167" fontId="15" fillId="9" borderId="4" xfId="3" applyNumberFormat="1" applyFont="1" applyFill="1" applyBorder="1"/>
    <xf numFmtId="43" fontId="15" fillId="0" borderId="4" xfId="1" applyFont="1" applyFill="1" applyBorder="1" applyAlignment="1">
      <alignment horizontal="right"/>
    </xf>
    <xf numFmtId="43" fontId="15" fillId="9" borderId="4" xfId="1" applyFont="1" applyFill="1" applyBorder="1" applyAlignment="1">
      <alignment horizontal="right"/>
    </xf>
    <xf numFmtId="43" fontId="15" fillId="3" borderId="4" xfId="1" applyFont="1" applyFill="1" applyBorder="1" applyAlignment="1">
      <alignment horizontal="right"/>
    </xf>
    <xf numFmtId="38" fontId="25" fillId="2" borderId="3" xfId="0" applyNumberFormat="1" applyFont="1" applyFill="1" applyBorder="1" applyAlignment="1">
      <alignment horizontal="center"/>
    </xf>
    <xf numFmtId="7" fontId="15" fillId="6" borderId="13" xfId="2" applyNumberFormat="1" applyFont="1" applyFill="1" applyBorder="1" applyAlignment="1">
      <alignment horizontal="right"/>
    </xf>
    <xf numFmtId="7" fontId="15" fillId="6" borderId="3" xfId="2" applyNumberFormat="1" applyFont="1" applyFill="1" applyBorder="1" applyAlignment="1">
      <alignment horizontal="right"/>
    </xf>
    <xf numFmtId="0" fontId="38" fillId="0" borderId="13" xfId="0" applyFont="1" applyFill="1" applyBorder="1" applyAlignment="1">
      <alignment horizontal="center" vertical="center"/>
    </xf>
    <xf numFmtId="0" fontId="38" fillId="0" borderId="21" xfId="0" applyFont="1" applyFill="1" applyBorder="1" applyAlignment="1">
      <alignment horizontal="center" vertical="center"/>
    </xf>
    <xf numFmtId="0" fontId="38" fillId="0" borderId="51" xfId="0" applyFont="1" applyFill="1" applyBorder="1" applyAlignment="1">
      <alignment horizontal="center" vertical="center"/>
    </xf>
    <xf numFmtId="43" fontId="38" fillId="0" borderId="66" xfId="0" applyNumberFormat="1" applyFont="1" applyFill="1" applyBorder="1" applyAlignment="1">
      <alignment horizontal="center" vertical="center"/>
    </xf>
    <xf numFmtId="16" fontId="21" fillId="15" borderId="13" xfId="0" applyNumberFormat="1" applyFont="1" applyFill="1" applyBorder="1" applyAlignment="1">
      <alignment horizontal="left" vertical="center" indent="1"/>
    </xf>
    <xf numFmtId="0" fontId="21" fillId="15" borderId="13" xfId="0" applyFont="1" applyFill="1" applyBorder="1" applyAlignment="1">
      <alignment horizontal="left" vertical="center" indent="1"/>
    </xf>
    <xf numFmtId="0" fontId="21" fillId="15" borderId="15" xfId="0" applyFont="1" applyFill="1" applyBorder="1" applyAlignment="1">
      <alignment horizontal="left" vertical="center" indent="1"/>
    </xf>
    <xf numFmtId="16" fontId="26" fillId="15" borderId="11" xfId="0" applyNumberFormat="1" applyFont="1" applyFill="1" applyBorder="1" applyAlignment="1">
      <alignment horizontal="left" vertical="center" indent="1"/>
    </xf>
    <xf numFmtId="16" fontId="26" fillId="15" borderId="2" xfId="0" applyNumberFormat="1" applyFont="1" applyFill="1" applyBorder="1" applyAlignment="1">
      <alignment horizontal="left" vertical="center"/>
    </xf>
    <xf numFmtId="164" fontId="26" fillId="15" borderId="60" xfId="0" quotePrefix="1" applyNumberFormat="1" applyFont="1" applyFill="1" applyBorder="1" applyAlignment="1">
      <alignment horizontal="center" vertical="center" wrapText="1"/>
    </xf>
    <xf numFmtId="164" fontId="26" fillId="15" borderId="61" xfId="0" quotePrefix="1" applyNumberFormat="1" applyFont="1" applyFill="1" applyBorder="1" applyAlignment="1">
      <alignment horizontal="center" vertical="center" wrapText="1"/>
    </xf>
    <xf numFmtId="164" fontId="26" fillId="15" borderId="62" xfId="0" quotePrefix="1" applyNumberFormat="1" applyFont="1" applyFill="1" applyBorder="1" applyAlignment="1">
      <alignment horizontal="center" vertical="center" wrapText="1"/>
    </xf>
    <xf numFmtId="164" fontId="26" fillId="15" borderId="61" xfId="0" applyNumberFormat="1" applyFont="1" applyFill="1" applyBorder="1" applyAlignment="1">
      <alignment horizontal="center" vertical="center" wrapText="1"/>
    </xf>
    <xf numFmtId="164" fontId="26" fillId="15" borderId="2" xfId="0" quotePrefix="1" applyNumberFormat="1" applyFont="1" applyFill="1" applyBorder="1" applyAlignment="1">
      <alignment horizontal="center" vertical="center" wrapText="1"/>
    </xf>
    <xf numFmtId="164" fontId="26" fillId="15" borderId="65" xfId="0" quotePrefix="1" applyNumberFormat="1" applyFont="1" applyFill="1" applyBorder="1" applyAlignment="1">
      <alignment horizontal="center" vertical="center" wrapText="1"/>
    </xf>
    <xf numFmtId="164" fontId="26" fillId="15" borderId="63" xfId="0" quotePrefix="1" applyNumberFormat="1" applyFont="1" applyFill="1" applyBorder="1" applyAlignment="1">
      <alignment horizontal="center" vertical="center" wrapText="1"/>
    </xf>
    <xf numFmtId="10" fontId="22" fillId="0" borderId="36" xfId="0" applyNumberFormat="1" applyFont="1" applyFill="1" applyBorder="1" applyAlignment="1">
      <alignment horizontal="center" vertical="center" wrapText="1"/>
    </xf>
    <xf numFmtId="0" fontId="0" fillId="16" borderId="11" xfId="0" applyFill="1" applyBorder="1"/>
    <xf numFmtId="0" fontId="48" fillId="16" borderId="61" xfId="0" applyFont="1" applyFill="1" applyBorder="1" applyAlignment="1">
      <alignment horizontal="center"/>
    </xf>
    <xf numFmtId="40" fontId="48" fillId="16" borderId="2" xfId="0" applyNumberFormat="1" applyFont="1" applyFill="1" applyBorder="1" applyAlignment="1">
      <alignment horizontal="center"/>
    </xf>
    <xf numFmtId="171" fontId="48" fillId="16" borderId="2" xfId="3" applyNumberFormat="1" applyFont="1" applyFill="1" applyBorder="1" applyAlignment="1">
      <alignment horizontal="center"/>
    </xf>
    <xf numFmtId="0" fontId="48" fillId="16" borderId="2" xfId="0" applyFont="1" applyFill="1" applyBorder="1" applyAlignment="1">
      <alignment horizontal="center"/>
    </xf>
    <xf numFmtId="0" fontId="19" fillId="16" borderId="15" xfId="0" applyFont="1" applyFill="1" applyBorder="1" applyAlignment="1">
      <alignment horizontal="center"/>
    </xf>
    <xf numFmtId="0" fontId="48" fillId="16" borderId="45" xfId="0" applyFont="1" applyFill="1" applyBorder="1" applyAlignment="1">
      <alignment horizontal="center"/>
    </xf>
    <xf numFmtId="40" fontId="48" fillId="16" borderId="1" xfId="0" applyNumberFormat="1" applyFont="1" applyFill="1" applyBorder="1" applyAlignment="1">
      <alignment horizontal="center"/>
    </xf>
    <xf numFmtId="171" fontId="48" fillId="16" borderId="1" xfId="3" applyNumberFormat="1" applyFont="1" applyFill="1" applyBorder="1" applyAlignment="1">
      <alignment horizontal="center"/>
    </xf>
    <xf numFmtId="0" fontId="48" fillId="16" borderId="1" xfId="0" applyFont="1" applyFill="1" applyBorder="1" applyAlignment="1">
      <alignment horizontal="center"/>
    </xf>
    <xf numFmtId="40" fontId="48" fillId="16" borderId="42" xfId="0" applyNumberFormat="1" applyFont="1" applyFill="1" applyBorder="1" applyAlignment="1">
      <alignment horizontal="center"/>
    </xf>
    <xf numFmtId="171" fontId="48" fillId="16" borderId="34" xfId="3" applyNumberFormat="1" applyFont="1" applyFill="1" applyBorder="1" applyAlignment="1">
      <alignment horizontal="center"/>
    </xf>
    <xf numFmtId="7" fontId="47" fillId="0" borderId="44" xfId="0" applyNumberFormat="1" applyFont="1" applyFill="1" applyBorder="1" applyAlignment="1"/>
    <xf numFmtId="171" fontId="50" fillId="0" borderId="14" xfId="3" applyNumberFormat="1" applyFont="1" applyBorder="1"/>
    <xf numFmtId="171" fontId="50" fillId="0" borderId="18" xfId="3" applyNumberFormat="1" applyFont="1" applyBorder="1"/>
    <xf numFmtId="8" fontId="15" fillId="0" borderId="47" xfId="1" applyNumberFormat="1" applyFont="1" applyBorder="1"/>
    <xf numFmtId="0" fontId="44" fillId="4" borderId="35" xfId="0" applyFont="1" applyFill="1" applyBorder="1" applyAlignment="1">
      <alignment horizontal="right" vertical="center"/>
    </xf>
    <xf numFmtId="164" fontId="34" fillId="4" borderId="70" xfId="0" applyNumberFormat="1" applyFont="1" applyFill="1" applyBorder="1" applyAlignment="1">
      <alignment horizontal="center" vertical="center"/>
    </xf>
    <xf numFmtId="171" fontId="45" fillId="0" borderId="21" xfId="3" applyNumberFormat="1" applyFont="1" applyBorder="1"/>
    <xf numFmtId="0" fontId="26" fillId="2" borderId="0" xfId="0" applyFont="1" applyFill="1" applyBorder="1" applyAlignment="1">
      <alignment horizontal="center"/>
    </xf>
    <xf numFmtId="0" fontId="26" fillId="2" borderId="1" xfId="0" applyFont="1" applyFill="1" applyBorder="1" applyAlignment="1">
      <alignment horizontal="center"/>
    </xf>
    <xf numFmtId="0" fontId="26" fillId="0" borderId="2" xfId="0" applyFont="1" applyFill="1" applyBorder="1" applyAlignment="1">
      <alignment horizontal="right"/>
    </xf>
    <xf numFmtId="0" fontId="26" fillId="0" borderId="0" xfId="0" applyFont="1" applyFill="1" applyBorder="1" applyAlignment="1">
      <alignment horizontal="right"/>
    </xf>
    <xf numFmtId="0" fontId="26" fillId="0" borderId="1" xfId="0" applyFont="1" applyFill="1" applyBorder="1" applyAlignment="1">
      <alignment horizontal="right"/>
    </xf>
    <xf numFmtId="0" fontId="47" fillId="4" borderId="0" xfId="0" applyFont="1" applyFill="1" applyBorder="1" applyAlignment="1">
      <alignment horizontal="center" vertical="center"/>
    </xf>
    <xf numFmtId="0" fontId="52" fillId="0" borderId="15" xfId="0" applyFont="1" applyBorder="1" applyAlignment="1">
      <alignment horizontal="center"/>
    </xf>
    <xf numFmtId="0" fontId="26" fillId="0" borderId="11" xfId="0" applyFont="1" applyBorder="1" applyAlignment="1">
      <alignment horizontal="center"/>
    </xf>
    <xf numFmtId="0" fontId="26" fillId="0" borderId="13" xfId="0" applyFont="1" applyBorder="1" applyAlignment="1">
      <alignment horizontal="center"/>
    </xf>
    <xf numFmtId="0" fontId="26" fillId="0" borderId="15" xfId="0" applyFont="1" applyBorder="1" applyAlignment="1">
      <alignment horizontal="center"/>
    </xf>
    <xf numFmtId="0" fontId="53" fillId="0" borderId="13" xfId="0" applyFont="1" applyBorder="1" applyAlignment="1">
      <alignment horizontal="center"/>
    </xf>
    <xf numFmtId="0" fontId="53" fillId="0" borderId="15" xfId="0" applyFont="1" applyBorder="1" applyAlignment="1">
      <alignment horizontal="center"/>
    </xf>
    <xf numFmtId="0" fontId="54" fillId="0" borderId="13" xfId="0" applyFont="1" applyBorder="1" applyAlignment="1">
      <alignment horizontal="center"/>
    </xf>
    <xf numFmtId="0" fontId="26" fillId="0" borderId="13" xfId="0" applyFont="1" applyBorder="1"/>
    <xf numFmtId="10" fontId="26" fillId="0" borderId="13" xfId="3" applyNumberFormat="1" applyFont="1" applyBorder="1" applyAlignment="1">
      <alignment horizontal="center"/>
    </xf>
    <xf numFmtId="170" fontId="26" fillId="0" borderId="15" xfId="1" applyNumberFormat="1" applyFont="1" applyBorder="1" applyAlignment="1">
      <alignment horizontal="center"/>
    </xf>
    <xf numFmtId="14" fontId="26" fillId="0" borderId="13" xfId="0" applyNumberFormat="1" applyFont="1" applyBorder="1"/>
    <xf numFmtId="0" fontId="0" fillId="0" borderId="24" xfId="0" applyBorder="1" applyAlignment="1">
      <alignment vertical="top" wrapText="1"/>
    </xf>
    <xf numFmtId="164" fontId="21" fillId="0" borderId="0" xfId="0" applyNumberFormat="1" applyFont="1" applyAlignment="1">
      <alignment horizontal="left" indent="1"/>
    </xf>
    <xf numFmtId="10" fontId="38" fillId="0" borderId="0" xfId="0" applyNumberFormat="1" applyFont="1"/>
    <xf numFmtId="43" fontId="15" fillId="3" borderId="4" xfId="1" applyFont="1" applyFill="1" applyBorder="1" applyAlignment="1">
      <alignment horizontal="right"/>
    </xf>
    <xf numFmtId="43" fontId="15" fillId="0" borderId="4" xfId="1" applyFont="1" applyBorder="1" applyAlignment="1">
      <alignment horizontal="right"/>
    </xf>
    <xf numFmtId="0" fontId="44" fillId="4" borderId="71" xfId="0" applyFont="1" applyFill="1" applyBorder="1" applyAlignment="1">
      <alignment horizontal="center" vertical="center"/>
    </xf>
    <xf numFmtId="165" fontId="21" fillId="17" borderId="3" xfId="0" applyNumberFormat="1" applyFont="1" applyFill="1" applyBorder="1" applyAlignment="1">
      <alignment horizontal="center"/>
    </xf>
    <xf numFmtId="0" fontId="21" fillId="17" borderId="3" xfId="0" applyFont="1" applyFill="1" applyBorder="1" applyAlignment="1">
      <alignment horizontal="center"/>
    </xf>
    <xf numFmtId="0" fontId="21" fillId="17" borderId="4" xfId="0" applyFont="1" applyFill="1" applyBorder="1" applyAlignment="1">
      <alignment horizontal="center"/>
    </xf>
    <xf numFmtId="0" fontId="40" fillId="17" borderId="5" xfId="0" applyFont="1" applyFill="1" applyBorder="1" applyAlignment="1">
      <alignment horizontal="right"/>
    </xf>
    <xf numFmtId="0" fontId="40" fillId="17" borderId="3" xfId="0" applyFont="1" applyFill="1" applyBorder="1" applyAlignment="1">
      <alignment horizontal="right"/>
    </xf>
    <xf numFmtId="166" fontId="41" fillId="17" borderId="4" xfId="0" applyNumberFormat="1" applyFont="1" applyFill="1" applyBorder="1" applyAlignment="1">
      <alignment horizontal="right"/>
    </xf>
    <xf numFmtId="164" fontId="21" fillId="17" borderId="20" xfId="0" applyNumberFormat="1" applyFont="1" applyFill="1" applyBorder="1" applyAlignment="1">
      <alignment horizontal="center" vertical="center" wrapText="1"/>
    </xf>
    <xf numFmtId="166" fontId="42" fillId="17" borderId="4" xfId="1" applyNumberFormat="1" applyFont="1" applyFill="1" applyBorder="1" applyAlignment="1">
      <alignment horizontal="right"/>
    </xf>
    <xf numFmtId="3" fontId="38" fillId="17" borderId="5" xfId="0" applyNumberFormat="1" applyFont="1" applyFill="1" applyBorder="1" applyAlignment="1">
      <alignment horizontal="right"/>
    </xf>
    <xf numFmtId="166" fontId="38" fillId="17" borderId="3" xfId="1" applyNumberFormat="1" applyFont="1" applyFill="1" applyBorder="1" applyAlignment="1">
      <alignment horizontal="right"/>
    </xf>
    <xf numFmtId="43" fontId="38" fillId="17" borderId="3" xfId="1" applyFont="1" applyFill="1" applyBorder="1" applyAlignment="1">
      <alignment horizontal="right"/>
    </xf>
    <xf numFmtId="10" fontId="38" fillId="17" borderId="3" xfId="3" applyNumberFormat="1" applyFont="1" applyFill="1" applyBorder="1" applyAlignment="1">
      <alignment horizontal="right"/>
    </xf>
    <xf numFmtId="43" fontId="38" fillId="17" borderId="4" xfId="1" applyFont="1" applyFill="1" applyBorder="1" applyAlignment="1">
      <alignment horizontal="right"/>
    </xf>
    <xf numFmtId="166" fontId="38" fillId="17" borderId="8" xfId="1" applyNumberFormat="1" applyFont="1" applyFill="1" applyBorder="1" applyAlignment="1">
      <alignment horizontal="right"/>
    </xf>
    <xf numFmtId="168" fontId="38" fillId="17" borderId="3" xfId="1" applyNumberFormat="1" applyFont="1" applyFill="1" applyBorder="1" applyAlignment="1">
      <alignment horizontal="right"/>
    </xf>
    <xf numFmtId="166" fontId="38" fillId="17" borderId="4" xfId="1" applyNumberFormat="1" applyFont="1" applyFill="1" applyBorder="1" applyAlignment="1">
      <alignment horizontal="right"/>
    </xf>
    <xf numFmtId="0" fontId="38" fillId="17" borderId="3" xfId="0" applyFont="1" applyFill="1" applyBorder="1" applyAlignment="1">
      <alignment horizontal="right"/>
    </xf>
    <xf numFmtId="43" fontId="43" fillId="17" borderId="3" xfId="1" applyFont="1" applyFill="1" applyBorder="1" applyAlignment="1">
      <alignment horizontal="right"/>
    </xf>
    <xf numFmtId="43" fontId="43" fillId="17" borderId="4" xfId="1" applyFont="1" applyFill="1" applyBorder="1" applyAlignment="1">
      <alignment horizontal="right"/>
    </xf>
    <xf numFmtId="3" fontId="38" fillId="17" borderId="3" xfId="0" applyNumberFormat="1" applyFont="1" applyFill="1" applyBorder="1" applyAlignment="1">
      <alignment horizontal="right"/>
    </xf>
    <xf numFmtId="166" fontId="38" fillId="17" borderId="9" xfId="1" applyNumberFormat="1" applyFont="1" applyFill="1" applyBorder="1" applyAlignment="1">
      <alignment horizontal="right"/>
    </xf>
    <xf numFmtId="10" fontId="38" fillId="17" borderId="4" xfId="3" applyNumberFormat="1" applyFont="1" applyFill="1" applyBorder="1" applyAlignment="1">
      <alignment horizontal="right"/>
    </xf>
    <xf numFmtId="5" fontId="38" fillId="17" borderId="3" xfId="1" applyNumberFormat="1" applyFont="1" applyFill="1" applyBorder="1" applyAlignment="1">
      <alignment horizontal="right"/>
    </xf>
    <xf numFmtId="7" fontId="38" fillId="17" borderId="3" xfId="2" applyNumberFormat="1" applyFont="1" applyFill="1" applyBorder="1" applyAlignment="1">
      <alignment horizontal="right"/>
    </xf>
    <xf numFmtId="10" fontId="38" fillId="17" borderId="8" xfId="3" applyNumberFormat="1" applyFont="1" applyFill="1" applyBorder="1" applyAlignment="1">
      <alignment horizontal="right"/>
    </xf>
    <xf numFmtId="7" fontId="43" fillId="17" borderId="3" xfId="1" applyNumberFormat="1" applyFont="1" applyFill="1" applyBorder="1" applyAlignment="1">
      <alignment horizontal="right"/>
    </xf>
    <xf numFmtId="170" fontId="38" fillId="17" borderId="4" xfId="1" applyNumberFormat="1" applyFont="1" applyFill="1" applyBorder="1" applyAlignment="1">
      <alignment horizontal="right"/>
    </xf>
    <xf numFmtId="43" fontId="37" fillId="3" borderId="5" xfId="0" applyNumberFormat="1" applyFont="1" applyFill="1" applyBorder="1" applyAlignment="1">
      <alignment horizontal="center" vertical="center" wrapText="1"/>
    </xf>
    <xf numFmtId="0" fontId="38" fillId="0" borderId="21" xfId="0" applyNumberFormat="1" applyFont="1" applyBorder="1" applyAlignment="1">
      <alignment horizontal="left" vertical="top" wrapText="1"/>
    </xf>
    <xf numFmtId="10" fontId="15" fillId="0" borderId="10" xfId="3" applyNumberFormat="1" applyFont="1" applyBorder="1"/>
    <xf numFmtId="10" fontId="15" fillId="0" borderId="21" xfId="3" applyNumberFormat="1" applyFont="1" applyBorder="1"/>
    <xf numFmtId="0" fontId="0" fillId="0" borderId="7" xfId="0" applyFill="1" applyBorder="1" applyAlignment="1">
      <alignment horizontal="left"/>
    </xf>
    <xf numFmtId="0" fontId="0" fillId="0" borderId="37" xfId="0" applyFill="1" applyBorder="1" applyAlignment="1">
      <alignment horizontal="left"/>
    </xf>
    <xf numFmtId="0" fontId="38" fillId="0" borderId="0" xfId="0" applyNumberFormat="1" applyFont="1" applyBorder="1" applyAlignment="1">
      <alignment horizontal="left" vertical="top"/>
    </xf>
    <xf numFmtId="43" fontId="24" fillId="0" borderId="37" xfId="1" applyFont="1" applyFill="1" applyBorder="1"/>
    <xf numFmtId="2" fontId="24" fillId="3" borderId="8" xfId="0" applyNumberFormat="1" applyFont="1" applyFill="1" applyBorder="1" applyAlignment="1">
      <alignment horizontal="right"/>
    </xf>
    <xf numFmtId="43" fontId="24" fillId="0" borderId="8" xfId="1" applyFont="1" applyFill="1" applyBorder="1"/>
    <xf numFmtId="43" fontId="15" fillId="6" borderId="8" xfId="1" applyFont="1" applyFill="1" applyBorder="1" applyAlignment="1">
      <alignment horizontal="right"/>
    </xf>
    <xf numFmtId="43" fontId="24" fillId="0" borderId="8" xfId="1" applyFont="1" applyFill="1" applyBorder="1" applyAlignment="1">
      <alignment horizontal="right"/>
    </xf>
    <xf numFmtId="40" fontId="30" fillId="0" borderId="19" xfId="1" applyNumberFormat="1" applyFont="1" applyBorder="1"/>
    <xf numFmtId="40" fontId="15" fillId="0" borderId="19" xfId="1" applyNumberFormat="1" applyFont="1" applyBorder="1"/>
    <xf numFmtId="2" fontId="24" fillId="0" borderId="8" xfId="0" applyNumberFormat="1" applyFont="1" applyFill="1" applyBorder="1" applyAlignment="1">
      <alignment horizontal="right"/>
    </xf>
    <xf numFmtId="2" fontId="24" fillId="9" borderId="8" xfId="0" applyNumberFormat="1" applyFont="1" applyFill="1" applyBorder="1" applyAlignment="1">
      <alignment horizontal="right"/>
    </xf>
    <xf numFmtId="43" fontId="38" fillId="7" borderId="8" xfId="1" applyFont="1" applyFill="1" applyBorder="1" applyAlignment="1">
      <alignment horizontal="right"/>
    </xf>
    <xf numFmtId="43" fontId="38" fillId="11" borderId="8" xfId="1" applyFont="1" applyFill="1" applyBorder="1" applyAlignment="1">
      <alignment horizontal="right"/>
    </xf>
    <xf numFmtId="2" fontId="50" fillId="3" borderId="8" xfId="0" applyNumberFormat="1" applyFont="1" applyFill="1" applyBorder="1" applyAlignment="1">
      <alignment horizontal="right"/>
    </xf>
    <xf numFmtId="43" fontId="50" fillId="0" borderId="8" xfId="1" applyFont="1" applyFill="1" applyBorder="1" applyAlignment="1">
      <alignment horizontal="right"/>
    </xf>
    <xf numFmtId="0" fontId="0" fillId="0" borderId="37" xfId="0" applyBorder="1"/>
    <xf numFmtId="5" fontId="0" fillId="0" borderId="3" xfId="0" applyNumberFormat="1" applyBorder="1" applyAlignment="1">
      <alignment horizontal="right"/>
    </xf>
    <xf numFmtId="0" fontId="0" fillId="0" borderId="13" xfId="0" applyBorder="1" applyAlignment="1">
      <alignment horizontal="left"/>
    </xf>
    <xf numFmtId="0" fontId="0" fillId="0" borderId="13" xfId="0" applyBorder="1" applyAlignment="1"/>
    <xf numFmtId="0" fontId="0" fillId="0" borderId="76" xfId="0" applyBorder="1" applyAlignment="1"/>
    <xf numFmtId="43" fontId="24" fillId="0" borderId="4" xfId="1" applyNumberFormat="1" applyFont="1" applyFill="1" applyBorder="1" applyAlignment="1">
      <alignment horizontal="right"/>
    </xf>
    <xf numFmtId="5" fontId="50" fillId="3" borderId="3" xfId="2" applyNumberFormat="1" applyFont="1" applyFill="1" applyBorder="1" applyAlignment="1">
      <alignment horizontal="right"/>
    </xf>
    <xf numFmtId="43" fontId="0" fillId="6" borderId="3" xfId="0" applyNumberFormat="1" applyFill="1" applyBorder="1" applyAlignment="1">
      <alignment horizontal="right"/>
    </xf>
    <xf numFmtId="0" fontId="48" fillId="16" borderId="16" xfId="0" applyFont="1" applyFill="1" applyBorder="1" applyAlignment="1">
      <alignment horizontal="center"/>
    </xf>
    <xf numFmtId="171" fontId="47" fillId="0" borderId="14" xfId="3" applyNumberFormat="1" applyFont="1" applyFill="1" applyBorder="1" applyAlignment="1"/>
    <xf numFmtId="171" fontId="47" fillId="0" borderId="16" xfId="3" applyNumberFormat="1" applyFont="1" applyFill="1" applyBorder="1" applyAlignment="1"/>
    <xf numFmtId="0" fontId="48" fillId="16" borderId="78" xfId="0" applyFont="1" applyFill="1" applyBorder="1" applyAlignment="1">
      <alignment horizontal="center"/>
    </xf>
    <xf numFmtId="38" fontId="47" fillId="0" borderId="77" xfId="0" applyNumberFormat="1" applyFont="1" applyFill="1" applyBorder="1" applyAlignment="1"/>
    <xf numFmtId="38" fontId="47" fillId="0" borderId="23" xfId="0" applyNumberFormat="1" applyFont="1" applyFill="1" applyBorder="1" applyAlignment="1"/>
    <xf numFmtId="40" fontId="47" fillId="0" borderId="23" xfId="0" applyNumberFormat="1" applyFont="1" applyFill="1" applyBorder="1" applyAlignment="1"/>
    <xf numFmtId="10" fontId="47" fillId="0" borderId="23" xfId="3" applyNumberFormat="1" applyFont="1" applyFill="1" applyBorder="1" applyAlignment="1"/>
    <xf numFmtId="6" fontId="47" fillId="0" borderId="23" xfId="1" applyNumberFormat="1" applyFont="1" applyFill="1" applyBorder="1" applyAlignment="1"/>
    <xf numFmtId="8" fontId="47" fillId="0" borderId="23" xfId="2" applyNumberFormat="1" applyFont="1" applyFill="1" applyBorder="1" applyAlignment="1"/>
    <xf numFmtId="8" fontId="47" fillId="0" borderId="23" xfId="1" applyNumberFormat="1" applyFont="1" applyFill="1" applyBorder="1" applyAlignment="1"/>
    <xf numFmtId="38" fontId="47" fillId="0" borderId="78" xfId="0" applyNumberFormat="1" applyFont="1" applyFill="1" applyBorder="1" applyAlignment="1"/>
    <xf numFmtId="16" fontId="26" fillId="18" borderId="11" xfId="0" applyNumberFormat="1" applyFont="1" applyFill="1" applyBorder="1" applyAlignment="1">
      <alignment horizontal="left" vertical="center" indent="1"/>
    </xf>
    <xf numFmtId="16" fontId="21" fillId="18" borderId="13" xfId="0" applyNumberFormat="1" applyFont="1" applyFill="1" applyBorder="1" applyAlignment="1">
      <alignment horizontal="left" vertical="center" indent="1"/>
    </xf>
    <xf numFmtId="0" fontId="21" fillId="18" borderId="13" xfId="0" applyFont="1" applyFill="1" applyBorder="1" applyAlignment="1">
      <alignment horizontal="left" vertical="center" indent="1"/>
    </xf>
    <xf numFmtId="0" fontId="21" fillId="18" borderId="15" xfId="0" applyFont="1" applyFill="1" applyBorder="1" applyAlignment="1">
      <alignment horizontal="left" vertical="center" indent="1"/>
    </xf>
    <xf numFmtId="16" fontId="26" fillId="18" borderId="2" xfId="0" applyNumberFormat="1" applyFont="1" applyFill="1" applyBorder="1" applyAlignment="1">
      <alignment horizontal="left" vertical="center"/>
    </xf>
    <xf numFmtId="164" fontId="26" fillId="18" borderId="60" xfId="0" quotePrefix="1" applyNumberFormat="1" applyFont="1" applyFill="1" applyBorder="1" applyAlignment="1">
      <alignment horizontal="center" vertical="center" wrapText="1"/>
    </xf>
    <xf numFmtId="164" fontId="26" fillId="18" borderId="61" xfId="0" quotePrefix="1" applyNumberFormat="1" applyFont="1" applyFill="1" applyBorder="1" applyAlignment="1">
      <alignment horizontal="center" vertical="center" wrapText="1"/>
    </xf>
    <xf numFmtId="164" fontId="26" fillId="18" borderId="62" xfId="0" quotePrefix="1" applyNumberFormat="1" applyFont="1" applyFill="1" applyBorder="1" applyAlignment="1">
      <alignment horizontal="center" vertical="center" wrapText="1"/>
    </xf>
    <xf numFmtId="164" fontId="26" fillId="18" borderId="61" xfId="0" applyNumberFormat="1" applyFont="1" applyFill="1" applyBorder="1" applyAlignment="1">
      <alignment horizontal="center" vertical="center" wrapText="1"/>
    </xf>
    <xf numFmtId="164" fontId="26" fillId="18" borderId="2" xfId="0" quotePrefix="1" applyNumberFormat="1" applyFont="1" applyFill="1" applyBorder="1" applyAlignment="1">
      <alignment horizontal="center" vertical="center" wrapText="1"/>
    </xf>
    <xf numFmtId="164" fontId="26" fillId="18" borderId="65" xfId="0" quotePrefix="1" applyNumberFormat="1" applyFont="1" applyFill="1" applyBorder="1" applyAlignment="1">
      <alignment horizontal="center" vertical="center" wrapText="1"/>
    </xf>
    <xf numFmtId="164" fontId="26" fillId="18" borderId="63" xfId="0" quotePrefix="1" applyNumberFormat="1" applyFont="1" applyFill="1" applyBorder="1" applyAlignment="1">
      <alignment horizontal="center" vertical="center" wrapText="1"/>
    </xf>
    <xf numFmtId="166" fontId="38" fillId="0" borderId="23" xfId="1" applyNumberFormat="1" applyFont="1" applyFill="1" applyBorder="1" applyAlignment="1">
      <alignment vertical="center"/>
    </xf>
    <xf numFmtId="166" fontId="38" fillId="0" borderId="24" xfId="1" applyNumberFormat="1" applyFont="1" applyFill="1" applyBorder="1" applyAlignment="1">
      <alignment vertical="center"/>
    </xf>
    <xf numFmtId="166" fontId="38" fillId="0" borderId="40" xfId="1" applyNumberFormat="1" applyFont="1" applyFill="1" applyBorder="1" applyAlignment="1">
      <alignment horizontal="right" vertical="center"/>
    </xf>
    <xf numFmtId="166" fontId="38" fillId="0" borderId="40" xfId="1" applyNumberFormat="1" applyFont="1" applyFill="1" applyBorder="1" applyAlignment="1">
      <alignment vertical="center"/>
    </xf>
    <xf numFmtId="166" fontId="50" fillId="0" borderId="3" xfId="1" applyNumberFormat="1" applyFont="1" applyBorder="1"/>
    <xf numFmtId="44" fontId="33" fillId="0" borderId="34" xfId="2" applyFont="1" applyBorder="1"/>
    <xf numFmtId="10" fontId="30" fillId="9" borderId="3" xfId="3" applyNumberFormat="1" applyFont="1" applyFill="1" applyBorder="1" applyAlignment="1">
      <alignment horizontal="right"/>
    </xf>
    <xf numFmtId="10" fontId="30" fillId="9" borderId="8" xfId="3" applyNumberFormat="1" applyFont="1" applyFill="1" applyBorder="1" applyAlignment="1">
      <alignment horizontal="right"/>
    </xf>
    <xf numFmtId="170" fontId="30" fillId="9" borderId="4" xfId="1" applyNumberFormat="1" applyFont="1" applyFill="1" applyBorder="1" applyAlignment="1">
      <alignment horizontal="right"/>
    </xf>
    <xf numFmtId="0" fontId="0" fillId="0" borderId="34" xfId="0" applyFill="1" applyBorder="1"/>
    <xf numFmtId="10" fontId="15" fillId="0" borderId="0" xfId="3" applyNumberFormat="1" applyFont="1" applyFill="1"/>
    <xf numFmtId="43" fontId="0" fillId="3" borderId="4" xfId="1" applyFont="1" applyFill="1" applyBorder="1" applyAlignment="1">
      <alignment horizontal="right"/>
    </xf>
    <xf numFmtId="43" fontId="0" fillId="0" borderId="4" xfId="1" applyFont="1" applyBorder="1"/>
    <xf numFmtId="43" fontId="30" fillId="5" borderId="4" xfId="1" applyFont="1" applyFill="1" applyBorder="1" applyAlignment="1">
      <alignment horizontal="center"/>
    </xf>
    <xf numFmtId="43" fontId="33" fillId="0" borderId="3" xfId="1" applyFont="1" applyFill="1" applyBorder="1" applyAlignment="1">
      <alignment horizontal="center"/>
    </xf>
    <xf numFmtId="43" fontId="33" fillId="0" borderId="4" xfId="1" applyFont="1" applyBorder="1" applyAlignment="1">
      <alignment horizontal="center"/>
    </xf>
    <xf numFmtId="0" fontId="0" fillId="0" borderId="0" xfId="0" applyBorder="1" applyAlignment="1">
      <alignment horizontal="left" vertical="top"/>
    </xf>
    <xf numFmtId="175" fontId="50" fillId="0" borderId="3" xfId="1" applyNumberFormat="1" applyFont="1" applyFill="1" applyBorder="1" applyAlignment="1">
      <alignment horizontal="right"/>
    </xf>
    <xf numFmtId="165" fontId="38" fillId="2" borderId="13" xfId="0" applyNumberFormat="1" applyFont="1" applyFill="1" applyBorder="1" applyAlignment="1">
      <alignment horizontal="center" vertical="top"/>
    </xf>
    <xf numFmtId="165" fontId="38" fillId="0" borderId="13" xfId="0" applyNumberFormat="1" applyFont="1" applyBorder="1" applyAlignment="1">
      <alignment horizontal="center" vertical="top"/>
    </xf>
    <xf numFmtId="43" fontId="24" fillId="3" borderId="3" xfId="1" applyNumberFormat="1" applyFont="1" applyFill="1" applyBorder="1" applyAlignment="1">
      <alignment horizontal="right"/>
    </xf>
    <xf numFmtId="0" fontId="0" fillId="0" borderId="0" xfId="0" applyBorder="1" applyAlignment="1">
      <alignment horizontal="left" vertical="top"/>
    </xf>
    <xf numFmtId="2" fontId="28" fillId="0" borderId="0" xfId="0" applyNumberFormat="1" applyFont="1" applyBorder="1"/>
    <xf numFmtId="1" fontId="15" fillId="0" borderId="3" xfId="1" applyNumberFormat="1" applyFont="1" applyFill="1" applyBorder="1" applyAlignment="1">
      <alignment horizontal="right"/>
    </xf>
    <xf numFmtId="1" fontId="15" fillId="9" borderId="3" xfId="1" applyNumberFormat="1" applyFont="1" applyFill="1" applyBorder="1" applyAlignment="1">
      <alignment horizontal="right"/>
    </xf>
    <xf numFmtId="1" fontId="24" fillId="0" borderId="3" xfId="1" applyNumberFormat="1" applyFont="1" applyFill="1" applyBorder="1" applyAlignment="1">
      <alignment horizontal="right"/>
    </xf>
    <xf numFmtId="1" fontId="24" fillId="9" borderId="3" xfId="1" applyNumberFormat="1" applyFont="1" applyFill="1" applyBorder="1" applyAlignment="1">
      <alignment horizontal="right"/>
    </xf>
    <xf numFmtId="1" fontId="30" fillId="9" borderId="3" xfId="1" applyNumberFormat="1" applyFont="1" applyFill="1" applyBorder="1" applyAlignment="1">
      <alignment horizontal="right"/>
    </xf>
    <xf numFmtId="1" fontId="24" fillId="0" borderId="8" xfId="1" applyNumberFormat="1" applyFont="1" applyFill="1" applyBorder="1" applyAlignment="1">
      <alignment horizontal="right"/>
    </xf>
    <xf numFmtId="1" fontId="24" fillId="9" borderId="8" xfId="1" applyNumberFormat="1" applyFont="1" applyFill="1" applyBorder="1" applyAlignment="1">
      <alignment horizontal="right"/>
    </xf>
    <xf numFmtId="1" fontId="24" fillId="0" borderId="4" xfId="1" applyNumberFormat="1" applyFont="1" applyFill="1" applyBorder="1" applyAlignment="1">
      <alignment horizontal="right"/>
    </xf>
    <xf numFmtId="1" fontId="24" fillId="9" borderId="4" xfId="1" applyNumberFormat="1" applyFont="1" applyFill="1" applyBorder="1" applyAlignment="1">
      <alignment horizontal="right"/>
    </xf>
    <xf numFmtId="43" fontId="24" fillId="0" borderId="3" xfId="1" applyNumberFormat="1" applyFont="1" applyFill="1" applyBorder="1" applyAlignment="1">
      <alignment horizontal="right"/>
    </xf>
    <xf numFmtId="176" fontId="30" fillId="0" borderId="13" xfId="3" applyNumberFormat="1" applyFont="1" applyBorder="1"/>
    <xf numFmtId="176" fontId="30" fillId="0" borderId="19" xfId="3" applyNumberFormat="1" applyFont="1" applyBorder="1"/>
    <xf numFmtId="3" fontId="30" fillId="5" borderId="8" xfId="1" quotePrefix="1" applyNumberFormat="1" applyFont="1" applyFill="1" applyBorder="1" applyAlignment="1">
      <alignment horizontal="center"/>
    </xf>
    <xf numFmtId="10" fontId="50" fillId="0" borderId="14" xfId="3" applyNumberFormat="1" applyFont="1" applyBorder="1"/>
    <xf numFmtId="0" fontId="26" fillId="12" borderId="0" xfId="0" applyNumberFormat="1" applyFont="1" applyFill="1" applyAlignment="1">
      <alignment horizontal="center"/>
    </xf>
    <xf numFmtId="0" fontId="22" fillId="12" borderId="0" xfId="0" applyNumberFormat="1" applyFont="1" applyFill="1" applyAlignment="1">
      <alignment horizontal="center"/>
    </xf>
    <xf numFmtId="43" fontId="24" fillId="9" borderId="3" xfId="1" applyNumberFormat="1" applyFont="1" applyFill="1" applyBorder="1" applyAlignment="1">
      <alignment horizontal="right"/>
    </xf>
    <xf numFmtId="165" fontId="26" fillId="19" borderId="3" xfId="0" applyNumberFormat="1" applyFont="1" applyFill="1" applyBorder="1" applyAlignment="1">
      <alignment horizontal="center"/>
    </xf>
    <xf numFmtId="38" fontId="25" fillId="19" borderId="3" xfId="0" applyNumberFormat="1" applyFont="1" applyFill="1" applyBorder="1" applyAlignment="1">
      <alignment horizontal="center"/>
    </xf>
    <xf numFmtId="0" fontId="25" fillId="19" borderId="4" xfId="0" applyFont="1" applyFill="1" applyBorder="1" applyAlignment="1">
      <alignment horizontal="center"/>
    </xf>
    <xf numFmtId="165" fontId="26" fillId="19" borderId="0" xfId="0" applyNumberFormat="1" applyFont="1" applyFill="1" applyAlignment="1">
      <alignment horizontal="center"/>
    </xf>
    <xf numFmtId="171" fontId="35" fillId="19" borderId="0" xfId="3" applyNumberFormat="1" applyFont="1" applyFill="1" applyBorder="1" applyAlignment="1">
      <alignment horizontal="center" wrapText="1"/>
    </xf>
    <xf numFmtId="0" fontId="22" fillId="19" borderId="0" xfId="0" applyFont="1" applyFill="1" applyAlignment="1">
      <alignment horizontal="center"/>
    </xf>
    <xf numFmtId="0" fontId="22" fillId="19" borderId="1" xfId="0" applyFont="1" applyFill="1" applyBorder="1" applyAlignment="1">
      <alignment horizontal="center"/>
    </xf>
    <xf numFmtId="171" fontId="35" fillId="19" borderId="1" xfId="3" applyNumberFormat="1" applyFont="1" applyFill="1" applyBorder="1" applyAlignment="1">
      <alignment horizontal="center" wrapText="1"/>
    </xf>
    <xf numFmtId="165" fontId="21" fillId="19" borderId="3" xfId="0" applyNumberFormat="1" applyFont="1" applyFill="1" applyBorder="1" applyAlignment="1">
      <alignment horizontal="center"/>
    </xf>
    <xf numFmtId="0" fontId="21" fillId="19" borderId="3" xfId="0" applyFont="1" applyFill="1" applyBorder="1" applyAlignment="1">
      <alignment horizontal="center"/>
    </xf>
    <xf numFmtId="0" fontId="21" fillId="19" borderId="4" xfId="0" applyFont="1" applyFill="1" applyBorder="1" applyAlignment="1">
      <alignment horizontal="center"/>
    </xf>
    <xf numFmtId="0" fontId="40" fillId="19" borderId="5" xfId="0" applyFont="1" applyFill="1" applyBorder="1" applyAlignment="1">
      <alignment horizontal="right"/>
    </xf>
    <xf numFmtId="0" fontId="40" fillId="19" borderId="3" xfId="0" applyFont="1" applyFill="1" applyBorder="1" applyAlignment="1">
      <alignment horizontal="right"/>
    </xf>
    <xf numFmtId="166" fontId="41" fillId="19" borderId="4" xfId="0" applyNumberFormat="1" applyFont="1" applyFill="1" applyBorder="1" applyAlignment="1">
      <alignment horizontal="right"/>
    </xf>
    <xf numFmtId="0" fontId="49" fillId="19" borderId="0" xfId="0" applyFont="1" applyFill="1" applyBorder="1" applyAlignment="1">
      <alignment horizontal="center" vertical="center"/>
    </xf>
    <xf numFmtId="164" fontId="21" fillId="19" borderId="20" xfId="0" applyNumberFormat="1" applyFont="1" applyFill="1" applyBorder="1" applyAlignment="1">
      <alignment horizontal="center" vertical="center" wrapText="1"/>
    </xf>
    <xf numFmtId="166" fontId="42" fillId="19" borderId="4" xfId="1" applyNumberFormat="1" applyFont="1" applyFill="1" applyBorder="1" applyAlignment="1">
      <alignment horizontal="right"/>
    </xf>
    <xf numFmtId="3" fontId="38" fillId="19" borderId="5" xfId="0" applyNumberFormat="1" applyFont="1" applyFill="1" applyBorder="1" applyAlignment="1">
      <alignment horizontal="right"/>
    </xf>
    <xf numFmtId="166" fontId="38" fillId="19" borderId="3" xfId="1" applyNumberFormat="1" applyFont="1" applyFill="1" applyBorder="1" applyAlignment="1">
      <alignment horizontal="right"/>
    </xf>
    <xf numFmtId="43" fontId="38" fillId="19" borderId="3" xfId="1" applyFont="1" applyFill="1" applyBorder="1" applyAlignment="1">
      <alignment horizontal="right"/>
    </xf>
    <xf numFmtId="10" fontId="38" fillId="19" borderId="3" xfId="3" applyNumberFormat="1" applyFont="1" applyFill="1" applyBorder="1" applyAlignment="1">
      <alignment horizontal="right"/>
    </xf>
    <xf numFmtId="43" fontId="38" fillId="19" borderId="4" xfId="1" applyFont="1" applyFill="1" applyBorder="1" applyAlignment="1">
      <alignment horizontal="right"/>
    </xf>
    <xf numFmtId="166" fontId="38" fillId="19" borderId="8" xfId="1" applyNumberFormat="1" applyFont="1" applyFill="1" applyBorder="1" applyAlignment="1">
      <alignment horizontal="right"/>
    </xf>
    <xf numFmtId="168" fontId="38" fillId="19" borderId="3" xfId="1" applyNumberFormat="1" applyFont="1" applyFill="1" applyBorder="1" applyAlignment="1">
      <alignment horizontal="right"/>
    </xf>
    <xf numFmtId="166" fontId="38" fillId="19" borderId="4" xfId="1" applyNumberFormat="1" applyFont="1" applyFill="1" applyBorder="1" applyAlignment="1">
      <alignment horizontal="right"/>
    </xf>
    <xf numFmtId="0" fontId="38" fillId="19" borderId="3" xfId="0" applyFont="1" applyFill="1" applyBorder="1" applyAlignment="1">
      <alignment horizontal="right"/>
    </xf>
    <xf numFmtId="43" fontId="43" fillId="19" borderId="3" xfId="1" applyFont="1" applyFill="1" applyBorder="1" applyAlignment="1">
      <alignment horizontal="right"/>
    </xf>
    <xf numFmtId="43" fontId="43" fillId="19" borderId="4" xfId="1" applyFont="1" applyFill="1" applyBorder="1" applyAlignment="1">
      <alignment horizontal="right"/>
    </xf>
    <xf numFmtId="3" fontId="38" fillId="19" borderId="3" xfId="0" applyNumberFormat="1" applyFont="1" applyFill="1" applyBorder="1" applyAlignment="1">
      <alignment horizontal="right"/>
    </xf>
    <xf numFmtId="166" fontId="38" fillId="19" borderId="9" xfId="1" applyNumberFormat="1" applyFont="1" applyFill="1" applyBorder="1" applyAlignment="1">
      <alignment horizontal="right"/>
    </xf>
    <xf numFmtId="10" fontId="38" fillId="19" borderId="4" xfId="3" applyNumberFormat="1" applyFont="1" applyFill="1" applyBorder="1" applyAlignment="1">
      <alignment horizontal="right"/>
    </xf>
    <xf numFmtId="5" fontId="38" fillId="19" borderId="3" xfId="1" applyNumberFormat="1" applyFont="1" applyFill="1" applyBorder="1" applyAlignment="1">
      <alignment horizontal="right"/>
    </xf>
    <xf numFmtId="7" fontId="38" fillId="19" borderId="3" xfId="2" applyNumberFormat="1" applyFont="1" applyFill="1" applyBorder="1" applyAlignment="1">
      <alignment horizontal="right"/>
    </xf>
    <xf numFmtId="10" fontId="38" fillId="19" borderId="8" xfId="3" applyNumberFormat="1" applyFont="1" applyFill="1" applyBorder="1" applyAlignment="1">
      <alignment horizontal="right"/>
    </xf>
    <xf numFmtId="7" fontId="43" fillId="19" borderId="3" xfId="1" applyNumberFormat="1" applyFont="1" applyFill="1" applyBorder="1" applyAlignment="1">
      <alignment horizontal="right"/>
    </xf>
    <xf numFmtId="170" fontId="38" fillId="19" borderId="4" xfId="1" applyNumberFormat="1" applyFont="1" applyFill="1" applyBorder="1" applyAlignment="1">
      <alignment horizontal="right"/>
    </xf>
    <xf numFmtId="43" fontId="58" fillId="0" borderId="36" xfId="0" applyNumberFormat="1" applyFont="1" applyBorder="1" applyAlignment="1">
      <alignment horizontal="center" wrapText="1"/>
    </xf>
    <xf numFmtId="16" fontId="26" fillId="20" borderId="11" xfId="0" applyNumberFormat="1" applyFont="1" applyFill="1" applyBorder="1" applyAlignment="1">
      <alignment horizontal="left" vertical="center" indent="1"/>
    </xf>
    <xf numFmtId="16" fontId="21" fillId="20" borderId="13" xfId="0" applyNumberFormat="1" applyFont="1" applyFill="1" applyBorder="1" applyAlignment="1">
      <alignment horizontal="left" vertical="center" indent="1"/>
    </xf>
    <xf numFmtId="0" fontId="21" fillId="20" borderId="13" xfId="0" applyFont="1" applyFill="1" applyBorder="1" applyAlignment="1">
      <alignment horizontal="left" vertical="center" indent="1"/>
    </xf>
    <xf numFmtId="0" fontId="21" fillId="20" borderId="15" xfId="0" applyFont="1" applyFill="1" applyBorder="1" applyAlignment="1">
      <alignment horizontal="left" vertical="center" indent="1"/>
    </xf>
    <xf numFmtId="16" fontId="26" fillId="20" borderId="2" xfId="0" applyNumberFormat="1" applyFont="1" applyFill="1" applyBorder="1" applyAlignment="1">
      <alignment horizontal="left" vertical="center"/>
    </xf>
    <xf numFmtId="164" fontId="26" fillId="20" borderId="60" xfId="0" quotePrefix="1" applyNumberFormat="1" applyFont="1" applyFill="1" applyBorder="1" applyAlignment="1">
      <alignment horizontal="center" vertical="center" wrapText="1"/>
    </xf>
    <xf numFmtId="164" fontId="26" fillId="20" borderId="61" xfId="0" quotePrefix="1" applyNumberFormat="1" applyFont="1" applyFill="1" applyBorder="1" applyAlignment="1">
      <alignment horizontal="center" vertical="center" wrapText="1"/>
    </xf>
    <xf numFmtId="164" fontId="26" fillId="20" borderId="62" xfId="0" quotePrefix="1" applyNumberFormat="1" applyFont="1" applyFill="1" applyBorder="1" applyAlignment="1">
      <alignment horizontal="center" vertical="center" wrapText="1"/>
    </xf>
    <xf numFmtId="164" fontId="26" fillId="20" borderId="61" xfId="0" applyNumberFormat="1" applyFont="1" applyFill="1" applyBorder="1" applyAlignment="1">
      <alignment horizontal="center" vertical="center" wrapText="1"/>
    </xf>
    <xf numFmtId="164" fontId="26" fillId="20" borderId="2" xfId="0" quotePrefix="1" applyNumberFormat="1" applyFont="1" applyFill="1" applyBorder="1" applyAlignment="1">
      <alignment horizontal="center" vertical="center" wrapText="1"/>
    </xf>
    <xf numFmtId="164" fontId="26" fillId="20" borderId="65" xfId="0" quotePrefix="1" applyNumberFormat="1" applyFont="1" applyFill="1" applyBorder="1" applyAlignment="1">
      <alignment horizontal="center" vertical="center" wrapText="1"/>
    </xf>
    <xf numFmtId="164" fontId="26" fillId="20" borderId="63" xfId="0" quotePrefix="1" applyNumberFormat="1" applyFont="1" applyFill="1" applyBorder="1" applyAlignment="1">
      <alignment horizontal="center" vertical="center" wrapText="1"/>
    </xf>
    <xf numFmtId="0" fontId="0" fillId="0" borderId="1" xfId="0" applyFont="1" applyFill="1" applyBorder="1"/>
    <xf numFmtId="0" fontId="48" fillId="16" borderId="11" xfId="0" applyFont="1" applyFill="1" applyBorder="1" applyAlignment="1">
      <alignment horizontal="center"/>
    </xf>
    <xf numFmtId="0" fontId="48" fillId="16" borderId="15" xfId="0" applyFont="1" applyFill="1" applyBorder="1" applyAlignment="1">
      <alignment horizontal="center"/>
    </xf>
    <xf numFmtId="166" fontId="47" fillId="0" borderId="13" xfId="1" applyNumberFormat="1" applyFont="1" applyFill="1" applyBorder="1" applyAlignment="1"/>
    <xf numFmtId="166" fontId="11" fillId="0" borderId="13" xfId="0" applyNumberFormat="1" applyFont="1" applyFill="1" applyBorder="1" applyAlignment="1"/>
    <xf numFmtId="0" fontId="47" fillId="0" borderId="13" xfId="0" applyFont="1" applyFill="1" applyBorder="1" applyAlignment="1">
      <alignment vertical="center"/>
    </xf>
    <xf numFmtId="164" fontId="47" fillId="0" borderId="13" xfId="0" applyNumberFormat="1" applyFont="1" applyFill="1" applyBorder="1" applyAlignment="1">
      <alignment vertical="center" wrapText="1"/>
    </xf>
    <xf numFmtId="3" fontId="47" fillId="0" borderId="13" xfId="1" applyNumberFormat="1" applyFont="1" applyFill="1" applyBorder="1" applyAlignment="1"/>
    <xf numFmtId="3" fontId="47" fillId="0" borderId="13" xfId="0" applyNumberFormat="1" applyFont="1" applyFill="1" applyBorder="1" applyAlignment="1"/>
    <xf numFmtId="43" fontId="47" fillId="0" borderId="13" xfId="1" applyFont="1" applyFill="1" applyBorder="1" applyAlignment="1"/>
    <xf numFmtId="10" fontId="47" fillId="0" borderId="13" xfId="3" applyNumberFormat="1" applyFont="1" applyFill="1" applyBorder="1" applyAlignment="1"/>
    <xf numFmtId="40" fontId="47" fillId="0" borderId="13" xfId="1" applyNumberFormat="1" applyFont="1" applyFill="1" applyBorder="1" applyAlignment="1"/>
    <xf numFmtId="168" fontId="47" fillId="0" borderId="13" xfId="1" applyNumberFormat="1" applyFont="1" applyFill="1" applyBorder="1" applyAlignment="1"/>
    <xf numFmtId="37" fontId="47" fillId="0" borderId="13" xfId="1" applyNumberFormat="1" applyFont="1" applyFill="1" applyBorder="1" applyAlignment="1"/>
    <xf numFmtId="0" fontId="47" fillId="0" borderId="13" xfId="0" applyFont="1" applyFill="1" applyBorder="1" applyAlignment="1"/>
    <xf numFmtId="7" fontId="47" fillId="0" borderId="13" xfId="0" applyNumberFormat="1" applyFont="1" applyFill="1" applyBorder="1" applyAlignment="1"/>
    <xf numFmtId="5" fontId="47" fillId="0" borderId="13" xfId="1" applyNumberFormat="1" applyFont="1" applyFill="1" applyBorder="1" applyAlignment="1"/>
    <xf numFmtId="7" fontId="47" fillId="0" borderId="13" xfId="2" applyNumberFormat="1" applyFont="1" applyFill="1" applyBorder="1" applyAlignment="1"/>
    <xf numFmtId="7" fontId="47" fillId="0" borderId="13" xfId="1" applyNumberFormat="1" applyFont="1" applyFill="1" applyBorder="1" applyAlignment="1"/>
    <xf numFmtId="166" fontId="47" fillId="0" borderId="15" xfId="1" applyNumberFormat="1" applyFont="1" applyFill="1" applyBorder="1" applyAlignment="1"/>
    <xf numFmtId="177" fontId="0" fillId="0" borderId="0" xfId="0" applyNumberFormat="1" applyBorder="1"/>
    <xf numFmtId="0" fontId="0" fillId="0" borderId="3" xfId="0" applyFill="1" applyBorder="1"/>
    <xf numFmtId="171" fontId="15" fillId="0" borderId="36" xfId="3" applyNumberFormat="1" applyFont="1" applyFill="1" applyBorder="1"/>
    <xf numFmtId="171" fontId="15" fillId="0" borderId="2" xfId="3" applyNumberFormat="1" applyFont="1" applyFill="1" applyBorder="1"/>
    <xf numFmtId="10" fontId="0" fillId="0" borderId="2" xfId="0" applyNumberFormat="1" applyFill="1" applyBorder="1"/>
    <xf numFmtId="0" fontId="38" fillId="0" borderId="5" xfId="0" applyFont="1" applyFill="1" applyBorder="1" applyAlignment="1">
      <alignment horizontal="right"/>
    </xf>
    <xf numFmtId="171" fontId="15" fillId="0" borderId="21" xfId="3" applyNumberFormat="1" applyFont="1" applyFill="1" applyBorder="1"/>
    <xf numFmtId="171" fontId="15" fillId="0" borderId="0" xfId="3" applyNumberFormat="1" applyFont="1" applyFill="1"/>
    <xf numFmtId="10" fontId="0" fillId="0" borderId="0" xfId="0" applyNumberFormat="1" applyFill="1"/>
    <xf numFmtId="0" fontId="38" fillId="0" borderId="3" xfId="0" applyFont="1" applyFill="1" applyBorder="1" applyAlignment="1">
      <alignment horizontal="right"/>
    </xf>
    <xf numFmtId="0" fontId="0" fillId="0" borderId="21" xfId="0" applyFill="1" applyBorder="1" applyAlignment="1">
      <alignment horizontal="right"/>
    </xf>
    <xf numFmtId="171" fontId="15" fillId="0" borderId="0" xfId="3" applyNumberFormat="1" applyFont="1" applyFill="1" applyBorder="1"/>
    <xf numFmtId="0" fontId="26" fillId="21" borderId="11" xfId="0" applyFont="1" applyFill="1" applyBorder="1"/>
    <xf numFmtId="0" fontId="22" fillId="21" borderId="2" xfId="0" applyFont="1" applyFill="1" applyBorder="1"/>
    <xf numFmtId="0" fontId="26" fillId="21" borderId="13" xfId="0" applyFont="1" applyFill="1" applyBorder="1"/>
    <xf numFmtId="0" fontId="22" fillId="21" borderId="0" xfId="0" applyFont="1" applyFill="1"/>
    <xf numFmtId="178" fontId="30" fillId="0" borderId="33" xfId="3" applyNumberFormat="1" applyFont="1" applyBorder="1"/>
    <xf numFmtId="171" fontId="59" fillId="0" borderId="14" xfId="3" applyNumberFormat="1" applyFont="1" applyFill="1" applyBorder="1" applyAlignment="1"/>
    <xf numFmtId="166" fontId="23" fillId="0" borderId="5" xfId="0" applyNumberFormat="1" applyFont="1" applyFill="1" applyBorder="1" applyAlignment="1">
      <alignment horizontal="right"/>
    </xf>
    <xf numFmtId="10" fontId="15" fillId="0" borderId="14" xfId="3" applyNumberFormat="1" applyFont="1" applyFill="1" applyBorder="1"/>
    <xf numFmtId="37" fontId="24" fillId="3" borderId="3" xfId="1" applyNumberFormat="1" applyFont="1" applyFill="1" applyBorder="1" applyAlignment="1">
      <alignment horizontal="right"/>
    </xf>
    <xf numFmtId="0" fontId="31" fillId="0" borderId="1" xfId="0" applyFont="1" applyBorder="1"/>
    <xf numFmtId="37" fontId="24" fillId="0" borderId="3" xfId="1" applyNumberFormat="1" applyFont="1" applyBorder="1" applyAlignment="1">
      <alignment horizontal="right"/>
    </xf>
    <xf numFmtId="37" fontId="15" fillId="5" borderId="3" xfId="1" applyNumberFormat="1" applyFont="1" applyFill="1" applyBorder="1" applyAlignment="1">
      <alignment horizontal="right"/>
    </xf>
    <xf numFmtId="6" fontId="47" fillId="0" borderId="13" xfId="1" applyNumberFormat="1" applyFont="1" applyBorder="1"/>
    <xf numFmtId="16" fontId="0" fillId="0" borderId="0" xfId="0" quotePrefix="1" applyNumberFormat="1" applyBorder="1" applyAlignment="1">
      <alignment horizontal="center" vertical="top"/>
    </xf>
    <xf numFmtId="165" fontId="55" fillId="21" borderId="0" xfId="0" quotePrefix="1" applyNumberFormat="1" applyFont="1" applyFill="1" applyAlignment="1">
      <alignment horizontal="center"/>
    </xf>
    <xf numFmtId="10" fontId="15" fillId="0" borderId="1" xfId="3" applyNumberFormat="1" applyFont="1" applyFill="1" applyBorder="1" applyAlignment="1">
      <alignment horizontal="left"/>
    </xf>
    <xf numFmtId="10" fontId="15" fillId="0" borderId="74" xfId="3" applyNumberFormat="1" applyFont="1" applyFill="1" applyBorder="1" applyAlignment="1">
      <alignment horizontal="left"/>
    </xf>
    <xf numFmtId="10" fontId="15" fillId="0" borderId="75" xfId="3" applyNumberFormat="1" applyFont="1" applyFill="1" applyBorder="1" applyAlignment="1">
      <alignment horizontal="left"/>
    </xf>
    <xf numFmtId="0" fontId="0" fillId="0" borderId="1" xfId="0" applyFill="1" applyBorder="1" applyAlignment="1">
      <alignment horizontal="left"/>
    </xf>
    <xf numFmtId="0" fontId="0" fillId="0" borderId="34" xfId="0" applyFill="1" applyBorder="1" applyAlignment="1">
      <alignment horizontal="left"/>
    </xf>
    <xf numFmtId="0" fontId="0" fillId="0" borderId="0" xfId="0" applyFill="1" applyBorder="1" applyAlignment="1">
      <alignment horizontal="left" indent="2"/>
    </xf>
    <xf numFmtId="0" fontId="0" fillId="0" borderId="21" xfId="0" applyFill="1" applyBorder="1" applyAlignment="1">
      <alignment horizontal="left" indent="2"/>
    </xf>
    <xf numFmtId="10" fontId="15" fillId="0" borderId="0" xfId="3" applyNumberFormat="1" applyFont="1" applyFill="1" applyBorder="1" applyAlignment="1">
      <alignment horizontal="left"/>
    </xf>
    <xf numFmtId="10" fontId="15" fillId="0" borderId="21" xfId="3" applyNumberFormat="1" applyFont="1" applyFill="1" applyBorder="1" applyAlignment="1">
      <alignment horizontal="left"/>
    </xf>
    <xf numFmtId="10" fontId="15" fillId="0" borderId="7" xfId="3" applyNumberFormat="1" applyFont="1" applyFill="1" applyBorder="1" applyAlignment="1">
      <alignment horizontal="left"/>
    </xf>
    <xf numFmtId="10" fontId="15" fillId="0" borderId="37" xfId="3" applyNumberFormat="1" applyFont="1" applyFill="1" applyBorder="1" applyAlignment="1">
      <alignment horizontal="left"/>
    </xf>
    <xf numFmtId="165" fontId="55" fillId="21" borderId="0" xfId="0" applyNumberFormat="1" applyFont="1" applyFill="1" applyAlignment="1">
      <alignment horizontal="center"/>
    </xf>
    <xf numFmtId="0" fontId="0" fillId="0" borderId="0" xfId="0" applyBorder="1" applyAlignment="1">
      <alignment horizontal="left"/>
    </xf>
    <xf numFmtId="0" fontId="0" fillId="0" borderId="21" xfId="0" applyBorder="1" applyAlignment="1">
      <alignment horizontal="left"/>
    </xf>
    <xf numFmtId="0" fontId="0" fillId="0" borderId="0" xfId="0" applyFill="1" applyBorder="1" applyAlignment="1">
      <alignment horizontal="left"/>
    </xf>
    <xf numFmtId="0" fontId="0" fillId="0" borderId="21" xfId="0" applyFill="1" applyBorder="1" applyAlignment="1">
      <alignment horizontal="left"/>
    </xf>
    <xf numFmtId="0" fontId="0" fillId="0" borderId="1" xfId="0" applyFont="1" applyFill="1" applyBorder="1" applyAlignment="1">
      <alignment horizontal="left"/>
    </xf>
    <xf numFmtId="0" fontId="0" fillId="0" borderId="34" xfId="0" applyFont="1" applyFill="1" applyBorder="1" applyAlignment="1">
      <alignment horizontal="left"/>
    </xf>
    <xf numFmtId="0" fontId="0" fillId="0" borderId="7" xfId="0" applyFill="1" applyBorder="1" applyAlignment="1">
      <alignment horizontal="left"/>
    </xf>
    <xf numFmtId="0" fontId="0" fillId="0" borderId="37" xfId="0" applyFill="1" applyBorder="1" applyAlignment="1">
      <alignment horizontal="left"/>
    </xf>
    <xf numFmtId="0" fontId="0" fillId="0" borderId="6" xfId="0" applyFill="1" applyBorder="1" applyAlignment="1">
      <alignment horizontal="left" indent="1"/>
    </xf>
    <xf numFmtId="0" fontId="0" fillId="0" borderId="38" xfId="0" applyFill="1" applyBorder="1" applyAlignment="1">
      <alignment horizontal="left" indent="1"/>
    </xf>
    <xf numFmtId="0" fontId="0" fillId="0" borderId="72" xfId="0" applyFill="1" applyBorder="1" applyAlignment="1">
      <alignment horizontal="left"/>
    </xf>
    <xf numFmtId="0" fontId="0" fillId="0" borderId="73" xfId="0" applyFill="1" applyBorder="1" applyAlignment="1">
      <alignment horizontal="left"/>
    </xf>
    <xf numFmtId="0" fontId="33" fillId="0" borderId="0" xfId="0" applyFont="1" applyFill="1" applyBorder="1" applyAlignment="1">
      <alignment horizontal="left"/>
    </xf>
    <xf numFmtId="0" fontId="33" fillId="0" borderId="21" xfId="0" applyFont="1" applyFill="1" applyBorder="1" applyAlignment="1">
      <alignment horizontal="left"/>
    </xf>
    <xf numFmtId="40" fontId="19" fillId="0" borderId="70" xfId="0" applyNumberFormat="1" applyFont="1" applyBorder="1" applyAlignment="1">
      <alignment horizontal="center" vertical="center" wrapText="1"/>
    </xf>
    <xf numFmtId="40" fontId="19" fillId="0" borderId="35" xfId="0" applyNumberFormat="1" applyFont="1" applyBorder="1" applyAlignment="1">
      <alignment horizontal="center" vertical="center" wrapText="1"/>
    </xf>
    <xf numFmtId="0" fontId="19" fillId="0" borderId="70" xfId="0" applyFont="1" applyBorder="1" applyAlignment="1">
      <alignment horizontal="center" vertical="center" wrapText="1"/>
    </xf>
    <xf numFmtId="0" fontId="19" fillId="0" borderId="71" xfId="0" applyFont="1" applyBorder="1" applyAlignment="1">
      <alignment horizontal="center" vertical="center" wrapText="1"/>
    </xf>
    <xf numFmtId="0" fontId="19" fillId="0" borderId="35" xfId="0" applyFont="1" applyBorder="1" applyAlignment="1">
      <alignment horizontal="center" vertical="center" wrapText="1"/>
    </xf>
    <xf numFmtId="0" fontId="56" fillId="0" borderId="71" xfId="0" applyFont="1" applyBorder="1" applyAlignment="1">
      <alignment horizontal="left"/>
    </xf>
    <xf numFmtId="0" fontId="56" fillId="0" borderId="35" xfId="0" applyFont="1" applyBorder="1" applyAlignment="1">
      <alignment horizontal="left"/>
    </xf>
    <xf numFmtId="0" fontId="57" fillId="4" borderId="71" xfId="0" applyFont="1" applyFill="1" applyBorder="1" applyAlignment="1">
      <alignment horizontal="left" vertical="center" wrapText="1"/>
    </xf>
    <xf numFmtId="0" fontId="33" fillId="0" borderId="1" xfId="0" applyFont="1" applyFill="1" applyBorder="1" applyAlignment="1">
      <alignment horizontal="left"/>
    </xf>
    <xf numFmtId="0" fontId="33" fillId="0" borderId="34" xfId="0" applyFont="1" applyFill="1" applyBorder="1" applyAlignment="1">
      <alignment horizontal="left"/>
    </xf>
    <xf numFmtId="0" fontId="53" fillId="0" borderId="0" xfId="0" applyFont="1" applyFill="1" applyBorder="1" applyAlignment="1">
      <alignment horizontal="left"/>
    </xf>
    <xf numFmtId="0" fontId="53" fillId="0" borderId="21" xfId="0" applyFont="1" applyFill="1" applyBorder="1" applyAlignment="1">
      <alignment horizontal="left"/>
    </xf>
    <xf numFmtId="40" fontId="19" fillId="19" borderId="70" xfId="0" applyNumberFormat="1" applyFont="1" applyFill="1" applyBorder="1" applyAlignment="1">
      <alignment horizontal="center" vertical="center" wrapText="1"/>
    </xf>
    <xf numFmtId="40" fontId="19" fillId="19" borderId="35" xfId="0" applyNumberFormat="1" applyFont="1" applyFill="1" applyBorder="1" applyAlignment="1">
      <alignment horizontal="center" vertical="center" wrapText="1"/>
    </xf>
    <xf numFmtId="0" fontId="0" fillId="0" borderId="0" xfId="0" applyBorder="1" applyAlignment="1">
      <alignment horizontal="left" vertical="top"/>
    </xf>
    <xf numFmtId="0" fontId="19" fillId="0" borderId="70" xfId="0" applyFont="1" applyBorder="1" applyAlignment="1">
      <alignment horizontal="center" vertical="top"/>
    </xf>
    <xf numFmtId="0" fontId="19" fillId="0" borderId="71" xfId="0" applyFont="1" applyBorder="1" applyAlignment="1">
      <alignment horizontal="center" vertical="top"/>
    </xf>
    <xf numFmtId="0" fontId="19" fillId="0" borderId="35" xfId="0" applyFont="1" applyBorder="1" applyAlignment="1">
      <alignment horizontal="center" vertical="top"/>
    </xf>
    <xf numFmtId="0" fontId="38" fillId="0" borderId="0" xfId="0" applyNumberFormat="1" applyFont="1" applyBorder="1" applyAlignment="1">
      <alignment horizontal="left" vertical="top" wrapText="1"/>
    </xf>
    <xf numFmtId="0" fontId="38" fillId="0" borderId="21" xfId="0" applyNumberFormat="1" applyFont="1" applyBorder="1" applyAlignment="1">
      <alignment horizontal="left" vertical="top" wrapText="1"/>
    </xf>
    <xf numFmtId="0" fontId="38" fillId="0" borderId="0" xfId="0" applyFont="1" applyBorder="1" applyAlignment="1">
      <alignment horizontal="left" vertical="top" wrapText="1"/>
    </xf>
    <xf numFmtId="0" fontId="38" fillId="0" borderId="21" xfId="0" applyFont="1" applyBorder="1" applyAlignment="1">
      <alignment horizontal="left" vertical="top" wrapText="1"/>
    </xf>
    <xf numFmtId="0" fontId="38" fillId="0" borderId="2" xfId="0" applyFont="1" applyFill="1" applyBorder="1" applyAlignment="1">
      <alignment horizontal="left" vertical="top" wrapText="1"/>
    </xf>
    <xf numFmtId="0" fontId="38" fillId="0" borderId="36" xfId="0" applyFont="1" applyFill="1" applyBorder="1" applyAlignment="1">
      <alignment horizontal="left" vertical="top" wrapText="1"/>
    </xf>
    <xf numFmtId="40" fontId="48" fillId="16" borderId="41" xfId="0" applyNumberFormat="1" applyFont="1" applyFill="1" applyBorder="1" applyAlignment="1">
      <alignment horizontal="center"/>
    </xf>
    <xf numFmtId="40" fontId="48" fillId="16" borderId="2" xfId="0" applyNumberFormat="1" applyFont="1" applyFill="1" applyBorder="1" applyAlignment="1">
      <alignment horizontal="center"/>
    </xf>
    <xf numFmtId="40" fontId="48" fillId="16" borderId="36" xfId="0" applyNumberFormat="1" applyFont="1" applyFill="1" applyBorder="1" applyAlignment="1">
      <alignment horizontal="center"/>
    </xf>
    <xf numFmtId="40" fontId="48"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7">
    <dxf>
      <font>
        <color rgb="FFFF0000"/>
      </font>
    </dxf>
    <dxf>
      <font>
        <color rgb="FF009900"/>
      </font>
    </dxf>
    <dxf>
      <font>
        <color rgb="FFFF0000"/>
      </font>
    </dxf>
    <dxf>
      <font>
        <color rgb="FF009900"/>
      </font>
    </dxf>
    <dxf>
      <font>
        <color rgb="FFFF0000"/>
      </font>
    </dxf>
    <dxf>
      <font>
        <color rgb="FFFF0000"/>
      </font>
    </dxf>
    <dxf>
      <font>
        <color rgb="FFFF0000"/>
      </font>
    </dxf>
  </dxfs>
  <tableStyles count="0" defaultTableStyle="TableStyleMedium9" defaultPivotStyle="PivotStyleLight16"/>
  <colors>
    <mruColors>
      <color rgb="FFCCFFFF"/>
      <color rgb="FF0066CC"/>
      <color rgb="FF0000FF"/>
      <color rgb="FFFFFF99"/>
      <color rgb="FFFCE4F7"/>
      <color rgb="FFCC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Data'!$FO$18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49-41B2-84DF-C07F390059C4}"/>
                </c:ext>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49-41B2-84DF-C07F390059C4}"/>
                </c:ext>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49-41B2-84DF-C07F390059C4}"/>
                </c:ext>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49-41B2-84DF-C07F390059C4}"/>
                </c:ext>
              </c:extLst>
            </c:dLbl>
            <c:dLbl>
              <c:idx val="5"/>
              <c:layout>
                <c:manualLayout>
                  <c:x val="-1.9957069722720325E-2"/>
                  <c:y val="-5.12900432900433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849-41B2-84DF-C07F390059C4}"/>
                </c:ext>
              </c:extLst>
            </c:dLbl>
            <c:dLbl>
              <c:idx val="6"/>
              <c:layout>
                <c:manualLayout>
                  <c:x val="-2.2606561075085432E-2"/>
                  <c:y val="-4.7824363921125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849-41B2-84DF-C07F390059C4}"/>
                </c:ext>
              </c:extLst>
            </c:dLbl>
            <c:dLbl>
              <c:idx val="7"/>
              <c:layout>
                <c:manualLayout>
                  <c:x val="-2.2607604944643075E-2"/>
                  <c:y val="-4.6077937729618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849-41B2-84DF-C07F390059C4}"/>
                </c:ext>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849-41B2-84DF-C07F390059C4}"/>
                </c:ext>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849-41B2-84DF-C07F390059C4}"/>
                </c:ext>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849-41B2-84DF-C07F390059C4}"/>
                </c:ext>
              </c:extLst>
            </c:dLbl>
            <c:dLbl>
              <c:idx val="11"/>
              <c:layout>
                <c:manualLayout>
                  <c:x val="-1.8635681277813253E-2"/>
                  <c:y val="-4.2649687372339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849-41B2-84DF-C07F390059C4}"/>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42155</c:v>
                </c:pt>
                <c:pt idx="1">
                  <c:v>42185</c:v>
                </c:pt>
                <c:pt idx="2">
                  <c:v>42216</c:v>
                </c:pt>
                <c:pt idx="3">
                  <c:v>42247</c:v>
                </c:pt>
                <c:pt idx="4">
                  <c:v>42277</c:v>
                </c:pt>
                <c:pt idx="5">
                  <c:v>42308</c:v>
                </c:pt>
                <c:pt idx="6">
                  <c:v>42338</c:v>
                </c:pt>
                <c:pt idx="7">
                  <c:v>42369</c:v>
                </c:pt>
                <c:pt idx="8">
                  <c:v>42400</c:v>
                </c:pt>
                <c:pt idx="9">
                  <c:v>42428</c:v>
                </c:pt>
                <c:pt idx="10">
                  <c:v>42460</c:v>
                </c:pt>
                <c:pt idx="11">
                  <c:v>42490</c:v>
                </c:pt>
                <c:pt idx="12">
                  <c:v>42521</c:v>
                </c:pt>
              </c:numCache>
            </c:numRef>
          </c:cat>
          <c:val>
            <c:numRef>
              <c:f>'Summary Data'!$FP$18:$HV$18</c:f>
              <c:numCache>
                <c:formatCode>0.00%</c:formatCode>
                <c:ptCount val="13"/>
                <c:pt idx="0">
                  <c:v>0.81928094177537381</c:v>
                </c:pt>
                <c:pt idx="1">
                  <c:v>0.81280627245998038</c:v>
                </c:pt>
                <c:pt idx="2">
                  <c:v>0.80508191240387827</c:v>
                </c:pt>
                <c:pt idx="3">
                  <c:v>0.80260006842285325</c:v>
                </c:pt>
                <c:pt idx="4">
                  <c:v>0.82493040519641203</c:v>
                </c:pt>
                <c:pt idx="5">
                  <c:v>0.79093333333333338</c:v>
                </c:pt>
                <c:pt idx="6">
                  <c:v>0.82323381613952118</c:v>
                </c:pt>
                <c:pt idx="7">
                  <c:v>0.80509841884478861</c:v>
                </c:pt>
                <c:pt idx="8">
                  <c:v>0.78941141674060933</c:v>
                </c:pt>
                <c:pt idx="9">
                  <c:v>0.72947430596574125</c:v>
                </c:pt>
                <c:pt idx="10">
                  <c:v>0.77548428072403941</c:v>
                </c:pt>
                <c:pt idx="11">
                  <c:v>0.78251445086705207</c:v>
                </c:pt>
                <c:pt idx="12">
                  <c:v>0.82499059089198346</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date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Offset val="100"/>
        <c:baseTimeUnit val="months"/>
      </c:date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Call Volume</a:t>
            </a:r>
          </a:p>
        </c:rich>
      </c:tx>
      <c:layout>
        <c:manualLayout>
          <c:xMode val="edge"/>
          <c:yMode val="edge"/>
          <c:x val="0.27220835857056325"/>
          <c:y val="9.329671665701186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1.961924889881797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8E-45D3-B91E-D9F964FA93C1}"/>
                </c:ext>
              </c:extLst>
            </c:dLbl>
            <c:dLbl>
              <c:idx val="2"/>
              <c:layout>
                <c:manualLayout>
                  <c:x val="-1.68962441939161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8E-45D3-B91E-D9F964FA93C1}"/>
                </c:ext>
              </c:extLst>
            </c:dLbl>
            <c:dLbl>
              <c:idx val="5"/>
              <c:layout>
                <c:manualLayout>
                  <c:x val="-1.8257746546366985E-2"/>
                  <c:y val="-3.29313047840592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8E-45D3-B91E-D9F964FA93C1}"/>
                </c:ext>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42155</c:v>
                </c:pt>
                <c:pt idx="1">
                  <c:v>42185</c:v>
                </c:pt>
                <c:pt idx="2">
                  <c:v>42216</c:v>
                </c:pt>
                <c:pt idx="3">
                  <c:v>42247</c:v>
                </c:pt>
                <c:pt idx="4">
                  <c:v>42277</c:v>
                </c:pt>
                <c:pt idx="5">
                  <c:v>42308</c:v>
                </c:pt>
                <c:pt idx="6">
                  <c:v>42338</c:v>
                </c:pt>
                <c:pt idx="7">
                  <c:v>42369</c:v>
                </c:pt>
                <c:pt idx="8">
                  <c:v>42400</c:v>
                </c:pt>
                <c:pt idx="9">
                  <c:v>42428</c:v>
                </c:pt>
                <c:pt idx="10">
                  <c:v>42460</c:v>
                </c:pt>
                <c:pt idx="11">
                  <c:v>42490</c:v>
                </c:pt>
                <c:pt idx="12">
                  <c:v>42521</c:v>
                </c:pt>
              </c:numCache>
            </c:numRef>
          </c:cat>
          <c:val>
            <c:numRef>
              <c:f>'Summary Data'!$FP$13:$HV$13</c:f>
              <c:numCache>
                <c:formatCode>_(* #,##0_);_(* \(#,##0\);_(* "-"??_);_(@_)</c:formatCode>
                <c:ptCount val="13"/>
                <c:pt idx="0">
                  <c:v>3507</c:v>
                </c:pt>
                <c:pt idx="1">
                  <c:v>3520</c:v>
                </c:pt>
                <c:pt idx="2">
                  <c:v>3346</c:v>
                </c:pt>
                <c:pt idx="3">
                  <c:v>3041</c:v>
                </c:pt>
                <c:pt idx="4">
                  <c:v>3412</c:v>
                </c:pt>
                <c:pt idx="5">
                  <c:v>3991</c:v>
                </c:pt>
                <c:pt idx="6">
                  <c:v>3680</c:v>
                </c:pt>
                <c:pt idx="7">
                  <c:v>3609</c:v>
                </c:pt>
                <c:pt idx="8">
                  <c:v>3651</c:v>
                </c:pt>
                <c:pt idx="9">
                  <c:v>3966</c:v>
                </c:pt>
                <c:pt idx="10">
                  <c:v>3630</c:v>
                </c:pt>
                <c:pt idx="11">
                  <c:v>3182</c:v>
                </c:pt>
                <c:pt idx="12">
                  <c:v>3039</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dateAx>
        <c:axId val="207130624"/>
        <c:scaling>
          <c:orientation val="minMax"/>
        </c:scaling>
        <c:delete val="0"/>
        <c:axPos val="b"/>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Offset val="100"/>
        <c:baseTimeUnit val="months"/>
      </c:dateAx>
      <c:valAx>
        <c:axId val="207131016"/>
        <c:scaling>
          <c:orientation val="minMax"/>
          <c:max val="13000"/>
          <c:min val="100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Tickets</a:t>
            </a:r>
          </a:p>
        </c:rich>
      </c:tx>
      <c:layout>
        <c:manualLayout>
          <c:xMode val="edge"/>
          <c:yMode val="edge"/>
          <c:x val="0.29457396046353101"/>
          <c:y val="1.8042036084072169E-3"/>
        </c:manualLayout>
      </c:layout>
      <c:overlay val="1"/>
    </c:title>
    <c:autoTitleDeleted val="0"/>
    <c:plotArea>
      <c:layout>
        <c:manualLayout>
          <c:layoutTarget val="inner"/>
          <c:xMode val="edge"/>
          <c:yMode val="edge"/>
          <c:x val="7.7653193192430914E-2"/>
          <c:y val="4.2071400521340958E-2"/>
          <c:w val="0.91869013305852421"/>
          <c:h val="0.82958053471662496"/>
        </c:manualLayout>
      </c:layout>
      <c:lineChart>
        <c:grouping val="standard"/>
        <c:varyColors val="0"/>
        <c:ser>
          <c:idx val="0"/>
          <c:order val="0"/>
          <c:tx>
            <c:strRef>
              <c:f>'Summary Data'!$FO$22</c:f>
              <c:strCache>
                <c:ptCount val="1"/>
                <c:pt idx="0">
                  <c:v>New Tickets</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0"/>
              <c:layout>
                <c:manualLayout>
                  <c:x val="-2.0513960256808988E-2"/>
                  <c:y val="3.4834731852882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D24-4E0E-B91F-6C9C08628098}"/>
                </c:ext>
              </c:extLst>
            </c:dLbl>
            <c:dLbl>
              <c:idx val="1"/>
              <c:layout>
                <c:manualLayout>
                  <c:x val="-2.1872274014024667E-2"/>
                  <c:y val="-3.28898215998801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D24-4E0E-B91F-6C9C08628098}"/>
                </c:ext>
              </c:extLst>
            </c:dLbl>
            <c:dLbl>
              <c:idx val="2"/>
              <c:layout>
                <c:manualLayout>
                  <c:x val="-2.0513960256809051E-2"/>
                  <c:y val="3.48347318528825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24-4E0E-B91F-6C9C08628098}"/>
                </c:ext>
              </c:extLst>
            </c:dLbl>
            <c:dLbl>
              <c:idx val="3"/>
              <c:layout>
                <c:manualLayout>
                  <c:x val="-2.0513960256809002E-2"/>
                  <c:y val="-3.63628756230987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1D4-480E-93EE-D3985FB6AC69}"/>
                </c:ext>
              </c:extLst>
            </c:dLbl>
            <c:dLbl>
              <c:idx val="4"/>
              <c:layout>
                <c:manualLayout>
                  <c:x val="-2.0513960256809002E-2"/>
                  <c:y val="3.4834731852882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D24-4E0E-B91F-6C9C08628098}"/>
                </c:ext>
              </c:extLst>
            </c:dLbl>
            <c:dLbl>
              <c:idx val="5"/>
              <c:layout>
                <c:manualLayout>
                  <c:x val="-2.0513960256809002E-2"/>
                  <c:y val="-3.46263486114894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24-4E0E-B91F-6C9C08628098}"/>
                </c:ext>
              </c:extLst>
            </c:dLbl>
            <c:dLbl>
              <c:idx val="6"/>
              <c:layout>
                <c:manualLayout>
                  <c:x val="-2.1872274014024643E-2"/>
                  <c:y val="-3.63628756230987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D24-4E0E-B91F-6C9C08628098}"/>
                </c:ext>
              </c:extLst>
            </c:dLbl>
            <c:dLbl>
              <c:idx val="7"/>
              <c:layout>
                <c:manualLayout>
                  <c:x val="-2.1872274014024643E-2"/>
                  <c:y val="3.65712588644916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24-4E0E-B91F-6C9C08628098}"/>
                </c:ext>
              </c:extLst>
            </c:dLbl>
            <c:dLbl>
              <c:idx val="8"/>
              <c:layout>
                <c:manualLayout>
                  <c:x val="-2.0513960256809002E-2"/>
                  <c:y val="3.83077858761011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D24-4E0E-B91F-6C9C08628098}"/>
                </c:ext>
              </c:extLst>
            </c:dLbl>
            <c:dLbl>
              <c:idx val="9"/>
              <c:layout>
                <c:manualLayout>
                  <c:x val="-1.9155646499593362E-2"/>
                  <c:y val="-3.80994026347080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D24-4E0E-B91F-6C9C08628098}"/>
                </c:ext>
              </c:extLst>
            </c:dLbl>
            <c:dLbl>
              <c:idx val="10"/>
              <c:layout>
                <c:manualLayout>
                  <c:x val="-2.0513960256809103E-2"/>
                  <c:y val="3.48347318528825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D24-4E0E-B91F-6C9C08628098}"/>
                </c:ext>
              </c:extLst>
            </c:dLbl>
            <c:dLbl>
              <c:idx val="11"/>
              <c:layout>
                <c:manualLayout>
                  <c:x val="-2.1872274014024643E-2"/>
                  <c:y val="3.30982048412732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D24-4E0E-B91F-6C9C08628098}"/>
                </c:ext>
              </c:extLst>
            </c:dLbl>
            <c:dLbl>
              <c:idx val="12"/>
              <c:layout>
                <c:manualLayout>
                  <c:x val="-1.9155646499593362E-2"/>
                  <c:y val="3.83077858761009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D24-4E0E-B91F-6C9C08628098}"/>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42155</c:v>
                </c:pt>
                <c:pt idx="1">
                  <c:v>42185</c:v>
                </c:pt>
                <c:pt idx="2">
                  <c:v>42216</c:v>
                </c:pt>
                <c:pt idx="3">
                  <c:v>42247</c:v>
                </c:pt>
                <c:pt idx="4">
                  <c:v>42277</c:v>
                </c:pt>
                <c:pt idx="5">
                  <c:v>42308</c:v>
                </c:pt>
                <c:pt idx="6">
                  <c:v>42338</c:v>
                </c:pt>
                <c:pt idx="7">
                  <c:v>42369</c:v>
                </c:pt>
                <c:pt idx="8">
                  <c:v>42400</c:v>
                </c:pt>
                <c:pt idx="9">
                  <c:v>42428</c:v>
                </c:pt>
                <c:pt idx="10">
                  <c:v>42460</c:v>
                </c:pt>
                <c:pt idx="11">
                  <c:v>42490</c:v>
                </c:pt>
                <c:pt idx="12">
                  <c:v>42521</c:v>
                </c:pt>
              </c:numCache>
            </c:numRef>
          </c:cat>
          <c:val>
            <c:numRef>
              <c:f>'Summary Data'!$FP$22:$HV$22</c:f>
              <c:numCache>
                <c:formatCode>_(* #,##0_);_(* \(#,##0\);_(* "-"??_);_(@_)</c:formatCode>
                <c:ptCount val="13"/>
                <c:pt idx="0">
                  <c:v>6607</c:v>
                </c:pt>
                <c:pt idx="1">
                  <c:v>7352</c:v>
                </c:pt>
                <c:pt idx="2">
                  <c:v>7541</c:v>
                </c:pt>
                <c:pt idx="3">
                  <c:v>7048</c:v>
                </c:pt>
                <c:pt idx="4">
                  <c:v>6782</c:v>
                </c:pt>
                <c:pt idx="5">
                  <c:v>7289</c:v>
                </c:pt>
                <c:pt idx="6">
                  <c:v>7028</c:v>
                </c:pt>
                <c:pt idx="7">
                  <c:v>7247</c:v>
                </c:pt>
                <c:pt idx="8">
                  <c:v>6883</c:v>
                </c:pt>
                <c:pt idx="9">
                  <c:v>7569</c:v>
                </c:pt>
                <c:pt idx="10">
                  <c:v>7006</c:v>
                </c:pt>
                <c:pt idx="11">
                  <c:v>6358</c:v>
                </c:pt>
                <c:pt idx="12">
                  <c:v>5948</c:v>
                </c:pt>
              </c:numCache>
            </c:numRef>
          </c:val>
          <c:smooth val="0"/>
          <c:extLst>
            <c:ext xmlns:c16="http://schemas.microsoft.com/office/drawing/2014/chart" uri="{C3380CC4-5D6E-409C-BE32-E72D297353CC}">
              <c16:uniqueId val="{0000000D-3D24-4E0E-B91F-6C9C08628098}"/>
            </c:ext>
          </c:extLst>
        </c:ser>
        <c:ser>
          <c:idx val="1"/>
          <c:order val="1"/>
          <c:tx>
            <c:strRef>
              <c:f>'Summary Data'!$FO$28</c:f>
              <c:strCache>
                <c:ptCount val="1"/>
                <c:pt idx="0">
                  <c:v>Resolved Tickets</c:v>
                </c:pt>
              </c:strCache>
            </c:strRef>
          </c:tx>
          <c:dLbls>
            <c:dLbl>
              <c:idx val="0"/>
              <c:layout>
                <c:manualLayout>
                  <c:x val="-2.0513960256809016E-2"/>
                  <c:y val="-3.40271784252790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D24-4E0E-B91F-6C9C08628098}"/>
                </c:ext>
              </c:extLst>
            </c:dLbl>
            <c:dLbl>
              <c:idx val="1"/>
              <c:layout>
                <c:manualLayout>
                  <c:x val="-1.9155646499593362E-2"/>
                  <c:y val="3.36973750274836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D24-4E0E-B91F-6C9C08628098}"/>
                </c:ext>
              </c:extLst>
            </c:dLbl>
            <c:dLbl>
              <c:idx val="2"/>
              <c:layout>
                <c:manualLayout>
                  <c:x val="-1.915564649959341E-2"/>
                  <c:y val="-3.65712588644918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D24-4E0E-B91F-6C9C08628098}"/>
                </c:ext>
              </c:extLst>
            </c:dLbl>
            <c:dLbl>
              <c:idx val="3"/>
              <c:layout>
                <c:manualLayout>
                  <c:x val="-1.9155646499593362E-2"/>
                  <c:y val="3.1153294588270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D24-4E0E-B91F-6C9C08628098}"/>
                </c:ext>
              </c:extLst>
            </c:dLbl>
            <c:dLbl>
              <c:idx val="4"/>
              <c:layout>
                <c:manualLayout>
                  <c:x val="-1.9155646499593362E-2"/>
                  <c:y val="-3.83077858761011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D24-4E0E-B91F-6C9C08628098}"/>
                </c:ext>
              </c:extLst>
            </c:dLbl>
            <c:dLbl>
              <c:idx val="5"/>
              <c:layout>
                <c:manualLayout>
                  <c:x val="-1.7797332742377721E-2"/>
                  <c:y val="3.63628756230987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1D4-480E-93EE-D3985FB6AC69}"/>
                </c:ext>
              </c:extLst>
            </c:dLbl>
            <c:dLbl>
              <c:idx val="6"/>
              <c:layout>
                <c:manualLayout>
                  <c:x val="-1.9155646499593362E-2"/>
                  <c:y val="3.4626348611489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D24-4E0E-B91F-6C9C08628098}"/>
                </c:ext>
              </c:extLst>
            </c:dLbl>
            <c:dLbl>
              <c:idx val="7"/>
              <c:layout>
                <c:manualLayout>
                  <c:x val="-2.0513960256809002E-2"/>
                  <c:y val="-3.48347318528825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D24-4E0E-B91F-6C9C08628098}"/>
                </c:ext>
              </c:extLst>
            </c:dLbl>
            <c:dLbl>
              <c:idx val="8"/>
              <c:layout>
                <c:manualLayout>
                  <c:x val="-1.9155646499593362E-2"/>
                  <c:y val="-3.48347318528825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D24-4E0E-B91F-6C9C08628098}"/>
                </c:ext>
              </c:extLst>
            </c:dLbl>
            <c:dLbl>
              <c:idx val="9"/>
              <c:layout>
                <c:manualLayout>
                  <c:x val="-1.9155646499593362E-2"/>
                  <c:y val="3.46263486114894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D24-4E0E-B91F-6C9C08628098}"/>
                </c:ext>
              </c:extLst>
            </c:dLbl>
            <c:dLbl>
              <c:idx val="10"/>
              <c:layout>
                <c:manualLayout>
                  <c:x val="-1.9155646499593462E-2"/>
                  <c:y val="-3.30982048412732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D24-4E0E-B91F-6C9C08628098}"/>
                </c:ext>
              </c:extLst>
            </c:dLbl>
            <c:dLbl>
              <c:idx val="11"/>
              <c:layout>
                <c:manualLayout>
                  <c:x val="-1.9155646499593462E-2"/>
                  <c:y val="-3.83077858761011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D24-4E0E-B91F-6C9C08628098}"/>
                </c:ext>
              </c:extLst>
            </c:dLbl>
            <c:dLbl>
              <c:idx val="12"/>
              <c:layout>
                <c:manualLayout>
                  <c:x val="-2.0513960256809002E-2"/>
                  <c:y val="-3.30982048412732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D24-4E0E-B91F-6C9C08628098}"/>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42155</c:v>
                </c:pt>
                <c:pt idx="1">
                  <c:v>42185</c:v>
                </c:pt>
                <c:pt idx="2">
                  <c:v>42216</c:v>
                </c:pt>
                <c:pt idx="3">
                  <c:v>42247</c:v>
                </c:pt>
                <c:pt idx="4">
                  <c:v>42277</c:v>
                </c:pt>
                <c:pt idx="5">
                  <c:v>42308</c:v>
                </c:pt>
                <c:pt idx="6">
                  <c:v>42338</c:v>
                </c:pt>
                <c:pt idx="7">
                  <c:v>42369</c:v>
                </c:pt>
                <c:pt idx="8">
                  <c:v>42400</c:v>
                </c:pt>
                <c:pt idx="9">
                  <c:v>42428</c:v>
                </c:pt>
                <c:pt idx="10">
                  <c:v>42460</c:v>
                </c:pt>
                <c:pt idx="11">
                  <c:v>42490</c:v>
                </c:pt>
                <c:pt idx="12">
                  <c:v>42521</c:v>
                </c:pt>
              </c:numCache>
            </c:numRef>
          </c:cat>
          <c:val>
            <c:numRef>
              <c:f>'Summary Data'!$FP$28:$HV$28</c:f>
              <c:numCache>
                <c:formatCode>_(* #,##0_);_(* \(#,##0\);_(* "-"??_);_(@_)</c:formatCode>
                <c:ptCount val="13"/>
                <c:pt idx="0">
                  <c:v>6775</c:v>
                </c:pt>
                <c:pt idx="1">
                  <c:v>7303</c:v>
                </c:pt>
                <c:pt idx="2">
                  <c:v>7717</c:v>
                </c:pt>
                <c:pt idx="3">
                  <c:v>6918</c:v>
                </c:pt>
                <c:pt idx="4">
                  <c:v>6785</c:v>
                </c:pt>
                <c:pt idx="5">
                  <c:v>7262</c:v>
                </c:pt>
                <c:pt idx="6">
                  <c:v>6709</c:v>
                </c:pt>
                <c:pt idx="7">
                  <c:v>7615</c:v>
                </c:pt>
                <c:pt idx="8">
                  <c:v>6893</c:v>
                </c:pt>
                <c:pt idx="9">
                  <c:v>7391</c:v>
                </c:pt>
                <c:pt idx="10">
                  <c:v>7458</c:v>
                </c:pt>
                <c:pt idx="11">
                  <c:v>6601</c:v>
                </c:pt>
                <c:pt idx="12">
                  <c:v>6025</c:v>
                </c:pt>
              </c:numCache>
            </c:numRef>
          </c:val>
          <c:smooth val="0"/>
          <c:extLst>
            <c:ext xmlns:c16="http://schemas.microsoft.com/office/drawing/2014/chart" uri="{C3380CC4-5D6E-409C-BE32-E72D297353CC}">
              <c16:uniqueId val="{0000001A-3D24-4E0E-B91F-6C9C08628098}"/>
            </c:ext>
          </c:extLst>
        </c:ser>
        <c:ser>
          <c:idx val="2"/>
          <c:order val="2"/>
          <c:tx>
            <c:strRef>
              <c:f>'Summary Data'!$FO$30</c:f>
              <c:strCache>
                <c:ptCount val="1"/>
                <c:pt idx="0">
                  <c:v>Open Tickets at Month End</c:v>
                </c:pt>
              </c:strCache>
            </c:strRef>
          </c:tx>
          <c:spPr>
            <a:ln w="25400">
              <a:solidFill>
                <a:schemeClr val="accent3">
                  <a:lumMod val="50000"/>
                </a:schemeClr>
              </a:solidFill>
              <a:prstDash val="solid"/>
            </a:ln>
          </c:spPr>
          <c:marker>
            <c:spPr>
              <a:solidFill>
                <a:schemeClr val="accent3">
                  <a:lumMod val="50000"/>
                </a:schemeClr>
              </a:solidFill>
            </c:spPr>
          </c:marker>
          <c:dLbls>
            <c:dLbl>
              <c:idx val="0"/>
              <c:layout>
                <c:manualLayout>
                  <c:x val="-1.7864999290990766E-2"/>
                  <c:y val="-2.5391082959480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D24-4E0E-B91F-6C9C08628098}"/>
                </c:ext>
              </c:extLst>
            </c:dLbl>
            <c:dLbl>
              <c:idx val="1"/>
              <c:layout>
                <c:manualLayout>
                  <c:x val="-1.9194671218245026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D24-4E0E-B91F-6C9C08628098}"/>
                </c:ext>
              </c:extLst>
            </c:dLbl>
            <c:dLbl>
              <c:idx val="2"/>
              <c:layout>
                <c:manualLayout>
                  <c:x val="-1.7851012701682115E-2"/>
                  <c:y val="-3.06720793865584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D24-4E0E-B91F-6C9C08628098}"/>
                </c:ext>
              </c:extLst>
            </c:dLbl>
            <c:dLbl>
              <c:idx val="3"/>
              <c:layout>
                <c:manualLayout>
                  <c:x val="-1.7851012701682115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D24-4E0E-B91F-6C9C08628098}"/>
                </c:ext>
              </c:extLst>
            </c:dLbl>
            <c:dLbl>
              <c:idx val="4"/>
              <c:layout>
                <c:manualLayout>
                  <c:x val="-1.783145205008883E-2"/>
                  <c:y val="-2.89767912869159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3D24-4E0E-B91F-6C9C08628098}"/>
                </c:ext>
              </c:extLst>
            </c:dLbl>
            <c:dLbl>
              <c:idx val="5"/>
              <c:layout>
                <c:manualLayout>
                  <c:x val="-1.7851012701682063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3D24-4E0E-B91F-6C9C08628098}"/>
                </c:ext>
              </c:extLst>
            </c:dLbl>
            <c:dLbl>
              <c:idx val="6"/>
              <c:layout>
                <c:manualLayout>
                  <c:x val="-2.0607163368382635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3D24-4E0E-B91F-6C9C08628098}"/>
                </c:ext>
              </c:extLst>
            </c:dLbl>
            <c:dLbl>
              <c:idx val="7"/>
              <c:layout>
                <c:manualLayout>
                  <c:x val="-2.05972873022774E-2"/>
                  <c:y val="-2.72270100095757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3D24-4E0E-B91F-6C9C08628098}"/>
                </c:ext>
              </c:extLst>
            </c:dLbl>
            <c:dLbl>
              <c:idx val="8"/>
              <c:layout>
                <c:manualLayout>
                  <c:x val="-1.6477857878475801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3D24-4E0E-B91F-6C9C08628098}"/>
                </c:ext>
              </c:extLst>
            </c:dLbl>
            <c:dLbl>
              <c:idx val="9"/>
              <c:layout>
                <c:manualLayout>
                  <c:x val="-2.0597322348094752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3D24-4E0E-B91F-6C9C08628098}"/>
                </c:ext>
              </c:extLst>
            </c:dLbl>
            <c:dLbl>
              <c:idx val="10"/>
              <c:layout>
                <c:manualLayout>
                  <c:x val="-1.9224299416560627E-2"/>
                  <c:y val="-2.71724499004553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3D24-4E0E-B91F-6C9C08628098}"/>
                </c:ext>
              </c:extLst>
            </c:dLbl>
            <c:dLbl>
              <c:idx val="11"/>
              <c:layout>
                <c:manualLayout>
                  <c:x val="-1.7850989485210061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3D24-4E0E-B91F-6C9C08628098}"/>
                </c:ext>
              </c:extLst>
            </c:dLbl>
            <c:dLbl>
              <c:idx val="12"/>
              <c:layout>
                <c:manualLayout>
                  <c:x val="-1.9214310749382627E-2"/>
                  <c:y val="-2.8670177635878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3D24-4E0E-B91F-6C9C08628098}"/>
                </c:ext>
              </c:extLst>
            </c:dLbl>
            <c:dLbl>
              <c:idx val="13"/>
              <c:layout>
                <c:manualLayout>
                  <c:x val="-1.9086571233810613E-2"/>
                  <c:y val="-2.62467191601050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3D24-4E0E-B91F-6C9C0862809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42155</c:v>
                </c:pt>
                <c:pt idx="1">
                  <c:v>42185</c:v>
                </c:pt>
                <c:pt idx="2">
                  <c:v>42216</c:v>
                </c:pt>
                <c:pt idx="3">
                  <c:v>42247</c:v>
                </c:pt>
                <c:pt idx="4">
                  <c:v>42277</c:v>
                </c:pt>
                <c:pt idx="5">
                  <c:v>42308</c:v>
                </c:pt>
                <c:pt idx="6">
                  <c:v>42338</c:v>
                </c:pt>
                <c:pt idx="7">
                  <c:v>42369</c:v>
                </c:pt>
                <c:pt idx="8">
                  <c:v>42400</c:v>
                </c:pt>
                <c:pt idx="9">
                  <c:v>42428</c:v>
                </c:pt>
                <c:pt idx="10">
                  <c:v>42460</c:v>
                </c:pt>
                <c:pt idx="11">
                  <c:v>42490</c:v>
                </c:pt>
                <c:pt idx="12">
                  <c:v>42521</c:v>
                </c:pt>
              </c:numCache>
            </c:numRef>
          </c:cat>
          <c:val>
            <c:numRef>
              <c:f>'Summary Data'!$FP$30:$HV$30</c:f>
              <c:numCache>
                <c:formatCode>_(* #,##0_);_(* \(#,##0\);_(* "-"??_);_(@_)</c:formatCode>
                <c:ptCount val="13"/>
                <c:pt idx="0">
                  <c:v>711</c:v>
                </c:pt>
                <c:pt idx="1">
                  <c:v>855</c:v>
                </c:pt>
                <c:pt idx="2">
                  <c:v>738</c:v>
                </c:pt>
                <c:pt idx="3">
                  <c:v>924</c:v>
                </c:pt>
                <c:pt idx="4">
                  <c:v>994</c:v>
                </c:pt>
                <c:pt idx="5">
                  <c:v>1082</c:v>
                </c:pt>
                <c:pt idx="6">
                  <c:v>1480</c:v>
                </c:pt>
                <c:pt idx="7">
                  <c:v>1179</c:v>
                </c:pt>
                <c:pt idx="8">
                  <c:v>1234</c:v>
                </c:pt>
                <c:pt idx="9">
                  <c:v>1488</c:v>
                </c:pt>
                <c:pt idx="10">
                  <c:v>1093</c:v>
                </c:pt>
                <c:pt idx="11">
                  <c:v>918</c:v>
                </c:pt>
                <c:pt idx="12">
                  <c:v>903</c:v>
                </c:pt>
              </c:numCache>
            </c:numRef>
          </c:val>
          <c:smooth val="0"/>
          <c:extLst>
            <c:ext xmlns:c16="http://schemas.microsoft.com/office/drawing/2014/chart" uri="{C3380CC4-5D6E-409C-BE32-E72D297353CC}">
              <c16:uniqueId val="{00000029-3D24-4E0E-B91F-6C9C08628098}"/>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65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500"/>
      </c:valAx>
      <c:spPr>
        <a:solidFill>
          <a:schemeClr val="accent3">
            <a:lumMod val="20000"/>
            <a:lumOff val="80000"/>
          </a:schemeClr>
        </a:solidFill>
      </c:spPr>
    </c:plotArea>
    <c:legend>
      <c:legendPos val="b"/>
      <c:layout>
        <c:manualLayout>
          <c:xMode val="edge"/>
          <c:yMode val="edge"/>
          <c:x val="0.26104407194499574"/>
          <c:y val="0.9599244976267769"/>
          <c:w val="0.49910202942423632"/>
          <c:h val="2.6418803948718986E-2"/>
        </c:manualLayout>
      </c:layout>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Remittance Advices Processed </a:t>
            </a:r>
          </a:p>
        </c:rich>
      </c:tx>
      <c:layout>
        <c:manualLayout>
          <c:xMode val="edge"/>
          <c:yMode val="edge"/>
          <c:x val="0.25758837132474399"/>
          <c:y val="1.038961038961039E-2"/>
        </c:manualLayout>
      </c:layout>
      <c:overlay val="0"/>
    </c:title>
    <c:autoTitleDeleted val="0"/>
    <c:plotArea>
      <c:layout>
        <c:manualLayout>
          <c:layoutTarget val="inner"/>
          <c:xMode val="edge"/>
          <c:yMode val="edge"/>
          <c:x val="6.8341462299403521E-2"/>
          <c:y val="6.5952467294012759E-2"/>
          <c:w val="0.90920279167284457"/>
          <c:h val="0.85270648649697312"/>
        </c:manualLayout>
      </c:layout>
      <c:lineChart>
        <c:grouping val="standard"/>
        <c:varyColors val="0"/>
        <c:ser>
          <c:idx val="0"/>
          <c:order val="0"/>
          <c:tx>
            <c:strRef>
              <c:f>'Summary Data'!$FO$37</c:f>
              <c:strCache>
                <c:ptCount val="1"/>
                <c:pt idx="0">
                  <c:v>Bi Weekly Payrolls</c:v>
                </c:pt>
              </c:strCache>
            </c:strRef>
          </c:tx>
          <c:dLbls>
            <c:dLbl>
              <c:idx val="2"/>
              <c:layout>
                <c:manualLayout>
                  <c:x val="-1.8697126531155992E-2"/>
                  <c:y val="-3.51568589065521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2BF-489C-8E3C-FDBB3ECE8241}"/>
                </c:ext>
              </c:extLst>
            </c:dLbl>
            <c:dLbl>
              <c:idx val="3"/>
              <c:layout>
                <c:manualLayout>
                  <c:x val="-1.7371326110470077E-2"/>
                  <c:y val="3.72073127699157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7FC-4106-BEFE-27177F953623}"/>
                </c:ext>
              </c:extLst>
            </c:dLbl>
            <c:dLbl>
              <c:idx val="4"/>
              <c:layout>
                <c:manualLayout>
                  <c:x val="-1.8697126531155944E-2"/>
                  <c:y val="3.54843563014282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371-4619-8896-ADA432053125}"/>
                </c:ext>
              </c:extLst>
            </c:dLbl>
            <c:dLbl>
              <c:idx val="5"/>
              <c:layout>
                <c:manualLayout>
                  <c:x val="-1.8697126531156041E-2"/>
                  <c:y val="3.72073127699157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011-4C6A-99F1-485859951C33}"/>
                </c:ext>
              </c:extLst>
            </c:dLbl>
            <c:dLbl>
              <c:idx val="7"/>
              <c:layout>
                <c:manualLayout>
                  <c:x val="-1.8697126531155944E-2"/>
                  <c:y val="-4.03257283120141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2BF-489C-8E3C-FDBB3ECE8241}"/>
                </c:ext>
              </c:extLst>
            </c:dLbl>
            <c:dLbl>
              <c:idx val="8"/>
              <c:layout>
                <c:manualLayout>
                  <c:x val="-2.0022926951841814E-2"/>
                  <c:y val="3.72073127699157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7FC-4106-BEFE-27177F953623}"/>
                </c:ext>
              </c:extLst>
            </c:dLbl>
            <c:dLbl>
              <c:idx val="9"/>
              <c:layout>
                <c:manualLayout>
                  <c:x val="-1.8697126531155944E-2"/>
                  <c:y val="4.06532257068903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371-4619-8896-ADA432053125}"/>
                </c:ext>
              </c:extLst>
            </c:dLbl>
            <c:dLbl>
              <c:idx val="10"/>
              <c:layout>
                <c:manualLayout>
                  <c:x val="-1.8697126531155944E-2"/>
                  <c:y val="3.89302692384030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011-4C6A-99F1-485859951C33}"/>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42155</c:v>
                </c:pt>
                <c:pt idx="1">
                  <c:v>42185</c:v>
                </c:pt>
                <c:pt idx="2">
                  <c:v>42216</c:v>
                </c:pt>
                <c:pt idx="3">
                  <c:v>42247</c:v>
                </c:pt>
                <c:pt idx="4">
                  <c:v>42277</c:v>
                </c:pt>
                <c:pt idx="5">
                  <c:v>42308</c:v>
                </c:pt>
                <c:pt idx="6">
                  <c:v>42338</c:v>
                </c:pt>
                <c:pt idx="7">
                  <c:v>42369</c:v>
                </c:pt>
                <c:pt idx="8">
                  <c:v>42400</c:v>
                </c:pt>
                <c:pt idx="9">
                  <c:v>42428</c:v>
                </c:pt>
                <c:pt idx="10">
                  <c:v>42460</c:v>
                </c:pt>
                <c:pt idx="11">
                  <c:v>42490</c:v>
                </c:pt>
                <c:pt idx="12">
                  <c:v>42521</c:v>
                </c:pt>
              </c:numCache>
            </c:numRef>
          </c:cat>
          <c:val>
            <c:numRef>
              <c:f>'Summary Data'!$FP$37:$HV$37</c:f>
              <c:numCache>
                <c:formatCode>_(* #,##0_);_(* \(#,##0\);_(* "-"??_);_(@_)</c:formatCode>
                <c:ptCount val="13"/>
                <c:pt idx="0">
                  <c:v>53303</c:v>
                </c:pt>
                <c:pt idx="1">
                  <c:v>54184</c:v>
                </c:pt>
                <c:pt idx="2">
                  <c:v>81645</c:v>
                </c:pt>
                <c:pt idx="3">
                  <c:v>54094</c:v>
                </c:pt>
                <c:pt idx="4">
                  <c:v>53651</c:v>
                </c:pt>
                <c:pt idx="5">
                  <c:v>53742</c:v>
                </c:pt>
                <c:pt idx="6">
                  <c:v>53448</c:v>
                </c:pt>
                <c:pt idx="7">
                  <c:v>79347</c:v>
                </c:pt>
                <c:pt idx="8">
                  <c:v>55371</c:v>
                </c:pt>
                <c:pt idx="9">
                  <c:v>51241</c:v>
                </c:pt>
                <c:pt idx="10">
                  <c:v>50664</c:v>
                </c:pt>
                <c:pt idx="11">
                  <c:v>51333</c:v>
                </c:pt>
                <c:pt idx="12">
                  <c:v>51619</c:v>
                </c:pt>
              </c:numCache>
            </c:numRef>
          </c:val>
          <c:smooth val="0"/>
          <c:extLst>
            <c:ext xmlns:c16="http://schemas.microsoft.com/office/drawing/2014/chart" uri="{C3380CC4-5D6E-409C-BE32-E72D297353CC}">
              <c16:uniqueId val="{00000002-4011-4C6A-99F1-485859951C33}"/>
            </c:ext>
          </c:extLst>
        </c:ser>
        <c:ser>
          <c:idx val="1"/>
          <c:order val="1"/>
          <c:tx>
            <c:strRef>
              <c:f>'Summary Data'!$FO$38</c:f>
              <c:strCache>
                <c:ptCount val="1"/>
                <c:pt idx="0">
                  <c:v>Monthly Payrolls</c:v>
                </c:pt>
              </c:strCache>
            </c:strRef>
          </c:tx>
          <c:dLbls>
            <c:dLbl>
              <c:idx val="2"/>
              <c:layout>
                <c:manualLayout>
                  <c:x val="-1.8697126531155992E-2"/>
                  <c:y val="3.5156994572415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2BF-489C-8E3C-FDBB3ECE8241}"/>
                </c:ext>
              </c:extLst>
            </c:dLbl>
            <c:dLbl>
              <c:idx val="3"/>
              <c:layout>
                <c:manualLayout>
                  <c:x val="-1.8697126531155944E-2"/>
                  <c:y val="-3.89301335725393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FC-4106-BEFE-27177F953623}"/>
                </c:ext>
              </c:extLst>
            </c:dLbl>
            <c:dLbl>
              <c:idx val="4"/>
              <c:layout>
                <c:manualLayout>
                  <c:x val="-1.8697126531155944E-2"/>
                  <c:y val="-3.72071771040520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371-4619-8896-ADA432053125}"/>
                </c:ext>
              </c:extLst>
            </c:dLbl>
            <c:dLbl>
              <c:idx val="5"/>
              <c:layout>
                <c:manualLayout>
                  <c:x val="-1.8697126531156041E-2"/>
                  <c:y val="-3.72071771040521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011-4C6A-99F1-485859951C33}"/>
                </c:ext>
              </c:extLst>
            </c:dLbl>
            <c:dLbl>
              <c:idx val="7"/>
              <c:layout>
                <c:manualLayout>
                  <c:x val="-1.8697126531155944E-2"/>
                  <c:y val="3.34340381039284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2BF-489C-8E3C-FDBB3ECE8241}"/>
                </c:ext>
              </c:extLst>
            </c:dLbl>
            <c:dLbl>
              <c:idx val="8"/>
              <c:layout>
                <c:manualLayout>
                  <c:x val="-1.8697126531155944E-2"/>
                  <c:y val="-3.89301335725394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7FC-4106-BEFE-27177F953623}"/>
                </c:ext>
              </c:extLst>
            </c:dLbl>
            <c:dLbl>
              <c:idx val="9"/>
              <c:layout>
                <c:manualLayout>
                  <c:x val="-1.8697126531155944E-2"/>
                  <c:y val="-4.0653090041026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371-4619-8896-ADA432053125}"/>
                </c:ext>
              </c:extLst>
            </c:dLbl>
            <c:dLbl>
              <c:idx val="10"/>
              <c:layout>
                <c:manualLayout>
                  <c:x val="-1.8697126531155944E-2"/>
                  <c:y val="-4.0653090041026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011-4C6A-99F1-485859951C33}"/>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42155</c:v>
                </c:pt>
                <c:pt idx="1">
                  <c:v>42185</c:v>
                </c:pt>
                <c:pt idx="2">
                  <c:v>42216</c:v>
                </c:pt>
                <c:pt idx="3">
                  <c:v>42247</c:v>
                </c:pt>
                <c:pt idx="4">
                  <c:v>42277</c:v>
                </c:pt>
                <c:pt idx="5">
                  <c:v>42308</c:v>
                </c:pt>
                <c:pt idx="6">
                  <c:v>42338</c:v>
                </c:pt>
                <c:pt idx="7">
                  <c:v>42369</c:v>
                </c:pt>
                <c:pt idx="8">
                  <c:v>42400</c:v>
                </c:pt>
                <c:pt idx="9">
                  <c:v>42428</c:v>
                </c:pt>
                <c:pt idx="10">
                  <c:v>42460</c:v>
                </c:pt>
                <c:pt idx="11">
                  <c:v>42490</c:v>
                </c:pt>
                <c:pt idx="12">
                  <c:v>42521</c:v>
                </c:pt>
              </c:numCache>
            </c:numRef>
          </c:cat>
          <c:val>
            <c:numRef>
              <c:f>'Summary Data'!$FP$38:$HV$38</c:f>
              <c:numCache>
                <c:formatCode>_(* #,##0_);_(* \(#,##0\);_(* "-"??_);_(@_)</c:formatCode>
                <c:ptCount val="13"/>
                <c:pt idx="0">
                  <c:v>66533</c:v>
                </c:pt>
                <c:pt idx="1">
                  <c:v>66950</c:v>
                </c:pt>
                <c:pt idx="2">
                  <c:v>66972</c:v>
                </c:pt>
                <c:pt idx="3">
                  <c:v>67087</c:v>
                </c:pt>
                <c:pt idx="4">
                  <c:v>67004</c:v>
                </c:pt>
                <c:pt idx="5">
                  <c:v>66983</c:v>
                </c:pt>
                <c:pt idx="6">
                  <c:v>67036</c:v>
                </c:pt>
                <c:pt idx="7">
                  <c:v>67583</c:v>
                </c:pt>
                <c:pt idx="8">
                  <c:v>67306</c:v>
                </c:pt>
                <c:pt idx="9">
                  <c:v>67372</c:v>
                </c:pt>
                <c:pt idx="10">
                  <c:v>67329</c:v>
                </c:pt>
                <c:pt idx="11">
                  <c:v>67258</c:v>
                </c:pt>
                <c:pt idx="12">
                  <c:v>67213</c:v>
                </c:pt>
              </c:numCache>
            </c:numRef>
          </c:val>
          <c:smooth val="0"/>
          <c:extLst>
            <c:ext xmlns:c16="http://schemas.microsoft.com/office/drawing/2014/chart" uri="{C3380CC4-5D6E-409C-BE32-E72D297353CC}">
              <c16:uniqueId val="{00000005-4011-4C6A-99F1-485859951C33}"/>
            </c:ext>
          </c:extLst>
        </c:ser>
        <c:ser>
          <c:idx val="2"/>
          <c:order val="2"/>
          <c:tx>
            <c:strRef>
              <c:f>'Summary Data'!$FO$39</c:f>
              <c:strCache>
                <c:ptCount val="1"/>
                <c:pt idx="0">
                  <c:v>Total Payrolls Processed</c:v>
                </c:pt>
              </c:strCache>
            </c:strRef>
          </c:tx>
          <c:dLbls>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42155</c:v>
                </c:pt>
                <c:pt idx="1">
                  <c:v>42185</c:v>
                </c:pt>
                <c:pt idx="2">
                  <c:v>42216</c:v>
                </c:pt>
                <c:pt idx="3">
                  <c:v>42247</c:v>
                </c:pt>
                <c:pt idx="4">
                  <c:v>42277</c:v>
                </c:pt>
                <c:pt idx="5">
                  <c:v>42308</c:v>
                </c:pt>
                <c:pt idx="6">
                  <c:v>42338</c:v>
                </c:pt>
                <c:pt idx="7">
                  <c:v>42369</c:v>
                </c:pt>
                <c:pt idx="8">
                  <c:v>42400</c:v>
                </c:pt>
                <c:pt idx="9">
                  <c:v>42428</c:v>
                </c:pt>
                <c:pt idx="10">
                  <c:v>42460</c:v>
                </c:pt>
                <c:pt idx="11">
                  <c:v>42490</c:v>
                </c:pt>
                <c:pt idx="12">
                  <c:v>42521</c:v>
                </c:pt>
              </c:numCache>
            </c:numRef>
          </c:cat>
          <c:val>
            <c:numRef>
              <c:f>'Summary Data'!$FP$39:$HV$39</c:f>
              <c:numCache>
                <c:formatCode>_(* #,##0_);_(* \(#,##0\);_(* "-"??_);_(@_)</c:formatCode>
                <c:ptCount val="13"/>
                <c:pt idx="0">
                  <c:v>119836</c:v>
                </c:pt>
                <c:pt idx="1">
                  <c:v>121134</c:v>
                </c:pt>
                <c:pt idx="2">
                  <c:v>148617</c:v>
                </c:pt>
                <c:pt idx="3">
                  <c:v>121181</c:v>
                </c:pt>
                <c:pt idx="4">
                  <c:v>120655</c:v>
                </c:pt>
                <c:pt idx="5">
                  <c:v>120725</c:v>
                </c:pt>
                <c:pt idx="6">
                  <c:v>120484</c:v>
                </c:pt>
                <c:pt idx="7">
                  <c:v>146930</c:v>
                </c:pt>
                <c:pt idx="8">
                  <c:v>122677</c:v>
                </c:pt>
                <c:pt idx="9">
                  <c:v>118613</c:v>
                </c:pt>
                <c:pt idx="10">
                  <c:v>117993</c:v>
                </c:pt>
                <c:pt idx="11">
                  <c:v>118591</c:v>
                </c:pt>
                <c:pt idx="12">
                  <c:v>118832</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date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Offset val="100"/>
        <c:baseTimeUnit val="months"/>
      </c:date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9519729260799776"/>
          <c:y val="0.9622828510072583"/>
          <c:w val="0.41604977772228524"/>
          <c:h val="2.702621263251185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5806139226519801E-2"/>
          <c:y val="7.5710045479283256E-2"/>
          <c:w val="0.88940682414698158"/>
          <c:h val="0.86826612307967588"/>
        </c:manualLayout>
      </c:layout>
      <c:lineChart>
        <c:grouping val="standard"/>
        <c:varyColors val="0"/>
        <c:ser>
          <c:idx val="0"/>
          <c:order val="0"/>
          <c:tx>
            <c:strRef>
              <c:f>'Summary Data'!$FO$40</c:f>
              <c:strCache>
                <c:ptCount val="1"/>
                <c:pt idx="0">
                  <c:v>Payrolls Processed Off-Cycle %</c:v>
                </c:pt>
              </c:strCache>
            </c:strRef>
          </c:tx>
          <c:dLbls>
            <c:dLbl>
              <c:idx val="0"/>
              <c:layout>
                <c:manualLayout>
                  <c:x val="-2.0021626889495239E-2"/>
                  <c:y val="-3.8066200790153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A3F-4133-BCEB-0A04CB064B95}"/>
                </c:ext>
              </c:extLst>
            </c:dLbl>
            <c:dLbl>
              <c:idx val="1"/>
              <c:layout>
                <c:manualLayout>
                  <c:x val="-1.206734086025919E-2"/>
                  <c:y val="-3.8066200790153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A3F-4133-BCEB-0A04CB064B95}"/>
                </c:ext>
              </c:extLst>
            </c:dLbl>
            <c:dLbl>
              <c:idx val="2"/>
              <c:layout>
                <c:manualLayout>
                  <c:x val="-1.8695912551289225E-2"/>
                  <c:y val="-3.63425753136117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A3F-4133-BCEB-0A04CB064B95}"/>
                </c:ext>
              </c:extLst>
            </c:dLbl>
            <c:dLbl>
              <c:idx val="3"/>
              <c:layout>
                <c:manualLayout>
                  <c:x val="-2.0021626889495239E-2"/>
                  <c:y val="-4.15134517432368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A3F-4133-BCEB-0A04CB064B95}"/>
                </c:ext>
              </c:extLst>
            </c:dLbl>
            <c:dLbl>
              <c:idx val="4"/>
              <c:layout>
                <c:manualLayout>
                  <c:x val="-1.7370198213083214E-2"/>
                  <c:y val="-3.2895324360528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A3F-4133-BCEB-0A04CB064B95}"/>
                </c:ext>
              </c:extLst>
            </c:dLbl>
            <c:dLbl>
              <c:idx val="5"/>
              <c:layout>
                <c:manualLayout>
                  <c:x val="-2.5324484242319287E-2"/>
                  <c:y val="-3.8066200790153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A3F-4133-BCEB-0A04CB064B95}"/>
                </c:ext>
              </c:extLst>
            </c:dLbl>
            <c:dLbl>
              <c:idx val="6"/>
              <c:layout>
                <c:manualLayout>
                  <c:x val="-1.7370198213083214E-2"/>
                  <c:y val="-3.8066200790153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A3F-4133-BCEB-0A04CB064B95}"/>
                </c:ext>
              </c:extLst>
            </c:dLbl>
            <c:dLbl>
              <c:idx val="7"/>
              <c:layout>
                <c:manualLayout>
                  <c:x val="-9.4159121838471409E-3"/>
                  <c:y val="-3.8066200790153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A3F-4133-BCEB-0A04CB064B95}"/>
                </c:ext>
              </c:extLst>
            </c:dLbl>
            <c:dLbl>
              <c:idx val="8"/>
              <c:layout>
                <c:manualLayout>
                  <c:x val="-1.60444838748772E-2"/>
                  <c:y val="-3.8066200790153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A3F-4133-BCEB-0A04CB064B95}"/>
                </c:ext>
              </c:extLst>
            </c:dLbl>
            <c:dLbl>
              <c:idx val="9"/>
              <c:layout>
                <c:manualLayout>
                  <c:x val="-1.8695912551289322E-2"/>
                  <c:y val="-3.8066200790153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A3F-4133-BCEB-0A04CB064B95}"/>
                </c:ext>
              </c:extLst>
            </c:dLbl>
            <c:dLbl>
              <c:idx val="10"/>
              <c:layout>
                <c:manualLayout>
                  <c:x val="-2.0021626889495239E-2"/>
                  <c:y val="-3.80662007901534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A3F-4133-BCEB-0A04CB064B95}"/>
                </c:ext>
              </c:extLst>
            </c:dLbl>
            <c:dLbl>
              <c:idx val="11"/>
              <c:layout>
                <c:manualLayout>
                  <c:x val="-1.7370198213083214E-2"/>
                  <c:y val="-3.97898262666950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A3F-4133-BCEB-0A04CB064B95}"/>
                </c:ext>
              </c:extLst>
            </c:dLbl>
            <c:dLbl>
              <c:idx val="12"/>
              <c:layout>
                <c:manualLayout>
                  <c:x val="-1.7370198213083214E-2"/>
                  <c:y val="-3.80662007901534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A3F-4133-BCEB-0A04CB064B95}"/>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42155</c:v>
                </c:pt>
                <c:pt idx="1">
                  <c:v>42185</c:v>
                </c:pt>
                <c:pt idx="2">
                  <c:v>42216</c:v>
                </c:pt>
                <c:pt idx="3">
                  <c:v>42247</c:v>
                </c:pt>
                <c:pt idx="4">
                  <c:v>42277</c:v>
                </c:pt>
                <c:pt idx="5">
                  <c:v>42308</c:v>
                </c:pt>
                <c:pt idx="6">
                  <c:v>42338</c:v>
                </c:pt>
                <c:pt idx="7">
                  <c:v>42369</c:v>
                </c:pt>
                <c:pt idx="8">
                  <c:v>42400</c:v>
                </c:pt>
                <c:pt idx="9">
                  <c:v>42428</c:v>
                </c:pt>
                <c:pt idx="10">
                  <c:v>42460</c:v>
                </c:pt>
                <c:pt idx="11">
                  <c:v>42490</c:v>
                </c:pt>
                <c:pt idx="12">
                  <c:v>42521</c:v>
                </c:pt>
              </c:numCache>
            </c:numRef>
          </c:cat>
          <c:val>
            <c:numRef>
              <c:f>'Summary Data'!$FP$40:$HV$40</c:f>
              <c:numCache>
                <c:formatCode>0.00%</c:formatCode>
                <c:ptCount val="13"/>
                <c:pt idx="0">
                  <c:v>5.0068426850028375E-5</c:v>
                </c:pt>
                <c:pt idx="1">
                  <c:v>2.2289365496062211E-4</c:v>
                </c:pt>
                <c:pt idx="2">
                  <c:v>1.6148892791537981E-4</c:v>
                </c:pt>
                <c:pt idx="3">
                  <c:v>2.5581568067601355E-4</c:v>
                </c:pt>
                <c:pt idx="4">
                  <c:v>2.3206663627698811E-4</c:v>
                </c:pt>
                <c:pt idx="5">
                  <c:v>2.0708221163802029E-4</c:v>
                </c:pt>
                <c:pt idx="6">
                  <c:v>1.3694764450051459E-3</c:v>
                </c:pt>
                <c:pt idx="7">
                  <c:v>3.6752194922752329E-4</c:v>
                </c:pt>
                <c:pt idx="8">
                  <c:v>8.9666359627314004E-5</c:v>
                </c:pt>
                <c:pt idx="9">
                  <c:v>3.0350804717863976E-4</c:v>
                </c:pt>
                <c:pt idx="10">
                  <c:v>4.0680379344537387E-4</c:v>
                </c:pt>
                <c:pt idx="11">
                  <c:v>3.7102309618773768E-4</c:v>
                </c:pt>
                <c:pt idx="12">
                  <c:v>2.0196580045778916E-4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date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Offset val="100"/>
        <c:baseTimeUnit val="months"/>
      </c:dateAx>
      <c:valAx>
        <c:axId val="208429824"/>
        <c:scaling>
          <c:orientation val="minMax"/>
          <c:max val="1.5000000000000005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 OSC ERP HR/Payroll Total Cost Per Employee Payroll Processed</a:t>
            </a:r>
          </a:p>
        </c:rich>
      </c:tx>
      <c:layout>
        <c:manualLayout>
          <c:xMode val="edge"/>
          <c:yMode val="edge"/>
          <c:x val="0.16316337148803328"/>
          <c:y val="1.1408104817996961E-2"/>
        </c:manualLayout>
      </c:layout>
      <c:overlay val="0"/>
    </c:title>
    <c:autoTitleDeleted val="0"/>
    <c:plotArea>
      <c:layout>
        <c:manualLayout>
          <c:layoutTarget val="inner"/>
          <c:xMode val="edge"/>
          <c:yMode val="edge"/>
          <c:x val="6.0111710578198349E-2"/>
          <c:y val="7.3045368377462561E-2"/>
          <c:w val="0.91912958258140565"/>
          <c:h val="0.86051646202209486"/>
        </c:manualLayout>
      </c:layout>
      <c:lineChart>
        <c:grouping val="standard"/>
        <c:varyColors val="0"/>
        <c:ser>
          <c:idx val="0"/>
          <c:order val="0"/>
          <c:tx>
            <c:strRef>
              <c:f>'Summary Data'!$FO$46</c:f>
              <c:strCache>
                <c:ptCount val="1"/>
                <c:pt idx="0">
                  <c:v>Cost Per Employee Payroll</c:v>
                </c:pt>
              </c:strCache>
            </c:strRef>
          </c:tx>
          <c:spPr>
            <a:ln w="25400">
              <a:solidFill>
                <a:schemeClr val="accent1"/>
              </a:solidFill>
              <a:prstDash val="solid"/>
            </a:ln>
          </c:spPr>
          <c:marker>
            <c:symbol val="circle"/>
            <c:size val="7"/>
          </c:marker>
          <c:dLbls>
            <c:dLbl>
              <c:idx val="0"/>
              <c:layout>
                <c:manualLayout>
                  <c:x val="-2.9281006961944481E-2"/>
                  <c:y val="-3.73174138965768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D4E-4107-81DF-CBA5E2E3A130}"/>
                </c:ext>
              </c:extLst>
            </c:dLbl>
            <c:dLbl>
              <c:idx val="2"/>
              <c:layout>
                <c:manualLayout>
                  <c:x val="-1.4017849699746274E-2"/>
                  <c:y val="-3.73174138965767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D4E-4107-81DF-CBA5E2E3A130}"/>
                </c:ext>
              </c:extLst>
            </c:dLbl>
            <c:dLbl>
              <c:idx val="7"/>
              <c:layout>
                <c:manualLayout>
                  <c:x val="-2.7893447210835552E-2"/>
                  <c:y val="-3.90965549664933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D4E-4107-81DF-CBA5E2E3A130}"/>
                </c:ext>
              </c:extLst>
            </c:dLbl>
            <c:dLbl>
              <c:idx val="9"/>
              <c:layout>
                <c:manualLayout>
                  <c:x val="-8.4676106953105613E-3"/>
                  <c:y val="-3.55382728266601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D4E-4107-81DF-CBA5E2E3A130}"/>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42155</c:v>
                </c:pt>
                <c:pt idx="1">
                  <c:v>42185</c:v>
                </c:pt>
                <c:pt idx="2">
                  <c:v>42216</c:v>
                </c:pt>
                <c:pt idx="3">
                  <c:v>42247</c:v>
                </c:pt>
                <c:pt idx="4">
                  <c:v>42277</c:v>
                </c:pt>
                <c:pt idx="5">
                  <c:v>42308</c:v>
                </c:pt>
                <c:pt idx="6">
                  <c:v>42338</c:v>
                </c:pt>
                <c:pt idx="7">
                  <c:v>42369</c:v>
                </c:pt>
                <c:pt idx="8">
                  <c:v>42400</c:v>
                </c:pt>
                <c:pt idx="9">
                  <c:v>42428</c:v>
                </c:pt>
                <c:pt idx="10">
                  <c:v>42460</c:v>
                </c:pt>
                <c:pt idx="11">
                  <c:v>42490</c:v>
                </c:pt>
                <c:pt idx="12">
                  <c:v>42521</c:v>
                </c:pt>
              </c:numCache>
            </c:numRef>
          </c:cat>
          <c:val>
            <c:numRef>
              <c:f>'Summary Data'!$FP$46:$HV$46</c:f>
              <c:numCache>
                <c:formatCode>"$"#,##0.00_);\("$"#,##0.00\)</c:formatCode>
                <c:ptCount val="13"/>
                <c:pt idx="0">
                  <c:v>7.7899269835441762</c:v>
                </c:pt>
                <c:pt idx="1">
                  <c:v>19.240757425660838</c:v>
                </c:pt>
                <c:pt idx="2">
                  <c:v>5.7464934697914778</c:v>
                </c:pt>
                <c:pt idx="3">
                  <c:v>7.2803860341142581</c:v>
                </c:pt>
                <c:pt idx="4">
                  <c:v>7.259557664415067</c:v>
                </c:pt>
                <c:pt idx="5">
                  <c:v>8.3566230689583776</c:v>
                </c:pt>
                <c:pt idx="6">
                  <c:v>7.7029146608678332</c:v>
                </c:pt>
                <c:pt idx="7">
                  <c:v>6.9576184577690059</c:v>
                </c:pt>
                <c:pt idx="8">
                  <c:v>23.768378017069214</c:v>
                </c:pt>
                <c:pt idx="9">
                  <c:v>8.4477706490856814</c:v>
                </c:pt>
                <c:pt idx="10">
                  <c:v>7.6528401684845715</c:v>
                </c:pt>
                <c:pt idx="11">
                  <c:v>5.8909297501496738</c:v>
                </c:pt>
                <c:pt idx="12">
                  <c:v>8.5097287767604701</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System Availability</a:t>
            </a:r>
          </a:p>
        </c:rich>
      </c:tx>
      <c:layout>
        <c:manualLayout>
          <c:xMode val="edge"/>
          <c:yMode val="edge"/>
          <c:x val="0.30218008463227924"/>
          <c:y val="5.449658792650957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Data'!$FO$66</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42155</c:v>
                </c:pt>
                <c:pt idx="1">
                  <c:v>42185</c:v>
                </c:pt>
                <c:pt idx="2">
                  <c:v>42216</c:v>
                </c:pt>
                <c:pt idx="3">
                  <c:v>42247</c:v>
                </c:pt>
                <c:pt idx="4">
                  <c:v>42277</c:v>
                </c:pt>
                <c:pt idx="5">
                  <c:v>42308</c:v>
                </c:pt>
                <c:pt idx="6">
                  <c:v>42338</c:v>
                </c:pt>
                <c:pt idx="7">
                  <c:v>42369</c:v>
                </c:pt>
                <c:pt idx="8">
                  <c:v>42400</c:v>
                </c:pt>
                <c:pt idx="9">
                  <c:v>42428</c:v>
                </c:pt>
                <c:pt idx="10">
                  <c:v>42460</c:v>
                </c:pt>
                <c:pt idx="11">
                  <c:v>42490</c:v>
                </c:pt>
                <c:pt idx="12">
                  <c:v>42521</c:v>
                </c:pt>
              </c:numCache>
            </c:numRef>
          </c:cat>
          <c:val>
            <c:numRef>
              <c:f>'Summary Data'!$FP$66:$HV$66</c:f>
              <c:numCache>
                <c:formatCode>0.00%</c:formatCode>
                <c:ptCount val="13"/>
                <c:pt idx="0">
                  <c:v>1</c:v>
                </c:pt>
                <c:pt idx="1">
                  <c:v>1</c:v>
                </c:pt>
                <c:pt idx="2">
                  <c:v>1</c:v>
                </c:pt>
                <c:pt idx="3">
                  <c:v>1</c:v>
                </c:pt>
                <c:pt idx="4">
                  <c:v>1</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Data'!$FO$67</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42155</c:v>
                </c:pt>
                <c:pt idx="1">
                  <c:v>42185</c:v>
                </c:pt>
                <c:pt idx="2">
                  <c:v>42216</c:v>
                </c:pt>
                <c:pt idx="3">
                  <c:v>42247</c:v>
                </c:pt>
                <c:pt idx="4">
                  <c:v>42277</c:v>
                </c:pt>
                <c:pt idx="5">
                  <c:v>42308</c:v>
                </c:pt>
                <c:pt idx="6">
                  <c:v>42338</c:v>
                </c:pt>
                <c:pt idx="7">
                  <c:v>42369</c:v>
                </c:pt>
                <c:pt idx="8">
                  <c:v>42400</c:v>
                </c:pt>
                <c:pt idx="9">
                  <c:v>42428</c:v>
                </c:pt>
                <c:pt idx="10">
                  <c:v>42460</c:v>
                </c:pt>
                <c:pt idx="11">
                  <c:v>42490</c:v>
                </c:pt>
                <c:pt idx="12">
                  <c:v>42521</c:v>
                </c:pt>
              </c:numCache>
            </c:numRef>
          </c:cat>
          <c:val>
            <c:numRef>
              <c:f>'Summary Data'!$FP$67:$HV$67</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3752938025604073"/>
          <c:y val="0.95896748906386708"/>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BI System Availability</a:t>
            </a:r>
          </a:p>
        </c:rich>
      </c:tx>
      <c:layout>
        <c:manualLayout>
          <c:xMode val="edge"/>
          <c:yMode val="edge"/>
          <c:x val="0.29944215688635251"/>
          <c:y val="5.44960941969444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Data'!$FO$68</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42155</c:v>
                </c:pt>
                <c:pt idx="1">
                  <c:v>42185</c:v>
                </c:pt>
                <c:pt idx="2">
                  <c:v>42216</c:v>
                </c:pt>
                <c:pt idx="3">
                  <c:v>42247</c:v>
                </c:pt>
                <c:pt idx="4">
                  <c:v>42277</c:v>
                </c:pt>
                <c:pt idx="5">
                  <c:v>42308</c:v>
                </c:pt>
                <c:pt idx="6">
                  <c:v>42338</c:v>
                </c:pt>
                <c:pt idx="7">
                  <c:v>42369</c:v>
                </c:pt>
                <c:pt idx="8">
                  <c:v>42400</c:v>
                </c:pt>
                <c:pt idx="9">
                  <c:v>42428</c:v>
                </c:pt>
                <c:pt idx="10">
                  <c:v>42460</c:v>
                </c:pt>
                <c:pt idx="11">
                  <c:v>42490</c:v>
                </c:pt>
                <c:pt idx="12">
                  <c:v>42521</c:v>
                </c:pt>
              </c:numCache>
            </c:numRef>
          </c:cat>
          <c:val>
            <c:numRef>
              <c:f>'Summary Data'!$FP$68:$HV$68</c:f>
              <c:numCache>
                <c:formatCode>0.00%</c:formatCode>
                <c:ptCount val="13"/>
                <c:pt idx="0">
                  <c:v>1</c:v>
                </c:pt>
                <c:pt idx="1">
                  <c:v>1</c:v>
                </c:pt>
                <c:pt idx="2">
                  <c:v>1</c:v>
                </c:pt>
                <c:pt idx="3">
                  <c:v>1</c:v>
                </c:pt>
                <c:pt idx="4">
                  <c:v>1</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Data'!$FO$69</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42155</c:v>
                </c:pt>
                <c:pt idx="1">
                  <c:v>42185</c:v>
                </c:pt>
                <c:pt idx="2">
                  <c:v>42216</c:v>
                </c:pt>
                <c:pt idx="3">
                  <c:v>42247</c:v>
                </c:pt>
                <c:pt idx="4">
                  <c:v>42277</c:v>
                </c:pt>
                <c:pt idx="5">
                  <c:v>42308</c:v>
                </c:pt>
                <c:pt idx="6">
                  <c:v>42338</c:v>
                </c:pt>
                <c:pt idx="7">
                  <c:v>42369</c:v>
                </c:pt>
                <c:pt idx="8">
                  <c:v>42400</c:v>
                </c:pt>
                <c:pt idx="9">
                  <c:v>42428</c:v>
                </c:pt>
                <c:pt idx="10">
                  <c:v>42460</c:v>
                </c:pt>
                <c:pt idx="11">
                  <c:v>42490</c:v>
                </c:pt>
                <c:pt idx="12">
                  <c:v>42521</c:v>
                </c:pt>
              </c:numCache>
            </c:numRef>
          </c:cat>
          <c:val>
            <c:numRef>
              <c:f>'Summary Data'!$FP$69:$HV$69</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6752951752590651"/>
          <c:y val="0.95532787595738111"/>
          <c:w val="0.28674602219065132"/>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HR/Payroll System Response Time </a:t>
            </a:r>
            <a:r>
              <a:rPr lang="en-US" sz="1000" b="1" i="0" u="none" strike="noStrike" baseline="0">
                <a:solidFill>
                  <a:srgbClr val="000000"/>
                </a:solidFill>
                <a:latin typeface="Calibri"/>
              </a:rPr>
              <a:t>(In Seconds)</a:t>
            </a:r>
          </a:p>
        </c:rich>
      </c:tx>
      <c:layout>
        <c:manualLayout>
          <c:xMode val="edge"/>
          <c:yMode val="edge"/>
          <c:x val="0.24568166205501682"/>
          <c:y val="1.12993159319652E-2"/>
        </c:manualLayout>
      </c:layout>
      <c:overlay val="0"/>
    </c:title>
    <c:autoTitleDeleted val="0"/>
    <c:plotArea>
      <c:layout>
        <c:manualLayout>
          <c:layoutTarget val="inner"/>
          <c:xMode val="edge"/>
          <c:yMode val="edge"/>
          <c:x val="5.5940489190675985E-2"/>
          <c:y val="7.3045514979918874E-2"/>
          <c:w val="0.91912958258140565"/>
          <c:h val="0.86051646202209486"/>
        </c:manualLayout>
      </c:layout>
      <c:lineChart>
        <c:grouping val="standard"/>
        <c:varyColors val="0"/>
        <c:ser>
          <c:idx val="0"/>
          <c:order val="0"/>
          <c:tx>
            <c:strRef>
              <c:f>'Summary Data'!$FO$70</c:f>
              <c:strCache>
                <c:ptCount val="1"/>
                <c:pt idx="0">
                  <c:v> ERP Respone Time (Seconds) </c:v>
                </c:pt>
              </c:strCache>
            </c:strRef>
          </c:tx>
          <c:spPr>
            <a:ln w="25400">
              <a:solidFill>
                <a:schemeClr val="accent1">
                  <a:lumMod val="75000"/>
                </a:schemeClr>
              </a:solidFill>
              <a:prstDash val="solid"/>
            </a:ln>
          </c:spPr>
          <c:marker>
            <c:symbol val="circle"/>
            <c:size val="7"/>
          </c:marker>
          <c:dLbls>
            <c:dLbl>
              <c:idx val="3"/>
              <c:layout>
                <c:manualLayout>
                  <c:x val="-1.2630289948637345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F0F-4B0A-9841-63D30561D84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42155</c:v>
                </c:pt>
                <c:pt idx="1">
                  <c:v>42185</c:v>
                </c:pt>
                <c:pt idx="2">
                  <c:v>42216</c:v>
                </c:pt>
                <c:pt idx="3">
                  <c:v>42247</c:v>
                </c:pt>
                <c:pt idx="4">
                  <c:v>42277</c:v>
                </c:pt>
                <c:pt idx="5">
                  <c:v>42308</c:v>
                </c:pt>
                <c:pt idx="6">
                  <c:v>42338</c:v>
                </c:pt>
                <c:pt idx="7">
                  <c:v>42369</c:v>
                </c:pt>
                <c:pt idx="8">
                  <c:v>42400</c:v>
                </c:pt>
                <c:pt idx="9">
                  <c:v>42428</c:v>
                </c:pt>
                <c:pt idx="10">
                  <c:v>42460</c:v>
                </c:pt>
                <c:pt idx="11">
                  <c:v>42490</c:v>
                </c:pt>
                <c:pt idx="12">
                  <c:v>42521</c:v>
                </c:pt>
              </c:numCache>
            </c:numRef>
          </c:cat>
          <c:val>
            <c:numRef>
              <c:f>'Summary Data'!$FP$70:$HV$70</c:f>
              <c:numCache>
                <c:formatCode>_(* #,##0.000_);_(* \(#,##0.000\);_(* "-"??_);_(@_)</c:formatCode>
                <c:ptCount val="13"/>
                <c:pt idx="0">
                  <c:v>0.89529999999999998</c:v>
                </c:pt>
                <c:pt idx="1">
                  <c:v>0.95760000000000001</c:v>
                </c:pt>
                <c:pt idx="2">
                  <c:v>0.84530000000000005</c:v>
                </c:pt>
                <c:pt idx="3">
                  <c:v>0.67</c:v>
                </c:pt>
                <c:pt idx="4">
                  <c:v>0.69359999999999999</c:v>
                </c:pt>
                <c:pt idx="5">
                  <c:v>0.67130000000000001</c:v>
                </c:pt>
                <c:pt idx="6">
                  <c:v>0.65149999999999997</c:v>
                </c:pt>
                <c:pt idx="7">
                  <c:v>0.67779999999999996</c:v>
                </c:pt>
                <c:pt idx="8">
                  <c:v>0.68069999999999997</c:v>
                </c:pt>
                <c:pt idx="9">
                  <c:v>0.65849999999999997</c:v>
                </c:pt>
                <c:pt idx="10">
                  <c:v>0.6825</c:v>
                </c:pt>
                <c:pt idx="11">
                  <c:v>0.62779999999999991</c:v>
                </c:pt>
                <c:pt idx="12">
                  <c:v>0.66269999999999996</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
          <c:min val="0.55000000000000004"/>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tabColor rgb="FF66FFFF"/>
  </sheetPr>
  <sheetViews>
    <sheetView zoomScale="87"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tabColor theme="8" tint="0.59999389629810485"/>
  </sheetPr>
  <sheetViews>
    <sheetView zoomScale="87"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sheetPr>
    <tabColor theme="6" tint="0.59999389629810485"/>
  </sheetPr>
  <sheetViews>
    <sheetView zoomScale="87" workbookViewId="0"/>
  </sheetViews>
  <sheetProtection content="1" objects="1"/>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sheetPr>
    <tabColor rgb="FFFFFF99"/>
  </sheetPr>
  <sheetViews>
    <sheetView zoomScale="88"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sheetPr>
    <tabColor rgb="FFCCCCFF"/>
  </sheetPr>
  <sheetViews>
    <sheetView zoomScale="87"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sheetPr>
    <tabColor theme="9" tint="0.79998168889431442"/>
  </sheetPr>
  <sheetViews>
    <sheetView zoomScale="87"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sheetPr>
    <tabColor rgb="FFFCE4F7"/>
  </sheetPr>
  <sheetViews>
    <sheetView zoomScale="87"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645431" cy="736819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60776" cy="716017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60776" cy="721491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2759" cy="726965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0.09485</cdr:x>
      <cdr:y>0.28529</cdr:y>
    </cdr:from>
    <cdr:to>
      <cdr:x>0.984</cdr:x>
      <cdr:y>0.28678</cdr:y>
    </cdr:to>
    <cdr:sp macro="" textlink="">
      <cdr:nvSpPr>
        <cdr:cNvPr id="3" name="Straight Connector 2"/>
        <cdr:cNvSpPr/>
      </cdr:nvSpPr>
      <cdr:spPr>
        <a:xfrm xmlns:a="http://schemas.openxmlformats.org/drawingml/2006/main" flipV="1">
          <a:off x="908680" y="2102062"/>
          <a:ext cx="8517827" cy="1097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0.00205</cdr:x>
      <cdr:y>0.27991</cdr:y>
    </cdr:from>
    <cdr:to>
      <cdr:x>0.10431</cdr:x>
      <cdr:y>0.31958</cdr:y>
    </cdr:to>
    <cdr:sp macro="" textlink="">
      <cdr:nvSpPr>
        <cdr:cNvPr id="4" name="TextBox 3"/>
        <cdr:cNvSpPr txBox="1"/>
      </cdr:nvSpPr>
      <cdr:spPr>
        <a:xfrm xmlns:a="http://schemas.openxmlformats.org/drawingml/2006/main" rot="20884897">
          <a:off x="19624" y="2062408"/>
          <a:ext cx="979625" cy="2922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327931" cy="720396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49828" cy="731344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0.06514</cdr:x>
      <cdr:y>0.85844</cdr:y>
    </cdr:from>
    <cdr:to>
      <cdr:x>0.98744</cdr:x>
      <cdr:y>0.86106</cdr:y>
    </cdr:to>
    <cdr:sp macro="" textlink="">
      <cdr:nvSpPr>
        <cdr:cNvPr id="3" name="Straight Connector 2"/>
        <cdr:cNvSpPr/>
      </cdr:nvSpPr>
      <cdr:spPr>
        <a:xfrm xmlns:a="http://schemas.openxmlformats.org/drawingml/2006/main" flipV="1">
          <a:off x="609029" y="6278127"/>
          <a:ext cx="8623347" cy="19161"/>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0.00109</cdr:x>
      <cdr:y>0.85357</cdr:y>
    </cdr:from>
    <cdr:to>
      <cdr:x>0.0788</cdr:x>
      <cdr:y>0.88638</cdr:y>
    </cdr:to>
    <cdr:sp macro="" textlink="">
      <cdr:nvSpPr>
        <cdr:cNvPr id="4" name="TextBox 3"/>
        <cdr:cNvSpPr txBox="1"/>
      </cdr:nvSpPr>
      <cdr:spPr>
        <a:xfrm xmlns:a="http://schemas.openxmlformats.org/drawingml/2006/main" rot="19752949">
          <a:off x="10219" y="6242547"/>
          <a:ext cx="726575" cy="2399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644063" cy="737105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645431" cy="736819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0.09604</cdr:x>
      <cdr:y>0.65973</cdr:y>
    </cdr:from>
    <cdr:to>
      <cdr:x>0.98057</cdr:x>
      <cdr:y>0.66147</cdr:y>
    </cdr:to>
    <cdr:sp macro="" textlink="">
      <cdr:nvSpPr>
        <cdr:cNvPr id="2" name="Straight Connector 1"/>
        <cdr:cNvSpPr/>
      </cdr:nvSpPr>
      <cdr:spPr>
        <a:xfrm xmlns:a="http://schemas.openxmlformats.org/drawingml/2006/main" flipV="1">
          <a:off x="920024" y="4861034"/>
          <a:ext cx="8473597" cy="12839"/>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cdr:x>
      <cdr:y>0.64561</cdr:y>
    </cdr:from>
    <cdr:to>
      <cdr:x>0.13104</cdr:x>
      <cdr:y>0.67687</cdr:y>
    </cdr:to>
    <cdr:sp macro="" textlink="">
      <cdr:nvSpPr>
        <cdr:cNvPr id="3" name="TextBox 2"/>
        <cdr:cNvSpPr txBox="1"/>
      </cdr:nvSpPr>
      <cdr:spPr>
        <a:xfrm xmlns:a="http://schemas.openxmlformats.org/drawingml/2006/main" rot="20113953">
          <a:off x="-9488" y="4756948"/>
          <a:ext cx="1255329" cy="2303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52759" cy="713827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HW168"/>
  <sheetViews>
    <sheetView tabSelected="1" zoomScale="85" zoomScaleNormal="85" workbookViewId="0">
      <pane xSplit="7" ySplit="10" topLeftCell="BX11" activePane="bottomRight" state="frozen"/>
      <selection activeCell="A4" sqref="A4"/>
      <selection pane="topRight" activeCell="E4" sqref="E4"/>
      <selection pane="bottomLeft" activeCell="A5" sqref="A5"/>
      <selection pane="bottomRight" activeCell="CJ12" sqref="CJ12"/>
    </sheetView>
  </sheetViews>
  <sheetFormatPr defaultRowHeight="15" outlineLevelRow="2" outlineLevelCol="2" x14ac:dyDescent="0.25"/>
  <cols>
    <col min="1" max="1" width="4.42578125" style="807" customWidth="1"/>
    <col min="2" max="2" width="4.140625" style="15" customWidth="1"/>
    <col min="3" max="3" width="1.85546875" style="6" customWidth="1"/>
    <col min="4" max="4" width="1.28515625" style="6" customWidth="1"/>
    <col min="5" max="5" width="1.7109375" customWidth="1"/>
    <col min="6" max="6" width="4.28515625" customWidth="1"/>
    <col min="7" max="7" width="24.85546875" customWidth="1"/>
    <col min="8" max="8" width="11.42578125" style="20" hidden="1" customWidth="1" outlineLevel="1"/>
    <col min="9" max="9" width="11.42578125" style="27" hidden="1" customWidth="1" outlineLevel="1"/>
    <col min="10" max="10" width="11.42578125" style="20" hidden="1" customWidth="1" outlineLevel="1"/>
    <col min="11" max="11" width="11.42578125" style="27" hidden="1" customWidth="1" outlineLevel="1"/>
    <col min="12" max="12" width="11.42578125" style="20" hidden="1" customWidth="1" outlineLevel="1"/>
    <col min="13" max="13" width="11.42578125" style="27" hidden="1" customWidth="1" outlineLevel="1"/>
    <col min="14" max="14" width="11.42578125" style="20" hidden="1" customWidth="1" outlineLevel="1"/>
    <col min="15" max="15" width="11.42578125" style="27" hidden="1" customWidth="1" outlineLevel="1"/>
    <col min="16" max="16" width="11.42578125" style="20" hidden="1" customWidth="1" outlineLevel="1"/>
    <col min="17" max="17" width="11.42578125" style="27" hidden="1" customWidth="1" outlineLevel="1"/>
    <col min="18" max="18" width="11.42578125" style="20" hidden="1" customWidth="1" outlineLevel="1"/>
    <col min="19" max="19" width="11.42578125" style="27" hidden="1" customWidth="1" outlineLevel="1" collapsed="1"/>
    <col min="20" max="20" width="12.42578125" style="37" hidden="1" customWidth="1" outlineLevel="1" collapsed="1"/>
    <col min="21" max="21" width="11.42578125" style="37" hidden="1" customWidth="1" outlineLevel="1"/>
    <col min="22" max="22" width="11.42578125" style="20" hidden="1" customWidth="1" outlineLevel="2"/>
    <col min="23" max="23" width="11.42578125" style="27" hidden="1" customWidth="1" outlineLevel="2"/>
    <col min="24" max="24" width="11.42578125" style="20" hidden="1" customWidth="1" outlineLevel="2" collapsed="1"/>
    <col min="25" max="25" width="11.42578125" style="27" hidden="1" customWidth="1" outlineLevel="2" collapsed="1"/>
    <col min="26" max="26" width="11.42578125" style="20" hidden="1" customWidth="1" outlineLevel="2"/>
    <col min="27" max="27" width="11.42578125" style="27" hidden="1" customWidth="1" outlineLevel="2" collapsed="1"/>
    <col min="28" max="28" width="11.42578125" style="20" hidden="1" customWidth="1" outlineLevel="2" collapsed="1"/>
    <col min="29" max="29" width="11.42578125" style="27" hidden="1" customWidth="1" outlineLevel="2" collapsed="1"/>
    <col min="30" max="30" width="11.42578125" style="20" hidden="1" customWidth="1" outlineLevel="2" collapsed="1"/>
    <col min="31" max="31" width="11.42578125" style="27" hidden="1" customWidth="1" outlineLevel="2" collapsed="1"/>
    <col min="32" max="32" width="11.42578125" style="20" hidden="1" customWidth="1" outlineLevel="1" collapsed="1"/>
    <col min="33" max="33" width="11.42578125" style="27" hidden="1" customWidth="1" outlineLevel="1" collapsed="1"/>
    <col min="34" max="34" width="12.42578125" style="37" hidden="1" customWidth="1" outlineLevel="1" collapsed="1"/>
    <col min="35" max="35" width="11.42578125" style="37" hidden="1" customWidth="1" outlineLevel="1"/>
    <col min="36" max="36" width="11.42578125" style="20" hidden="1" customWidth="1" outlineLevel="2"/>
    <col min="37" max="37" width="11.42578125" style="27" hidden="1" customWidth="1" outlineLevel="2" collapsed="1"/>
    <col min="38" max="38" width="11.42578125" style="20" hidden="1" customWidth="1" outlineLevel="2" collapsed="1"/>
    <col min="39" max="39" width="11.42578125" style="27" hidden="1" customWidth="1" outlineLevel="2"/>
    <col min="40" max="40" width="11.42578125" style="20" hidden="1" customWidth="1" outlineLevel="2" collapsed="1"/>
    <col min="41" max="41" width="11.42578125" style="27" hidden="1" customWidth="1" outlineLevel="2"/>
    <col min="42" max="42" width="11.42578125" style="20" hidden="1" customWidth="1" outlineLevel="2" collapsed="1"/>
    <col min="43" max="43" width="11.42578125" style="27" hidden="1" customWidth="1" outlineLevel="2" collapsed="1"/>
    <col min="44" max="44" width="11.42578125" style="20" hidden="1" customWidth="1" outlineLevel="2" collapsed="1"/>
    <col min="45" max="45" width="11.42578125" style="27" hidden="1" customWidth="1" outlineLevel="2" collapsed="1"/>
    <col min="46" max="46" width="11.42578125" style="20" hidden="1" customWidth="1" outlineLevel="1" collapsed="1"/>
    <col min="47" max="47" width="11.42578125" style="27" hidden="1" customWidth="1" outlineLevel="1" collapsed="1"/>
    <col min="48" max="48" width="11.85546875" style="37" hidden="1" customWidth="1" outlineLevel="1" collapsed="1"/>
    <col min="49" max="49" width="11.7109375" style="37" hidden="1" customWidth="1" outlineLevel="1"/>
    <col min="50" max="50" width="11.42578125" style="20" hidden="1" customWidth="1" outlineLevel="2"/>
    <col min="51" max="51" width="11.7109375" style="27" hidden="1" customWidth="1" outlineLevel="2" collapsed="1"/>
    <col min="52" max="52" width="11.7109375" style="20" hidden="1" customWidth="1" outlineLevel="2" collapsed="1"/>
    <col min="53" max="53" width="11.7109375" style="27" hidden="1" customWidth="1" outlineLevel="2" collapsed="1"/>
    <col min="54" max="54" width="11.7109375" style="20" hidden="1" customWidth="1" outlineLevel="2" collapsed="1"/>
    <col min="55" max="55" width="11.7109375" style="27" hidden="1" customWidth="1" outlineLevel="2" collapsed="1"/>
    <col min="56" max="56" width="11.7109375" style="20" hidden="1" customWidth="1" outlineLevel="2" collapsed="1"/>
    <col min="57" max="57" width="11.7109375" style="27" hidden="1" customWidth="1" outlineLevel="2" collapsed="1"/>
    <col min="58" max="58" width="11.7109375" style="20" hidden="1" customWidth="1" outlineLevel="2" collapsed="1"/>
    <col min="59" max="59" width="11.7109375" style="27" hidden="1" customWidth="1" outlineLevel="2" collapsed="1"/>
    <col min="60" max="60" width="11.7109375" style="20" hidden="1" customWidth="1" outlineLevel="1" collapsed="1"/>
    <col min="61" max="61" width="11.7109375" style="27" hidden="1" customWidth="1" outlineLevel="1" collapsed="1"/>
    <col min="62" max="62" width="11.85546875" style="37" hidden="1" customWidth="1" outlineLevel="1" collapsed="1"/>
    <col min="63" max="63" width="10.85546875" style="37" hidden="1" customWidth="1" outlineLevel="1"/>
    <col min="64" max="64" width="11.42578125" style="20" hidden="1" customWidth="1" outlineLevel="2"/>
    <col min="65" max="65" width="11.7109375" style="27" hidden="1" customWidth="1" outlineLevel="2" collapsed="1"/>
    <col min="66" max="66" width="11.7109375" style="20" hidden="1" customWidth="1" outlineLevel="2" collapsed="1"/>
    <col min="67" max="67" width="11.7109375" style="27" hidden="1" customWidth="1" outlineLevel="2" collapsed="1"/>
    <col min="68" max="68" width="11.7109375" style="20" hidden="1" customWidth="1" outlineLevel="2" collapsed="1"/>
    <col min="69" max="69" width="11.7109375" style="27" hidden="1" customWidth="1" outlineLevel="2" collapsed="1"/>
    <col min="70" max="70" width="11.7109375" style="20" hidden="1" customWidth="1" outlineLevel="2" collapsed="1"/>
    <col min="71" max="71" width="11.7109375" style="27" hidden="1" customWidth="1" outlineLevel="2" collapsed="1"/>
    <col min="72" max="72" width="11.7109375" style="20" hidden="1" customWidth="1" outlineLevel="2" collapsed="1"/>
    <col min="73" max="73" width="11.7109375" style="27" hidden="1" customWidth="1" outlineLevel="2" collapsed="1"/>
    <col min="74" max="74" width="11.7109375" style="20" hidden="1" customWidth="1" outlineLevel="1" collapsed="1"/>
    <col min="75" max="75" width="11.7109375" style="27" hidden="1" customWidth="1" outlineLevel="1" collapsed="1"/>
    <col min="76" max="76" width="11.5703125" style="37" customWidth="1" collapsed="1"/>
    <col min="77" max="77" width="10.85546875" style="37" customWidth="1"/>
    <col min="78" max="78" width="11.42578125" style="20" hidden="1" customWidth="1" outlineLevel="1"/>
    <col min="79" max="79" width="11.7109375" style="27" hidden="1" customWidth="1" outlineLevel="1" collapsed="1"/>
    <col min="80" max="80" width="11.7109375" style="20" hidden="1" customWidth="1" outlineLevel="1" collapsed="1"/>
    <col min="81" max="81" width="11.7109375" style="27" hidden="1" customWidth="1" outlineLevel="1" collapsed="1"/>
    <col min="82" max="82" width="11.7109375" style="20" hidden="1" customWidth="1" outlineLevel="1" collapsed="1"/>
    <col min="83" max="83" width="11.7109375" style="27" hidden="1" customWidth="1" outlineLevel="1" collapsed="1"/>
    <col min="84" max="84" width="11" style="20" hidden="1" customWidth="1" outlineLevel="1" collapsed="1"/>
    <col min="85" max="85" width="11.7109375" style="27" hidden="1" customWidth="1" outlineLevel="1" collapsed="1"/>
    <col min="86" max="86" width="11.7109375" style="20" hidden="1" customWidth="1" outlineLevel="1" collapsed="1"/>
    <col min="87" max="87" width="11.7109375" style="27" customWidth="1" collapsed="1"/>
    <col min="88" max="88" width="11.7109375" style="20" customWidth="1"/>
    <col min="89" max="89" width="11.7109375" style="27" hidden="1" customWidth="1" outlineLevel="1"/>
    <col min="90" max="90" width="12" style="37" customWidth="1" collapsed="1"/>
    <col min="91" max="91" width="10.85546875" style="37" customWidth="1"/>
    <col min="92" max="92" width="11.28515625" hidden="1" customWidth="1" outlineLevel="1"/>
    <col min="93" max="93" width="11.28515625" style="418" hidden="1" customWidth="1" outlineLevel="1"/>
    <col min="94" max="94" width="11.28515625" hidden="1" customWidth="1" outlineLevel="1"/>
    <col min="95" max="95" width="11.28515625" style="418" hidden="1" customWidth="1" outlineLevel="1"/>
    <col min="96" max="96" width="11.28515625" hidden="1" customWidth="1" outlineLevel="1"/>
    <col min="97" max="97" width="11.28515625" style="418" hidden="1" customWidth="1" outlineLevel="1"/>
    <col min="98" max="98" width="10.85546875" hidden="1" customWidth="1" outlineLevel="1" collapsed="1"/>
    <col min="99" max="99" width="9.7109375" style="418" hidden="1" customWidth="1" outlineLevel="1"/>
    <col min="100" max="100" width="11.28515625" hidden="1" customWidth="1" outlineLevel="1" collapsed="1"/>
    <col min="101" max="101" width="11.28515625" style="418" hidden="1" customWidth="1" outlineLevel="1"/>
    <col min="102" max="102" width="11.28515625" hidden="1" customWidth="1" outlineLevel="1" collapsed="1"/>
    <col min="103" max="103" width="11.28515625" style="418" hidden="1" customWidth="1" outlineLevel="1"/>
    <col min="104" max="104" width="11.28515625" hidden="1" customWidth="1" outlineLevel="1" collapsed="1"/>
    <col min="105" max="105" width="11.28515625" style="418" hidden="1" customWidth="1" outlineLevel="1"/>
    <col min="106" max="106" width="11.28515625" hidden="1" customWidth="1" outlineLevel="1" collapsed="1"/>
    <col min="107" max="107" width="11.28515625" style="418" hidden="1" customWidth="1" outlineLevel="1"/>
    <col min="108" max="108" width="11.28515625" hidden="1" customWidth="1" outlineLevel="1" collapsed="1"/>
    <col min="109" max="109" width="11.28515625" style="418" hidden="1" customWidth="1" outlineLevel="1"/>
    <col min="110" max="110" width="11.28515625" hidden="1" customWidth="1" outlineLevel="1" collapsed="1"/>
    <col min="111" max="111" width="11.28515625" style="418" hidden="1" customWidth="1" outlineLevel="1"/>
    <col min="112" max="112" width="11.28515625" hidden="1" customWidth="1" outlineLevel="1" collapsed="1"/>
    <col min="113" max="113" width="11.28515625" style="418" hidden="1" customWidth="1" outlineLevel="1"/>
    <col min="114" max="114" width="11.28515625" hidden="1" customWidth="1" outlineLevel="1" collapsed="1"/>
    <col min="115" max="115" width="11.28515625" style="418" hidden="1" customWidth="1" outlineLevel="1"/>
    <col min="116" max="116" width="11.28515625" hidden="1" customWidth="1" outlineLevel="1" collapsed="1"/>
    <col min="117" max="117" width="11.28515625" style="418" hidden="1" customWidth="1" outlineLevel="1"/>
    <col min="118" max="118" width="11.5703125" hidden="1" customWidth="1" outlineLevel="1" collapsed="1"/>
    <col min="119" max="119" width="9.140625" style="418" hidden="1" customWidth="1" outlineLevel="1"/>
    <col min="120" max="120" width="11.5703125" hidden="1" customWidth="1" outlineLevel="1" collapsed="1"/>
    <col min="121" max="121" width="9.140625" style="418" hidden="1" customWidth="1" outlineLevel="1"/>
    <col min="122" max="122" width="11.5703125" hidden="1" customWidth="1" outlineLevel="1" collapsed="1"/>
    <col min="123" max="123" width="9.140625" style="418" hidden="1" customWidth="1" outlineLevel="1"/>
    <col min="124" max="124" width="11.5703125" hidden="1" customWidth="1" outlineLevel="1" collapsed="1"/>
    <col min="125" max="125" width="9.140625" style="418" hidden="1" customWidth="1" outlineLevel="1"/>
    <col min="126" max="126" width="11.5703125" hidden="1" customWidth="1" outlineLevel="1" collapsed="1"/>
    <col min="127" max="127" width="9.140625" style="418" hidden="1" customWidth="1" outlineLevel="1"/>
    <col min="128" max="128" width="11.5703125" hidden="1" customWidth="1" outlineLevel="1" collapsed="1"/>
    <col min="129" max="129" width="9.140625" style="418" hidden="1" customWidth="1" outlineLevel="1"/>
    <col min="130" max="130" width="11.5703125" hidden="1" customWidth="1" outlineLevel="1" collapsed="1"/>
    <col min="131" max="131" width="9.140625" style="418" hidden="1" customWidth="1" outlineLevel="1"/>
    <col min="132" max="132" width="11.5703125" hidden="1" customWidth="1" outlineLevel="1" collapsed="1"/>
    <col min="133" max="133" width="9.140625" style="418" hidden="1" customWidth="1" outlineLevel="1"/>
    <col min="134" max="134" width="11.5703125" hidden="1" customWidth="1" outlineLevel="1" collapsed="1"/>
    <col min="135" max="135" width="9.140625" style="418" hidden="1" customWidth="1" outlineLevel="1"/>
    <col min="136" max="136" width="11.5703125" hidden="1" customWidth="1" outlineLevel="1" collapsed="1"/>
    <col min="137" max="137" width="9.140625" style="418" hidden="1" customWidth="1" outlineLevel="1"/>
    <col min="138" max="138" width="11.5703125" hidden="1" customWidth="1" outlineLevel="1" collapsed="1"/>
    <col min="139" max="139" width="9.140625" style="418" hidden="1" customWidth="1" outlineLevel="1"/>
    <col min="140" max="140" width="11.5703125" hidden="1" customWidth="1" outlineLevel="1" collapsed="1"/>
    <col min="141" max="141" width="9.140625" style="418" hidden="1" customWidth="1" outlineLevel="1"/>
    <col min="142" max="142" width="11.5703125" hidden="1" customWidth="1" outlineLevel="1" collapsed="1"/>
    <col min="143" max="143" width="9.140625" style="418" hidden="1" customWidth="1" outlineLevel="1"/>
    <col min="144" max="144" width="11.5703125" hidden="1" customWidth="1" outlineLevel="1" collapsed="1"/>
    <col min="145" max="145" width="9.140625" style="418" hidden="1" customWidth="1" outlineLevel="1"/>
    <col min="146" max="146" width="11.5703125" hidden="1" customWidth="1" outlineLevel="1" collapsed="1"/>
    <col min="147" max="147" width="9.140625" style="418" hidden="1" customWidth="1" outlineLevel="1"/>
    <col min="148" max="148" width="11.5703125" hidden="1" customWidth="1" outlineLevel="1" collapsed="1"/>
    <col min="149" max="149" width="9.140625" style="418" hidden="1" customWidth="1" outlineLevel="1"/>
    <col min="150" max="150" width="11.5703125" hidden="1" customWidth="1" outlineLevel="1" collapsed="1"/>
    <col min="151" max="151" width="9.140625" style="418" hidden="1" customWidth="1" outlineLevel="1"/>
    <col min="152" max="152" width="11.5703125" hidden="1" customWidth="1" outlineLevel="1" collapsed="1"/>
    <col min="153" max="153" width="9.140625" style="418" hidden="1" customWidth="1" outlineLevel="1"/>
    <col min="154" max="154" width="11.140625" hidden="1" customWidth="1" outlineLevel="1" collapsed="1"/>
    <col min="155" max="155" width="8.42578125" style="418" hidden="1" customWidth="1" outlineLevel="1"/>
    <col min="156" max="156" width="11.5703125" hidden="1" customWidth="1" outlineLevel="1" collapsed="1"/>
    <col min="157" max="157" width="9.140625" style="418" hidden="1" customWidth="1" outlineLevel="1"/>
    <col min="158" max="158" width="11.5703125" hidden="1" customWidth="1" outlineLevel="1" collapsed="1"/>
    <col min="159" max="159" width="9.140625" style="418" hidden="1" customWidth="1" outlineLevel="1"/>
    <col min="160" max="160" width="11.5703125" customWidth="1" collapsed="1"/>
    <col min="161" max="161" width="9.140625" style="418" customWidth="1"/>
    <col min="162" max="162" width="11.5703125" hidden="1" customWidth="1" outlineLevel="1" collapsed="1"/>
    <col min="163" max="163" width="9.140625" style="418" hidden="1" customWidth="1" outlineLevel="1"/>
    <col min="164" max="165" width="11.42578125" style="27" customWidth="1" collapsed="1"/>
    <col min="166" max="166" width="11.85546875" customWidth="1"/>
    <col min="167" max="167" width="9.28515625" customWidth="1"/>
    <col min="168" max="170" width="12.85546875" style="418" hidden="1" customWidth="1" outlineLevel="1"/>
    <col min="171" max="171" width="13.7109375" customWidth="1" collapsed="1"/>
    <col min="172" max="182" width="11" style="284" hidden="1" customWidth="1"/>
    <col min="183" max="196" width="11" style="285" hidden="1" customWidth="1" outlineLevel="1" collapsed="1"/>
    <col min="197" max="197" width="11" style="285" hidden="1" customWidth="1" outlineLevel="1"/>
    <col min="198" max="206" width="11" style="285" hidden="1" customWidth="1" outlineLevel="1" collapsed="1"/>
    <col min="207" max="216" width="11" style="833" hidden="1" customWidth="1" outlineLevel="1" collapsed="1"/>
    <col min="217" max="217" width="11" style="833" customWidth="1" collapsed="1"/>
    <col min="218" max="218" width="11" style="833" customWidth="1"/>
    <col min="219" max="229" width="11" style="961" customWidth="1"/>
    <col min="230" max="230" width="11" style="961" hidden="1" customWidth="1" outlineLevel="1"/>
    <col min="231" max="231" width="9.140625" collapsed="1"/>
  </cols>
  <sheetData>
    <row r="1" spans="1:230" s="42" customFormat="1" ht="14.25" hidden="1" customHeight="1" outlineLevel="2" thickBot="1" x14ac:dyDescent="0.25">
      <c r="A1" s="41"/>
      <c r="G1" s="42">
        <v>39873</v>
      </c>
      <c r="H1" s="43">
        <v>40360</v>
      </c>
      <c r="I1" s="43">
        <v>40391</v>
      </c>
      <c r="J1" s="43">
        <v>40422</v>
      </c>
      <c r="K1" s="43">
        <v>40452</v>
      </c>
      <c r="L1" s="43">
        <v>40483</v>
      </c>
      <c r="M1" s="43">
        <v>40513</v>
      </c>
      <c r="N1" s="43">
        <v>40544</v>
      </c>
      <c r="O1" s="43">
        <v>40575</v>
      </c>
      <c r="P1" s="43">
        <v>40603</v>
      </c>
      <c r="Q1" s="43">
        <v>40634</v>
      </c>
      <c r="R1" s="43">
        <v>40664</v>
      </c>
      <c r="S1" s="43">
        <v>40695</v>
      </c>
      <c r="T1" s="59"/>
      <c r="U1" s="59"/>
      <c r="V1" s="43">
        <f>DATE(YEAR(S1),MONTH(S1)+1,1)</f>
        <v>40725</v>
      </c>
      <c r="W1" s="43">
        <f t="shared" ref="W1:Y1" si="0">DATE(YEAR(V1),MONTH(V1)+1,1)</f>
        <v>40756</v>
      </c>
      <c r="X1" s="43">
        <f t="shared" si="0"/>
        <v>40787</v>
      </c>
      <c r="Y1" s="43">
        <f t="shared" si="0"/>
        <v>40817</v>
      </c>
      <c r="Z1" s="43">
        <v>40848</v>
      </c>
      <c r="AA1" s="43">
        <v>40878</v>
      </c>
      <c r="AB1" s="43">
        <v>40909</v>
      </c>
      <c r="AC1" s="43">
        <v>40940</v>
      </c>
      <c r="AD1" s="43">
        <v>40969</v>
      </c>
      <c r="AE1" s="43">
        <v>41000</v>
      </c>
      <c r="AF1" s="43">
        <v>41030</v>
      </c>
      <c r="AG1" s="43">
        <v>41061</v>
      </c>
      <c r="AH1" s="59"/>
      <c r="AI1" s="59"/>
      <c r="AJ1" s="43">
        <f>DATE(YEAR(AG1),MONTH(AG1)+1,1)</f>
        <v>41091</v>
      </c>
      <c r="AK1" s="43">
        <f t="shared" ref="AK1:AU1" si="1">DATE(YEAR(AJ1),MONTH(AJ1)+1,1)</f>
        <v>41122</v>
      </c>
      <c r="AL1" s="43">
        <f t="shared" si="1"/>
        <v>41153</v>
      </c>
      <c r="AM1" s="43">
        <f t="shared" si="1"/>
        <v>41183</v>
      </c>
      <c r="AN1" s="43">
        <f t="shared" si="1"/>
        <v>41214</v>
      </c>
      <c r="AO1" s="43">
        <f t="shared" si="1"/>
        <v>41244</v>
      </c>
      <c r="AP1" s="43">
        <f t="shared" si="1"/>
        <v>41275</v>
      </c>
      <c r="AQ1" s="43">
        <f t="shared" si="1"/>
        <v>41306</v>
      </c>
      <c r="AR1" s="43">
        <f t="shared" si="1"/>
        <v>41334</v>
      </c>
      <c r="AS1" s="43">
        <f t="shared" si="1"/>
        <v>41365</v>
      </c>
      <c r="AT1" s="43">
        <f t="shared" si="1"/>
        <v>41395</v>
      </c>
      <c r="AU1" s="43">
        <f t="shared" si="1"/>
        <v>41426</v>
      </c>
      <c r="AV1" s="59"/>
      <c r="AW1" s="59"/>
      <c r="AX1" s="43">
        <f>DATE(YEAR(AU1),MONTH(AU1)+1,1)</f>
        <v>41456</v>
      </c>
      <c r="AY1" s="43">
        <f t="shared" ref="AY1:BI1" si="2">DATE(YEAR(AX1),MONTH(AX1)+1,1)</f>
        <v>41487</v>
      </c>
      <c r="AZ1" s="43">
        <f t="shared" si="2"/>
        <v>41518</v>
      </c>
      <c r="BA1" s="43">
        <f t="shared" si="2"/>
        <v>41548</v>
      </c>
      <c r="BB1" s="43">
        <f t="shared" si="2"/>
        <v>41579</v>
      </c>
      <c r="BC1" s="43">
        <f t="shared" si="2"/>
        <v>41609</v>
      </c>
      <c r="BD1" s="43">
        <f t="shared" si="2"/>
        <v>41640</v>
      </c>
      <c r="BE1" s="43">
        <f t="shared" si="2"/>
        <v>41671</v>
      </c>
      <c r="BF1" s="43">
        <f t="shared" si="2"/>
        <v>41699</v>
      </c>
      <c r="BG1" s="43">
        <f t="shared" si="2"/>
        <v>41730</v>
      </c>
      <c r="BH1" s="43">
        <f t="shared" si="2"/>
        <v>41760</v>
      </c>
      <c r="BI1" s="43">
        <f t="shared" si="2"/>
        <v>41791</v>
      </c>
      <c r="BJ1" s="59"/>
      <c r="BK1" s="59"/>
      <c r="BL1" s="43">
        <f>DATE(YEAR(BI1),MONTH(BI1)+1,1)</f>
        <v>41821</v>
      </c>
      <c r="BM1" s="43">
        <f t="shared" ref="BM1" si="3">DATE(YEAR(BL1),MONTH(BL1)+1,1)</f>
        <v>41852</v>
      </c>
      <c r="BN1" s="43">
        <f t="shared" ref="BN1" si="4">DATE(YEAR(BM1),MONTH(BM1)+1,1)</f>
        <v>41883</v>
      </c>
      <c r="BO1" s="43">
        <f t="shared" ref="BO1" si="5">DATE(YEAR(BN1),MONTH(BN1)+1,1)</f>
        <v>41913</v>
      </c>
      <c r="BP1" s="43">
        <f t="shared" ref="BP1" si="6">DATE(YEAR(BO1),MONTH(BO1)+1,1)</f>
        <v>41944</v>
      </c>
      <c r="BQ1" s="43">
        <f t="shared" ref="BQ1" si="7">DATE(YEAR(BP1),MONTH(BP1)+1,1)</f>
        <v>41974</v>
      </c>
      <c r="BR1" s="43">
        <f t="shared" ref="BR1" si="8">DATE(YEAR(BQ1),MONTH(BQ1)+1,1)</f>
        <v>42005</v>
      </c>
      <c r="BS1" s="43">
        <f t="shared" ref="BS1" si="9">DATE(YEAR(BR1),MONTH(BR1)+1,1)</f>
        <v>42036</v>
      </c>
      <c r="BT1" s="43">
        <f t="shared" ref="BT1" si="10">DATE(YEAR(BS1),MONTH(BS1)+1,1)</f>
        <v>42064</v>
      </c>
      <c r="BU1" s="43">
        <f t="shared" ref="BU1" si="11">DATE(YEAR(BT1),MONTH(BT1)+1,1)</f>
        <v>42095</v>
      </c>
      <c r="BV1" s="43">
        <f t="shared" ref="BV1" si="12">DATE(YEAR(BU1),MONTH(BU1)+1,1)</f>
        <v>42125</v>
      </c>
      <c r="BW1" s="43">
        <f t="shared" ref="BW1" si="13">DATE(YEAR(BV1),MONTH(BV1)+1,1)</f>
        <v>42156</v>
      </c>
      <c r="BX1" s="59"/>
      <c r="BY1" s="59"/>
      <c r="BZ1" s="936">
        <f>DATE(YEAR(BW1),MONTH(BW1)+1,1)</f>
        <v>42186</v>
      </c>
      <c r="CA1" s="936">
        <f t="shared" ref="CA1" si="14">DATE(YEAR(BZ1),MONTH(BZ1)+1,1)</f>
        <v>42217</v>
      </c>
      <c r="CB1" s="936">
        <f t="shared" ref="CB1" si="15">DATE(YEAR(CA1),MONTH(CA1)+1,1)</f>
        <v>42248</v>
      </c>
      <c r="CC1" s="936">
        <f t="shared" ref="CC1" si="16">DATE(YEAR(CB1),MONTH(CB1)+1,1)</f>
        <v>42278</v>
      </c>
      <c r="CD1" s="936">
        <f t="shared" ref="CD1" si="17">DATE(YEAR(CC1),MONTH(CC1)+1,1)</f>
        <v>42309</v>
      </c>
      <c r="CE1" s="936">
        <f t="shared" ref="CE1" si="18">DATE(YEAR(CD1),MONTH(CD1)+1,1)</f>
        <v>42339</v>
      </c>
      <c r="CF1" s="936">
        <f t="shared" ref="CF1" si="19">DATE(YEAR(CE1),MONTH(CE1)+1,1)</f>
        <v>42370</v>
      </c>
      <c r="CG1" s="936">
        <f t="shared" ref="CG1" si="20">DATE(YEAR(CF1),MONTH(CF1)+1,1)</f>
        <v>42401</v>
      </c>
      <c r="CH1" s="936">
        <f t="shared" ref="CH1" si="21">DATE(YEAR(CG1),MONTH(CG1)+1,1)</f>
        <v>42430</v>
      </c>
      <c r="CI1" s="936">
        <f t="shared" ref="CI1" si="22">DATE(YEAR(CH1),MONTH(CH1)+1,1)</f>
        <v>42461</v>
      </c>
      <c r="CJ1" s="936">
        <f t="shared" ref="CJ1" si="23">DATE(YEAR(CI1),MONTH(CI1)+1,1)</f>
        <v>42491</v>
      </c>
      <c r="CK1" s="936">
        <f t="shared" ref="CK1" si="24">DATE(YEAR(CJ1),MONTH(CJ1)+1,1)</f>
        <v>42522</v>
      </c>
      <c r="CL1" s="59"/>
      <c r="CM1" s="59"/>
      <c r="CN1" s="1058"/>
      <c r="CO1" s="1059"/>
      <c r="CP1" s="1058"/>
      <c r="CQ1" s="1059"/>
      <c r="CR1" s="1058"/>
      <c r="CS1" s="1059"/>
      <c r="CT1" s="1058"/>
      <c r="CU1" s="1059"/>
      <c r="CV1" s="1058"/>
      <c r="CW1" s="1059"/>
      <c r="CX1" s="1058"/>
      <c r="CY1" s="1059"/>
      <c r="CZ1" s="1058"/>
      <c r="DA1" s="1059"/>
      <c r="DB1" s="1058"/>
      <c r="DC1" s="1059"/>
      <c r="DD1" s="1058"/>
      <c r="DE1" s="1059"/>
      <c r="DF1" s="1058"/>
      <c r="DG1" s="1059"/>
      <c r="DH1" s="1058"/>
      <c r="DI1" s="1059"/>
      <c r="DJ1" s="1058"/>
      <c r="DK1" s="1059"/>
      <c r="DL1" s="1058"/>
      <c r="DM1" s="1059"/>
      <c r="DN1" s="1058"/>
      <c r="DO1" s="1059"/>
      <c r="DP1" s="1058"/>
      <c r="DQ1" s="1059"/>
      <c r="DR1" s="1058"/>
      <c r="DS1" s="1059"/>
      <c r="DT1" s="1058"/>
      <c r="DU1" s="1059"/>
      <c r="DV1" s="1058"/>
      <c r="DW1" s="1059"/>
      <c r="DX1" s="1058"/>
      <c r="DY1" s="1059"/>
      <c r="DZ1" s="1058"/>
      <c r="EA1" s="1059"/>
      <c r="EB1" s="1058"/>
      <c r="EC1" s="1059"/>
      <c r="ED1" s="1058"/>
      <c r="EE1" s="1059"/>
      <c r="EF1" s="1058"/>
      <c r="EG1" s="1059"/>
      <c r="EH1" s="1058"/>
      <c r="EI1" s="1059"/>
      <c r="EJ1" s="1070"/>
      <c r="EK1" s="1071"/>
      <c r="EL1" s="1070"/>
      <c r="EM1" s="1071"/>
      <c r="EN1" s="1070"/>
      <c r="EO1" s="1071"/>
      <c r="EP1" s="1070"/>
      <c r="EQ1" s="1071"/>
      <c r="ER1" s="1070"/>
      <c r="ES1" s="1071"/>
      <c r="ET1" s="1070"/>
      <c r="EU1" s="1071"/>
      <c r="EV1" s="1070"/>
      <c r="EW1" s="1071"/>
      <c r="EX1" s="1070"/>
      <c r="EY1" s="1071"/>
      <c r="EZ1" s="1070"/>
      <c r="FA1" s="1071"/>
      <c r="FB1" s="1070"/>
      <c r="FC1" s="1071"/>
      <c r="FD1" s="1070"/>
      <c r="FE1" s="1071"/>
      <c r="FF1" s="1070"/>
      <c r="FG1" s="1071"/>
      <c r="FH1" s="43">
        <f t="shared" ref="FH1:FH8" si="25">BV1</f>
        <v>42125</v>
      </c>
      <c r="FI1" s="43">
        <f t="shared" ref="FI1:FI8" si="26">CJ1</f>
        <v>42491</v>
      </c>
      <c r="FJ1" s="1058" t="s">
        <v>196</v>
      </c>
      <c r="FK1" s="1059"/>
      <c r="FL1" s="701"/>
      <c r="FM1" s="701"/>
      <c r="FN1" s="701"/>
      <c r="FP1" s="252"/>
      <c r="FQ1" s="252"/>
      <c r="FR1" s="252"/>
      <c r="FS1" s="252"/>
      <c r="FT1" s="252"/>
      <c r="FU1" s="252"/>
      <c r="FV1" s="252"/>
      <c r="FW1" s="252"/>
      <c r="FX1" s="252"/>
      <c r="FY1" s="252"/>
      <c r="FZ1" s="252"/>
      <c r="GA1" s="253"/>
      <c r="GB1" s="253"/>
      <c r="GC1" s="253"/>
      <c r="GD1" s="253"/>
      <c r="GE1" s="253"/>
      <c r="GF1" s="253"/>
      <c r="GG1" s="253"/>
      <c r="GH1" s="253"/>
      <c r="GI1" s="253"/>
      <c r="GJ1" s="253"/>
      <c r="GK1" s="253"/>
      <c r="GL1" s="253"/>
      <c r="GM1" s="253"/>
      <c r="GN1" s="253"/>
      <c r="GO1" s="253"/>
      <c r="GP1" s="253"/>
      <c r="GQ1" s="253"/>
      <c r="GR1" s="253"/>
      <c r="GS1" s="253"/>
      <c r="GT1" s="253"/>
      <c r="GU1" s="253"/>
      <c r="GV1" s="253"/>
      <c r="GW1" s="253"/>
      <c r="GX1" s="253"/>
      <c r="GY1" s="817"/>
      <c r="GZ1" s="817"/>
      <c r="HA1" s="817"/>
      <c r="HB1" s="817"/>
      <c r="HC1" s="817"/>
      <c r="HD1" s="817"/>
      <c r="HE1" s="817"/>
      <c r="HF1" s="817"/>
      <c r="HG1" s="817"/>
      <c r="HH1" s="817"/>
      <c r="HI1" s="817"/>
      <c r="HJ1" s="817"/>
      <c r="HK1" s="944"/>
      <c r="HL1" s="944"/>
      <c r="HM1" s="944"/>
      <c r="HN1" s="944"/>
      <c r="HO1" s="944"/>
      <c r="HP1" s="944"/>
      <c r="HQ1" s="944"/>
      <c r="HR1" s="944"/>
      <c r="HS1" s="944"/>
      <c r="HT1" s="944"/>
      <c r="HU1" s="944"/>
      <c r="HV1" s="944"/>
    </row>
    <row r="2" spans="1:230" s="42" customFormat="1" ht="12.75" hidden="1" customHeight="1" outlineLevel="2" x14ac:dyDescent="0.25">
      <c r="A2" s="41"/>
      <c r="G2" s="42">
        <f>DATE(YEAR(G1),MONTH(G1)+1,1)</f>
        <v>39904</v>
      </c>
      <c r="H2" s="43">
        <v>40391</v>
      </c>
      <c r="I2" s="43">
        <v>40422</v>
      </c>
      <c r="J2" s="43">
        <v>40452</v>
      </c>
      <c r="K2" s="43">
        <v>40483</v>
      </c>
      <c r="L2" s="43">
        <v>40513</v>
      </c>
      <c r="M2" s="43">
        <v>40544</v>
      </c>
      <c r="N2" s="43">
        <v>40575</v>
      </c>
      <c r="O2" s="43">
        <v>40603</v>
      </c>
      <c r="P2" s="43">
        <v>40634</v>
      </c>
      <c r="Q2" s="43">
        <v>40664</v>
      </c>
      <c r="R2" s="43">
        <v>40695</v>
      </c>
      <c r="S2" s="43">
        <v>40725</v>
      </c>
      <c r="T2" s="59"/>
      <c r="U2" s="59"/>
      <c r="V2" s="43">
        <f t="shared" ref="V2:Y2" si="27">DATE(YEAR(V1),MONTH(V1)+1,1)</f>
        <v>40756</v>
      </c>
      <c r="W2" s="43">
        <f t="shared" si="27"/>
        <v>40787</v>
      </c>
      <c r="X2" s="43">
        <f t="shared" si="27"/>
        <v>40817</v>
      </c>
      <c r="Y2" s="43">
        <f t="shared" si="27"/>
        <v>40848</v>
      </c>
      <c r="Z2" s="43">
        <v>40878</v>
      </c>
      <c r="AA2" s="43">
        <v>40909</v>
      </c>
      <c r="AB2" s="43">
        <v>40940</v>
      </c>
      <c r="AC2" s="43">
        <v>40969</v>
      </c>
      <c r="AD2" s="43">
        <v>41000</v>
      </c>
      <c r="AE2" s="43">
        <v>41030</v>
      </c>
      <c r="AF2" s="43">
        <v>41061</v>
      </c>
      <c r="AG2" s="43">
        <v>41091</v>
      </c>
      <c r="AH2" s="59"/>
      <c r="AI2" s="59"/>
      <c r="AJ2" s="43">
        <f t="shared" ref="AJ2:AU2" si="28">DATE(YEAR(AJ1),MONTH(AJ1)+1,1)</f>
        <v>41122</v>
      </c>
      <c r="AK2" s="43">
        <f t="shared" si="28"/>
        <v>41153</v>
      </c>
      <c r="AL2" s="43">
        <f t="shared" si="28"/>
        <v>41183</v>
      </c>
      <c r="AM2" s="43">
        <f t="shared" si="28"/>
        <v>41214</v>
      </c>
      <c r="AN2" s="43">
        <f t="shared" si="28"/>
        <v>41244</v>
      </c>
      <c r="AO2" s="43">
        <f t="shared" si="28"/>
        <v>41275</v>
      </c>
      <c r="AP2" s="43">
        <f t="shared" si="28"/>
        <v>41306</v>
      </c>
      <c r="AQ2" s="43">
        <f t="shared" si="28"/>
        <v>41334</v>
      </c>
      <c r="AR2" s="43">
        <f t="shared" si="28"/>
        <v>41365</v>
      </c>
      <c r="AS2" s="43">
        <f t="shared" si="28"/>
        <v>41395</v>
      </c>
      <c r="AT2" s="43">
        <f t="shared" si="28"/>
        <v>41426</v>
      </c>
      <c r="AU2" s="43">
        <f t="shared" si="28"/>
        <v>41456</v>
      </c>
      <c r="AV2" s="59"/>
      <c r="AW2" s="59"/>
      <c r="AX2" s="43">
        <f t="shared" ref="AX2:BI2" si="29">DATE(YEAR(AX1),MONTH(AX1)+1,1)</f>
        <v>41487</v>
      </c>
      <c r="AY2" s="43">
        <f t="shared" si="29"/>
        <v>41518</v>
      </c>
      <c r="AZ2" s="43">
        <f>DATE(YEAR(AZ1),MONTH(AZ1)+1,1)-1</f>
        <v>41547</v>
      </c>
      <c r="BA2" s="43">
        <f t="shared" si="29"/>
        <v>41579</v>
      </c>
      <c r="BB2" s="43">
        <f t="shared" si="29"/>
        <v>41609</v>
      </c>
      <c r="BC2" s="43">
        <f t="shared" si="29"/>
        <v>41640</v>
      </c>
      <c r="BD2" s="43">
        <f t="shared" si="29"/>
        <v>41671</v>
      </c>
      <c r="BE2" s="43">
        <f t="shared" si="29"/>
        <v>41699</v>
      </c>
      <c r="BF2" s="43">
        <f t="shared" si="29"/>
        <v>41730</v>
      </c>
      <c r="BG2" s="43">
        <f t="shared" si="29"/>
        <v>41760</v>
      </c>
      <c r="BH2" s="43">
        <f t="shared" si="29"/>
        <v>41791</v>
      </c>
      <c r="BI2" s="43">
        <f t="shared" si="29"/>
        <v>41821</v>
      </c>
      <c r="BJ2" s="59"/>
      <c r="BK2" s="59"/>
      <c r="BL2" s="43">
        <f t="shared" ref="BL2:BN2" si="30">DATE(YEAR(BL1),MONTH(BL1)+1,0)</f>
        <v>41851</v>
      </c>
      <c r="BM2" s="43">
        <f t="shared" si="30"/>
        <v>41882</v>
      </c>
      <c r="BN2" s="43">
        <f t="shared" si="30"/>
        <v>41912</v>
      </c>
      <c r="BO2" s="43">
        <f t="shared" ref="BO2:BW2" si="31">DATE(YEAR(BO1),MONTH(BO1)+1,0)</f>
        <v>41943</v>
      </c>
      <c r="BP2" s="43">
        <f t="shared" si="31"/>
        <v>41973</v>
      </c>
      <c r="BQ2" s="43">
        <f t="shared" si="31"/>
        <v>42004</v>
      </c>
      <c r="BR2" s="43">
        <f t="shared" si="31"/>
        <v>42035</v>
      </c>
      <c r="BS2" s="43">
        <f t="shared" si="31"/>
        <v>42063</v>
      </c>
      <c r="BT2" s="43">
        <f t="shared" si="31"/>
        <v>42094</v>
      </c>
      <c r="BU2" s="43">
        <f t="shared" si="31"/>
        <v>42124</v>
      </c>
      <c r="BV2" s="43">
        <f t="shared" si="31"/>
        <v>42155</v>
      </c>
      <c r="BW2" s="43">
        <f t="shared" si="31"/>
        <v>42185</v>
      </c>
      <c r="BX2" s="59"/>
      <c r="BY2" s="59"/>
      <c r="BZ2" s="936">
        <f>DATE(YEAR(BZ1),MONTH(BZ1)+1,0)</f>
        <v>42216</v>
      </c>
      <c r="CA2" s="936">
        <f t="shared" ref="CA2:CK2" si="32">DATE(YEAR(CA1),MONTH(CA1)+1,0)</f>
        <v>42247</v>
      </c>
      <c r="CB2" s="936">
        <f t="shared" si="32"/>
        <v>42277</v>
      </c>
      <c r="CC2" s="936">
        <f t="shared" si="32"/>
        <v>42308</v>
      </c>
      <c r="CD2" s="936">
        <f t="shared" si="32"/>
        <v>42338</v>
      </c>
      <c r="CE2" s="936">
        <f t="shared" si="32"/>
        <v>42369</v>
      </c>
      <c r="CF2" s="936">
        <f t="shared" si="32"/>
        <v>42400</v>
      </c>
      <c r="CG2" s="936">
        <f t="shared" si="32"/>
        <v>42429</v>
      </c>
      <c r="CH2" s="936">
        <f t="shared" si="32"/>
        <v>42460</v>
      </c>
      <c r="CI2" s="936">
        <f t="shared" si="32"/>
        <v>42490</v>
      </c>
      <c r="CJ2" s="936">
        <f t="shared" si="32"/>
        <v>42521</v>
      </c>
      <c r="CK2" s="936">
        <f t="shared" si="32"/>
        <v>42551</v>
      </c>
      <c r="CL2" s="59"/>
      <c r="CM2" s="59"/>
      <c r="CN2" s="486"/>
      <c r="CO2" s="485"/>
      <c r="CP2" s="486"/>
      <c r="CQ2" s="485"/>
      <c r="CR2" s="486"/>
      <c r="CS2" s="485"/>
      <c r="CT2" s="486"/>
      <c r="CU2" s="485"/>
      <c r="CV2" s="486"/>
      <c r="CW2" s="485"/>
      <c r="CX2" s="486"/>
      <c r="CY2" s="485"/>
      <c r="CZ2" s="486"/>
      <c r="DA2" s="485"/>
      <c r="DB2" s="486"/>
      <c r="DC2" s="485"/>
      <c r="DD2" s="486"/>
      <c r="DE2" s="485"/>
      <c r="DF2" s="486"/>
      <c r="DG2" s="485"/>
      <c r="DH2" s="486"/>
      <c r="DI2" s="485"/>
      <c r="DJ2" s="486"/>
      <c r="DK2" s="485"/>
      <c r="DL2" s="486"/>
      <c r="DM2" s="485"/>
      <c r="DN2" s="486"/>
      <c r="DO2" s="485"/>
      <c r="DP2" s="486"/>
      <c r="DQ2" s="485"/>
      <c r="DR2" s="486"/>
      <c r="DS2" s="485"/>
      <c r="DT2" s="486"/>
      <c r="DU2" s="485"/>
      <c r="DV2" s="486"/>
      <c r="DW2" s="485"/>
      <c r="DX2" s="486"/>
      <c r="DY2" s="485"/>
      <c r="DZ2" s="486"/>
      <c r="EA2" s="485"/>
      <c r="EB2" s="933"/>
      <c r="EC2" s="485"/>
      <c r="ED2" s="486"/>
      <c r="EE2" s="485"/>
      <c r="EF2" s="486"/>
      <c r="EG2" s="485"/>
      <c r="EH2" s="486"/>
      <c r="EI2" s="485"/>
      <c r="EJ2" s="939"/>
      <c r="EK2" s="940"/>
      <c r="EL2" s="939"/>
      <c r="EM2" s="940"/>
      <c r="EN2" s="939"/>
      <c r="EO2" s="940"/>
      <c r="EP2" s="939"/>
      <c r="EQ2" s="940"/>
      <c r="ER2" s="939"/>
      <c r="ES2" s="940"/>
      <c r="ET2" s="939"/>
      <c r="EU2" s="940"/>
      <c r="EV2" s="939"/>
      <c r="EW2" s="940"/>
      <c r="EX2" s="939"/>
      <c r="EY2" s="940"/>
      <c r="EZ2" s="939"/>
      <c r="FA2" s="940"/>
      <c r="FB2" s="939"/>
      <c r="FC2" s="940"/>
      <c r="FD2" s="939"/>
      <c r="FE2" s="940"/>
      <c r="FF2" s="939"/>
      <c r="FG2" s="940"/>
      <c r="FH2" s="43">
        <f t="shared" si="25"/>
        <v>42155</v>
      </c>
      <c r="FI2" s="43">
        <f t="shared" si="26"/>
        <v>42521</v>
      </c>
      <c r="FK2" s="171"/>
      <c r="FL2" s="485"/>
      <c r="FM2" s="485"/>
      <c r="FN2" s="485"/>
      <c r="FO2" s="171"/>
      <c r="FP2" s="252"/>
      <c r="FQ2" s="252"/>
      <c r="FR2" s="252"/>
      <c r="FS2" s="252"/>
      <c r="FT2" s="252"/>
      <c r="FU2" s="252"/>
      <c r="FV2" s="252"/>
      <c r="FW2" s="252"/>
      <c r="FX2" s="252"/>
      <c r="FY2" s="252"/>
      <c r="FZ2" s="252"/>
      <c r="GA2" s="253"/>
      <c r="GB2" s="253"/>
      <c r="GC2" s="253"/>
      <c r="GD2" s="253"/>
      <c r="GE2" s="253"/>
      <c r="GF2" s="253"/>
      <c r="GG2" s="253"/>
      <c r="GH2" s="253"/>
      <c r="GI2" s="253"/>
      <c r="GJ2" s="253"/>
      <c r="GK2" s="253"/>
      <c r="GL2" s="253"/>
      <c r="GM2" s="253"/>
      <c r="GN2" s="253"/>
      <c r="GO2" s="253"/>
      <c r="GP2" s="253"/>
      <c r="GQ2" s="253"/>
      <c r="GR2" s="253"/>
      <c r="GS2" s="253"/>
      <c r="GT2" s="253"/>
      <c r="GU2" s="253"/>
      <c r="GV2" s="253"/>
      <c r="GW2" s="253"/>
      <c r="GX2" s="253"/>
      <c r="GY2" s="817"/>
      <c r="GZ2" s="817"/>
      <c r="HA2" s="817"/>
      <c r="HB2" s="817"/>
      <c r="HC2" s="817"/>
      <c r="HD2" s="817"/>
      <c r="HE2" s="817"/>
      <c r="HF2" s="817"/>
      <c r="HG2" s="817"/>
      <c r="HH2" s="817"/>
      <c r="HI2" s="817"/>
      <c r="HJ2" s="817"/>
      <c r="HK2" s="944"/>
      <c r="HL2" s="944"/>
      <c r="HM2" s="944"/>
      <c r="HN2" s="944"/>
      <c r="HO2" s="944"/>
      <c r="HP2" s="944"/>
      <c r="HQ2" s="944"/>
      <c r="HR2" s="944"/>
      <c r="HS2" s="944"/>
      <c r="HT2" s="944"/>
      <c r="HU2" s="944"/>
      <c r="HV2" s="944"/>
    </row>
    <row r="3" spans="1:230" s="38" customFormat="1" ht="13.5" hidden="1" customHeight="1" outlineLevel="2" x14ac:dyDescent="0.25">
      <c r="A3" s="794"/>
      <c r="E3" s="39"/>
      <c r="F3" s="39"/>
      <c r="G3" s="39">
        <f>NETWORKDAYS(G1,G2,$A$73:$A$116)-(1)</f>
        <v>22</v>
      </c>
      <c r="H3" s="40">
        <v>21</v>
      </c>
      <c r="I3" s="40">
        <v>22</v>
      </c>
      <c r="J3" s="40">
        <v>22</v>
      </c>
      <c r="K3" s="40">
        <v>21</v>
      </c>
      <c r="L3" s="40">
        <v>19</v>
      </c>
      <c r="M3" s="40">
        <v>19</v>
      </c>
      <c r="N3" s="40">
        <v>20</v>
      </c>
      <c r="O3" s="40">
        <v>20</v>
      </c>
      <c r="P3" s="40">
        <v>23</v>
      </c>
      <c r="Q3" s="40">
        <v>19</v>
      </c>
      <c r="R3" s="40">
        <v>21</v>
      </c>
      <c r="S3" s="40">
        <v>22</v>
      </c>
      <c r="T3" s="60"/>
      <c r="U3" s="60"/>
      <c r="V3" s="40">
        <f>NETWORKDAYS(V1,V2,$A$77:$A$116)-(1)</f>
        <v>20</v>
      </c>
      <c r="W3" s="40">
        <f>NETWORKDAYS(W1,W2,$A$77:$A$116)-(1)</f>
        <v>23</v>
      </c>
      <c r="X3" s="40">
        <f>NETWORKDAYS(X1,X2,$A$77:$A$116)</f>
        <v>21</v>
      </c>
      <c r="Y3" s="40">
        <f t="shared" ref="Y3" si="33">NETWORKDAYS(Y1,Y2,$A$77:$A$116)-(1)</f>
        <v>21</v>
      </c>
      <c r="Z3" s="40">
        <v>19</v>
      </c>
      <c r="AA3" s="40">
        <v>19</v>
      </c>
      <c r="AB3" s="40">
        <v>20</v>
      </c>
      <c r="AC3" s="40">
        <v>21</v>
      </c>
      <c r="AD3" s="40">
        <v>22</v>
      </c>
      <c r="AE3" s="40">
        <v>20</v>
      </c>
      <c r="AF3" s="40">
        <v>23</v>
      </c>
      <c r="AG3" s="40">
        <v>21</v>
      </c>
      <c r="AH3" s="60"/>
      <c r="AI3" s="60"/>
      <c r="AJ3" s="40">
        <f>NETWORKDAYS(AJ1,AJ2,$A$77:$A$116)</f>
        <v>22</v>
      </c>
      <c r="AK3" s="40">
        <f>NETWORKDAYS(AK1,AK2,$A$77:$A$116)</f>
        <v>23</v>
      </c>
      <c r="AL3" s="40">
        <f>NETWORKDAYS(AL1,AL2,$A$77:$A$116)</f>
        <v>20</v>
      </c>
      <c r="AM3" s="40">
        <f>(NETWORKDAYS(AM1,AM2,$A$77:$A$116))-1</f>
        <v>23</v>
      </c>
      <c r="AN3" s="40">
        <f>NETWORKDAYS(AN1,AN2,$A$77:$A$116)</f>
        <v>19</v>
      </c>
      <c r="AO3" s="40">
        <f>(NETWORKDAYS(AO1,AO2,$A$77:$A$116))-1</f>
        <v>18</v>
      </c>
      <c r="AP3" s="40">
        <f>(NETWORKDAYS(AP1,AP2,$A$77:$A$116))-3</f>
        <v>21</v>
      </c>
      <c r="AQ3" s="40">
        <f>(NETWORKDAYS(AQ1,AQ2,$A$77:$A$116))-1</f>
        <v>20</v>
      </c>
      <c r="AR3" s="40">
        <f>(NETWORKDAYS(AR1,AR2,$A$77:$A$116))-2</f>
        <v>20</v>
      </c>
      <c r="AS3" s="40">
        <f>(NETWORKDAYS(AS1,AS2,$A$77:$A$116))-1</f>
        <v>22</v>
      </c>
      <c r="AT3" s="755">
        <f>NETWORKDAYS(AT1,AT2,$A$77:$A$116)-1</f>
        <v>22</v>
      </c>
      <c r="AU3" s="755">
        <f>NETWORKDAYS(AU1,AU2,$A$77:$A$116)-1</f>
        <v>20</v>
      </c>
      <c r="AV3" s="60"/>
      <c r="AW3" s="60"/>
      <c r="AX3" s="755">
        <f>NETWORKDAYS(AX1,AX2,$A$77:$A$116)-2</f>
        <v>22</v>
      </c>
      <c r="AY3" s="40">
        <f>NETWORKDAYS(AY1,AY2,$A$77:$A$128)</f>
        <v>22</v>
      </c>
      <c r="AZ3" s="40">
        <f>NETWORKDAYS(AZ1,AZ2,$A$77:$A$128)</f>
        <v>20</v>
      </c>
      <c r="BA3" s="40">
        <f>(NETWORKDAYS(BA1,BA2,$A$77:$A$128))-1</f>
        <v>23</v>
      </c>
      <c r="BB3" s="40">
        <f>(NETWORKDAYS(BB1,BB2,$A$77:$A$128))</f>
        <v>18</v>
      </c>
      <c r="BC3" s="40">
        <f>(NETWORKDAYS(BC1,BC2,$A$77:$A$128))-1</f>
        <v>19</v>
      </c>
      <c r="BD3" s="40">
        <f>(NETWORKDAYS(BD1,BD2,$A$77:$A$141))</f>
        <v>21</v>
      </c>
      <c r="BE3" s="40">
        <f>(NETWORKDAYS(BE1,BE2,$A$77:$A$141))</f>
        <v>20</v>
      </c>
      <c r="BF3" s="40">
        <f>(NETWORKDAYS(BF1,BF2,$A$77:$A$141))-1</f>
        <v>21</v>
      </c>
      <c r="BG3" s="40">
        <f>(NETWORKDAYS(BG1,BG2,$A$77:$A$141))-1</f>
        <v>21</v>
      </c>
      <c r="BH3" s="40">
        <f>(NETWORKDAYS(BH1,BH2,$A$77:$A$141))+1</f>
        <v>22</v>
      </c>
      <c r="BI3" s="40">
        <f>(NETWORKDAYS(BI1,BI2,$A$77:$A$141))-1</f>
        <v>21</v>
      </c>
      <c r="BJ3" s="60"/>
      <c r="BK3" s="60"/>
      <c r="BL3" s="755">
        <f>NETWORKDAYS(BL1,BL2,$A$77:$A$141)</f>
        <v>22</v>
      </c>
      <c r="BM3" s="755">
        <f>NETWORKDAYS(BM1,BM2,$A$77:$A$141)</f>
        <v>21</v>
      </c>
      <c r="BN3" s="755">
        <f t="shared" ref="BN3:BO3" si="34">NETWORKDAYS(BN1,BN2,$A$77:$A$141)</f>
        <v>21</v>
      </c>
      <c r="BO3" s="755">
        <f t="shared" si="34"/>
        <v>23</v>
      </c>
      <c r="BP3" s="755">
        <f>NETWORKDAYS(BP1,BP2,$A$77:$A$141)</f>
        <v>17</v>
      </c>
      <c r="BQ3" s="755">
        <f>NETWORKDAYS(BQ1,BQ2,$A$77:$A$165)</f>
        <v>20</v>
      </c>
      <c r="BR3" s="755">
        <f>NETWORKDAYS(BR1,BR2,$A$77:$A$165)</f>
        <v>20</v>
      </c>
      <c r="BS3" s="755">
        <f t="shared" ref="BS3" si="35">NETWORKDAYS(BS1,BS2,$A$77:$A$165)</f>
        <v>20</v>
      </c>
      <c r="BT3" s="755">
        <f>NETWORKDAYS(BT1,BT2,$A$77:$A$165)</f>
        <v>22</v>
      </c>
      <c r="BU3" s="755">
        <f>NETWORKDAYS(BU1,BU2,$A$77:$A$165)</f>
        <v>21</v>
      </c>
      <c r="BV3" s="755">
        <f>NETWORKDAYS(BV1,BV2,$A$77:$A$165)</f>
        <v>20</v>
      </c>
      <c r="BW3" s="755">
        <f>NETWORKDAYS(BW1,BW2,$A$77:$A$165)</f>
        <v>22</v>
      </c>
      <c r="BX3" s="60"/>
      <c r="BY3" s="60"/>
      <c r="BZ3" s="937">
        <f>NETWORKDAYS(BZ1,BZ2,$A$77:$A$165)</f>
        <v>22</v>
      </c>
      <c r="CA3" s="937">
        <f>NETWORKDAYS(CA1,CA2,$A$77:$A$165)</f>
        <v>21</v>
      </c>
      <c r="CB3" s="937">
        <f t="shared" ref="CB3:CD3" si="36">NETWORKDAYS(CB1,CB2,$A$77:$A$165)</f>
        <v>21</v>
      </c>
      <c r="CC3" s="937">
        <f t="shared" si="36"/>
        <v>22</v>
      </c>
      <c r="CD3" s="937">
        <f t="shared" si="36"/>
        <v>18</v>
      </c>
      <c r="CE3" s="937">
        <f t="shared" ref="CE3" si="37">NETWORKDAYS(CE1,CE2,$A$77:$A$165)</f>
        <v>20</v>
      </c>
      <c r="CF3" s="937">
        <f t="shared" ref="CF3" si="38">NETWORKDAYS(CF1,CF2,$A$77:$A$165)</f>
        <v>19</v>
      </c>
      <c r="CG3" s="937">
        <f t="shared" ref="CG3:CH3" si="39">NETWORKDAYS(CG1,CG2,$A$77:$A$165)</f>
        <v>21</v>
      </c>
      <c r="CH3" s="937">
        <f t="shared" si="39"/>
        <v>22</v>
      </c>
      <c r="CI3" s="937">
        <f t="shared" ref="CI3" si="40">NETWORKDAYS(CI1,CI2,$A$77:$A$165)</f>
        <v>21</v>
      </c>
      <c r="CJ3" s="937">
        <f t="shared" ref="CJ3" si="41">NETWORKDAYS(CJ1,CJ2,$A$77:$A$165)</f>
        <v>21</v>
      </c>
      <c r="CK3" s="937">
        <f t="shared" ref="CK3" si="42">NETWORKDAYS(CK1,CK2,$A$77:$A$165)</f>
        <v>22</v>
      </c>
      <c r="CL3" s="60"/>
      <c r="CM3" s="60"/>
      <c r="CN3" s="487"/>
      <c r="CO3" s="485"/>
      <c r="CP3" s="487"/>
      <c r="CQ3" s="485"/>
      <c r="CR3" s="487"/>
      <c r="CS3" s="485"/>
      <c r="CT3" s="487"/>
      <c r="CU3" s="485"/>
      <c r="CV3" s="487"/>
      <c r="CW3" s="485"/>
      <c r="CX3" s="487"/>
      <c r="CY3" s="485"/>
      <c r="CZ3" s="487"/>
      <c r="DA3" s="485"/>
      <c r="DB3" s="487"/>
      <c r="DC3" s="485"/>
      <c r="DD3" s="487"/>
      <c r="DE3" s="485"/>
      <c r="DF3" s="487"/>
      <c r="DG3" s="485"/>
      <c r="DH3" s="487"/>
      <c r="DI3" s="485"/>
      <c r="DJ3" s="487"/>
      <c r="DK3" s="485"/>
      <c r="DL3" s="487"/>
      <c r="DM3" s="485"/>
      <c r="DN3" s="487"/>
      <c r="DO3" s="485"/>
      <c r="DP3" s="487"/>
      <c r="DQ3" s="485"/>
      <c r="DR3" s="487"/>
      <c r="DS3" s="485"/>
      <c r="DT3" s="487"/>
      <c r="DU3" s="485"/>
      <c r="DV3" s="487"/>
      <c r="DW3" s="485"/>
      <c r="DX3" s="487"/>
      <c r="DY3" s="485"/>
      <c r="DZ3" s="487"/>
      <c r="EA3" s="485"/>
      <c r="EB3" s="934"/>
      <c r="EC3" s="485"/>
      <c r="ED3" s="487"/>
      <c r="EE3" s="485"/>
      <c r="EF3" s="487"/>
      <c r="EG3" s="485"/>
      <c r="EH3" s="487"/>
      <c r="EI3" s="485"/>
      <c r="EJ3" s="941"/>
      <c r="EK3" s="940"/>
      <c r="EL3" s="941"/>
      <c r="EM3" s="940"/>
      <c r="EN3" s="941"/>
      <c r="EO3" s="940"/>
      <c r="EP3" s="941"/>
      <c r="EQ3" s="940"/>
      <c r="ER3" s="941"/>
      <c r="ES3" s="940"/>
      <c r="ET3" s="941"/>
      <c r="EU3" s="940"/>
      <c r="EV3" s="941"/>
      <c r="EW3" s="940"/>
      <c r="EX3" s="941"/>
      <c r="EY3" s="940"/>
      <c r="EZ3" s="941"/>
      <c r="FA3" s="940"/>
      <c r="FB3" s="941"/>
      <c r="FC3" s="940"/>
      <c r="FD3" s="941"/>
      <c r="FE3" s="940"/>
      <c r="FF3" s="941"/>
      <c r="FG3" s="940"/>
      <c r="FH3" s="755">
        <f t="shared" si="25"/>
        <v>20</v>
      </c>
      <c r="FI3" s="755">
        <f t="shared" si="26"/>
        <v>21</v>
      </c>
      <c r="FK3" s="171"/>
      <c r="FL3" s="485"/>
      <c r="FM3" s="485"/>
      <c r="FN3" s="485"/>
      <c r="FO3" s="171"/>
      <c r="FP3" s="254"/>
      <c r="FQ3" s="254"/>
      <c r="FR3" s="254"/>
      <c r="FS3" s="254"/>
      <c r="FT3" s="254"/>
      <c r="FU3" s="254"/>
      <c r="FV3" s="254"/>
      <c r="FW3" s="254"/>
      <c r="FX3" s="254"/>
      <c r="FY3" s="254"/>
      <c r="FZ3" s="254"/>
      <c r="GA3" s="255"/>
      <c r="GB3" s="255"/>
      <c r="GC3" s="255"/>
      <c r="GD3" s="255"/>
      <c r="GE3" s="255"/>
      <c r="GF3" s="255"/>
      <c r="GG3" s="255"/>
      <c r="GH3" s="255"/>
      <c r="GI3" s="255"/>
      <c r="GJ3" s="255"/>
      <c r="GK3" s="255"/>
      <c r="GL3" s="255"/>
      <c r="GM3" s="255"/>
      <c r="GN3" s="255"/>
      <c r="GO3" s="255"/>
      <c r="GP3" s="255"/>
      <c r="GQ3" s="255"/>
      <c r="GR3" s="255"/>
      <c r="GS3" s="255"/>
      <c r="GT3" s="255"/>
      <c r="GU3" s="255"/>
      <c r="GV3" s="255"/>
      <c r="GW3" s="255"/>
      <c r="GX3" s="255"/>
      <c r="GY3" s="818"/>
      <c r="GZ3" s="818"/>
      <c r="HA3" s="818"/>
      <c r="HB3" s="818"/>
      <c r="HC3" s="818"/>
      <c r="HD3" s="818"/>
      <c r="HE3" s="818"/>
      <c r="HF3" s="818"/>
      <c r="HG3" s="818"/>
      <c r="HH3" s="818"/>
      <c r="HI3" s="818"/>
      <c r="HJ3" s="818"/>
      <c r="HK3" s="945"/>
      <c r="HL3" s="945"/>
      <c r="HM3" s="945"/>
      <c r="HN3" s="945"/>
      <c r="HO3" s="945"/>
      <c r="HP3" s="945"/>
      <c r="HQ3" s="945"/>
      <c r="HR3" s="945"/>
      <c r="HS3" s="945"/>
      <c r="HT3" s="945"/>
      <c r="HU3" s="945"/>
      <c r="HV3" s="945"/>
    </row>
    <row r="4" spans="1:230" s="44" customFormat="1" ht="13.5" hidden="1" customHeight="1" outlineLevel="2" thickBot="1" x14ac:dyDescent="0.3">
      <c r="A4" s="795"/>
      <c r="E4" s="45"/>
      <c r="F4" s="45"/>
      <c r="G4" s="45"/>
      <c r="H4" s="46">
        <v>1</v>
      </c>
      <c r="I4" s="46">
        <v>1</v>
      </c>
      <c r="J4" s="46">
        <v>1</v>
      </c>
      <c r="K4" s="46">
        <v>1</v>
      </c>
      <c r="L4" s="46">
        <v>1</v>
      </c>
      <c r="M4" s="46">
        <v>1</v>
      </c>
      <c r="N4" s="46">
        <v>1</v>
      </c>
      <c r="O4" s="46">
        <v>1</v>
      </c>
      <c r="P4" s="46">
        <v>1</v>
      </c>
      <c r="Q4" s="46">
        <v>1</v>
      </c>
      <c r="R4" s="46">
        <v>1</v>
      </c>
      <c r="S4" s="46">
        <v>1</v>
      </c>
      <c r="T4" s="251">
        <v>12</v>
      </c>
      <c r="U4" s="181"/>
      <c r="V4" s="46">
        <f t="shared" ref="V4:Y4" si="43">IF(V11&gt;0,1,)</f>
        <v>1</v>
      </c>
      <c r="W4" s="46">
        <f t="shared" si="43"/>
        <v>1</v>
      </c>
      <c r="X4" s="46">
        <f t="shared" si="43"/>
        <v>1</v>
      </c>
      <c r="Y4" s="46">
        <f t="shared" si="43"/>
        <v>1</v>
      </c>
      <c r="Z4" s="46">
        <v>1</v>
      </c>
      <c r="AA4" s="46">
        <v>1</v>
      </c>
      <c r="AB4" s="46">
        <v>1</v>
      </c>
      <c r="AC4" s="46">
        <v>1</v>
      </c>
      <c r="AD4" s="46">
        <v>1</v>
      </c>
      <c r="AE4" s="46">
        <v>1</v>
      </c>
      <c r="AF4" s="46">
        <v>1</v>
      </c>
      <c r="AG4" s="46">
        <v>1</v>
      </c>
      <c r="AH4" s="251">
        <v>12</v>
      </c>
      <c r="AI4" s="181"/>
      <c r="AJ4" s="46">
        <f t="shared" ref="AJ4:AU4" si="44">IF(AJ11&gt;0,1,)</f>
        <v>1</v>
      </c>
      <c r="AK4" s="46">
        <f t="shared" si="44"/>
        <v>1</v>
      </c>
      <c r="AL4" s="46">
        <f t="shared" si="44"/>
        <v>1</v>
      </c>
      <c r="AM4" s="46">
        <f t="shared" si="44"/>
        <v>1</v>
      </c>
      <c r="AN4" s="46">
        <f t="shared" si="44"/>
        <v>1</v>
      </c>
      <c r="AO4" s="46">
        <f t="shared" si="44"/>
        <v>1</v>
      </c>
      <c r="AP4" s="46">
        <f t="shared" si="44"/>
        <v>1</v>
      </c>
      <c r="AQ4" s="46">
        <f t="shared" si="44"/>
        <v>1</v>
      </c>
      <c r="AR4" s="46">
        <f t="shared" si="44"/>
        <v>1</v>
      </c>
      <c r="AS4" s="46">
        <f t="shared" si="44"/>
        <v>1</v>
      </c>
      <c r="AT4" s="46">
        <f t="shared" si="44"/>
        <v>1</v>
      </c>
      <c r="AU4" s="46">
        <f t="shared" si="44"/>
        <v>1</v>
      </c>
      <c r="AV4" s="251">
        <f>SUM(AJ4:AU4)</f>
        <v>12</v>
      </c>
      <c r="AW4" s="181"/>
      <c r="AX4" s="46">
        <f t="shared" ref="AX4:BI4" si="45">IF(AX11&gt;0,1,)</f>
        <v>1</v>
      </c>
      <c r="AY4" s="46">
        <f t="shared" si="45"/>
        <v>1</v>
      </c>
      <c r="AZ4" s="46">
        <f t="shared" si="45"/>
        <v>1</v>
      </c>
      <c r="BA4" s="46">
        <f t="shared" si="45"/>
        <v>1</v>
      </c>
      <c r="BB4" s="46">
        <f t="shared" si="45"/>
        <v>1</v>
      </c>
      <c r="BC4" s="46">
        <f t="shared" si="45"/>
        <v>1</v>
      </c>
      <c r="BD4" s="46">
        <f t="shared" si="45"/>
        <v>1</v>
      </c>
      <c r="BE4" s="46">
        <f t="shared" si="45"/>
        <v>1</v>
      </c>
      <c r="BF4" s="46">
        <f t="shared" si="45"/>
        <v>1</v>
      </c>
      <c r="BG4" s="46">
        <f t="shared" si="45"/>
        <v>1</v>
      </c>
      <c r="BH4" s="46">
        <f t="shared" si="45"/>
        <v>1</v>
      </c>
      <c r="BI4" s="46">
        <f t="shared" si="45"/>
        <v>1</v>
      </c>
      <c r="BJ4" s="251">
        <f>SUM(AX4:BI4)</f>
        <v>12</v>
      </c>
      <c r="BK4" s="181"/>
      <c r="BL4" s="46">
        <f t="shared" ref="BL4:BW4" si="46">IF(BL11&gt;0,1,)</f>
        <v>1</v>
      </c>
      <c r="BM4" s="46">
        <f t="shared" si="46"/>
        <v>1</v>
      </c>
      <c r="BN4" s="46">
        <f t="shared" si="46"/>
        <v>1</v>
      </c>
      <c r="BO4" s="46">
        <f t="shared" si="46"/>
        <v>1</v>
      </c>
      <c r="BP4" s="46">
        <f t="shared" si="46"/>
        <v>1</v>
      </c>
      <c r="BQ4" s="46">
        <f t="shared" si="46"/>
        <v>1</v>
      </c>
      <c r="BR4" s="46">
        <f t="shared" si="46"/>
        <v>1</v>
      </c>
      <c r="BS4" s="46">
        <f t="shared" si="46"/>
        <v>1</v>
      </c>
      <c r="BT4" s="46">
        <f t="shared" si="46"/>
        <v>1</v>
      </c>
      <c r="BU4" s="46">
        <f t="shared" si="46"/>
        <v>1</v>
      </c>
      <c r="BV4" s="46">
        <f t="shared" si="46"/>
        <v>1</v>
      </c>
      <c r="BW4" s="46">
        <f t="shared" si="46"/>
        <v>1</v>
      </c>
      <c r="BX4" s="251">
        <f>SUM(BL4:BW4)</f>
        <v>12</v>
      </c>
      <c r="BY4" s="181"/>
      <c r="BZ4" s="938">
        <f t="shared" ref="BZ4:CK4" si="47">IF(BZ11&gt;0,1,)</f>
        <v>1</v>
      </c>
      <c r="CA4" s="938">
        <f t="shared" si="47"/>
        <v>1</v>
      </c>
      <c r="CB4" s="938">
        <f t="shared" si="47"/>
        <v>1</v>
      </c>
      <c r="CC4" s="938">
        <f t="shared" si="47"/>
        <v>1</v>
      </c>
      <c r="CD4" s="938">
        <f t="shared" si="47"/>
        <v>1</v>
      </c>
      <c r="CE4" s="938">
        <f t="shared" si="47"/>
        <v>1</v>
      </c>
      <c r="CF4" s="938">
        <f t="shared" si="47"/>
        <v>1</v>
      </c>
      <c r="CG4" s="938">
        <f t="shared" si="47"/>
        <v>1</v>
      </c>
      <c r="CH4" s="938">
        <f t="shared" si="47"/>
        <v>1</v>
      </c>
      <c r="CI4" s="938">
        <f t="shared" si="47"/>
        <v>1</v>
      </c>
      <c r="CJ4" s="938">
        <f t="shared" si="47"/>
        <v>1</v>
      </c>
      <c r="CK4" s="938">
        <f t="shared" si="47"/>
        <v>0</v>
      </c>
      <c r="CL4" s="251">
        <f>SUM(BZ4:CK4)</f>
        <v>11</v>
      </c>
      <c r="CM4" s="181"/>
      <c r="CN4" s="489"/>
      <c r="CO4" s="488"/>
      <c r="CP4" s="489"/>
      <c r="CQ4" s="488"/>
      <c r="CR4" s="489"/>
      <c r="CS4" s="488"/>
      <c r="CT4" s="489"/>
      <c r="CU4" s="488"/>
      <c r="CV4" s="489"/>
      <c r="CW4" s="488"/>
      <c r="CX4" s="489"/>
      <c r="CY4" s="488"/>
      <c r="CZ4" s="489"/>
      <c r="DA4" s="488"/>
      <c r="DB4" s="489"/>
      <c r="DC4" s="488"/>
      <c r="DD4" s="489"/>
      <c r="DE4" s="488"/>
      <c r="DF4" s="489"/>
      <c r="DG4" s="488"/>
      <c r="DH4" s="489"/>
      <c r="DI4" s="488"/>
      <c r="DJ4" s="489"/>
      <c r="DK4" s="488"/>
      <c r="DL4" s="489"/>
      <c r="DM4" s="488"/>
      <c r="DN4" s="489"/>
      <c r="DO4" s="488"/>
      <c r="DP4" s="489"/>
      <c r="DQ4" s="488"/>
      <c r="DR4" s="489"/>
      <c r="DS4" s="488"/>
      <c r="DT4" s="489"/>
      <c r="DU4" s="488"/>
      <c r="DV4" s="489"/>
      <c r="DW4" s="488"/>
      <c r="DX4" s="489"/>
      <c r="DY4" s="488"/>
      <c r="DZ4" s="489"/>
      <c r="EA4" s="488"/>
      <c r="EB4" s="489"/>
      <c r="EC4" s="488"/>
      <c r="ED4" s="489"/>
      <c r="EE4" s="488"/>
      <c r="EF4" s="489"/>
      <c r="EG4" s="488"/>
      <c r="EH4" s="489"/>
      <c r="EI4" s="488"/>
      <c r="EJ4" s="942"/>
      <c r="EK4" s="943"/>
      <c r="EL4" s="942"/>
      <c r="EM4" s="943"/>
      <c r="EN4" s="942" t="s">
        <v>260</v>
      </c>
      <c r="EO4" s="943"/>
      <c r="EP4" s="942" t="s">
        <v>261</v>
      </c>
      <c r="EQ4" s="943"/>
      <c r="ER4" s="942" t="s">
        <v>262</v>
      </c>
      <c r="ES4" s="943"/>
      <c r="ET4" s="942" t="s">
        <v>263</v>
      </c>
      <c r="EU4" s="943"/>
      <c r="EV4" s="942" t="s">
        <v>264</v>
      </c>
      <c r="EW4" s="943"/>
      <c r="EX4" s="942" t="s">
        <v>265</v>
      </c>
      <c r="EY4" s="943"/>
      <c r="EZ4" s="942" t="s">
        <v>266</v>
      </c>
      <c r="FA4" s="943"/>
      <c r="FB4" s="942" t="s">
        <v>267</v>
      </c>
      <c r="FC4" s="943"/>
      <c r="FD4" s="942" t="s">
        <v>259</v>
      </c>
      <c r="FE4" s="943"/>
      <c r="FF4" s="942"/>
      <c r="FG4" s="943"/>
      <c r="FH4" s="46">
        <f t="shared" si="25"/>
        <v>1</v>
      </c>
      <c r="FI4" s="46">
        <f t="shared" si="26"/>
        <v>1</v>
      </c>
      <c r="FK4" s="172"/>
      <c r="FL4" s="488"/>
      <c r="FM4" s="488"/>
      <c r="FN4" s="488"/>
      <c r="FO4" s="172"/>
      <c r="FP4" s="256"/>
      <c r="FQ4" s="256"/>
      <c r="FR4" s="256"/>
      <c r="FS4" s="256"/>
      <c r="FT4" s="256"/>
      <c r="FU4" s="256"/>
      <c r="FV4" s="256"/>
      <c r="FW4" s="256"/>
      <c r="FX4" s="256"/>
      <c r="FY4" s="256"/>
      <c r="FZ4" s="256"/>
      <c r="GA4" s="257"/>
      <c r="GB4" s="257"/>
      <c r="GC4" s="257"/>
      <c r="GD4" s="257"/>
      <c r="GE4" s="257"/>
      <c r="GF4" s="257"/>
      <c r="GG4" s="257"/>
      <c r="GH4" s="257"/>
      <c r="GI4" s="257"/>
      <c r="GJ4" s="257"/>
      <c r="GK4" s="257"/>
      <c r="GL4" s="257"/>
      <c r="GM4" s="257"/>
      <c r="GN4" s="257"/>
      <c r="GO4" s="257"/>
      <c r="GP4" s="257"/>
      <c r="GQ4" s="257"/>
      <c r="GR4" s="257"/>
      <c r="GS4" s="257"/>
      <c r="GT4" s="257"/>
      <c r="GU4" s="257"/>
      <c r="GV4" s="257"/>
      <c r="GW4" s="257"/>
      <c r="GX4" s="257"/>
      <c r="GY4" s="819"/>
      <c r="GZ4" s="819"/>
      <c r="HA4" s="819"/>
      <c r="HB4" s="819"/>
      <c r="HC4" s="819"/>
      <c r="HD4" s="819"/>
      <c r="HE4" s="819"/>
      <c r="HF4" s="819"/>
      <c r="HG4" s="819"/>
      <c r="HH4" s="819"/>
      <c r="HI4" s="819"/>
      <c r="HJ4" s="819"/>
      <c r="HK4" s="946"/>
      <c r="HL4" s="946"/>
      <c r="HM4" s="946"/>
      <c r="HN4" s="946"/>
      <c r="HO4" s="946"/>
      <c r="HP4" s="946"/>
      <c r="HQ4" s="946"/>
      <c r="HR4" s="946"/>
      <c r="HS4" s="946"/>
      <c r="HT4" s="946"/>
      <c r="HU4" s="946"/>
      <c r="HV4" s="946"/>
    </row>
    <row r="5" spans="1:230" s="50" customFormat="1" ht="13.5" hidden="1" customHeight="1" outlineLevel="1" collapsed="1" x14ac:dyDescent="0.25">
      <c r="A5" s="796"/>
      <c r="B5" s="47" t="s">
        <v>11</v>
      </c>
      <c r="C5" s="47"/>
      <c r="D5" s="47"/>
      <c r="E5" s="48"/>
      <c r="F5" s="48"/>
      <c r="G5" s="48"/>
      <c r="H5" s="49">
        <v>19</v>
      </c>
      <c r="I5" s="62">
        <v>56</v>
      </c>
      <c r="J5" s="49">
        <v>5</v>
      </c>
      <c r="K5" s="62">
        <v>346</v>
      </c>
      <c r="L5" s="49">
        <v>96</v>
      </c>
      <c r="M5" s="62">
        <v>37</v>
      </c>
      <c r="N5" s="49">
        <v>9</v>
      </c>
      <c r="O5" s="62">
        <v>14</v>
      </c>
      <c r="P5" s="49">
        <v>26</v>
      </c>
      <c r="Q5" s="62">
        <v>11</v>
      </c>
      <c r="R5" s="49">
        <v>14</v>
      </c>
      <c r="S5" s="62">
        <v>52</v>
      </c>
      <c r="T5" s="182">
        <v>685</v>
      </c>
      <c r="U5" s="185">
        <v>57.083333333333336</v>
      </c>
      <c r="V5" s="49">
        <v>32</v>
      </c>
      <c r="W5" s="62">
        <f>20+1</f>
        <v>21</v>
      </c>
      <c r="X5" s="49">
        <v>67</v>
      </c>
      <c r="Y5" s="62">
        <f>1+4</f>
        <v>5</v>
      </c>
      <c r="Z5" s="49">
        <v>112</v>
      </c>
      <c r="AA5" s="62">
        <v>427</v>
      </c>
      <c r="AB5" s="49">
        <v>25</v>
      </c>
      <c r="AC5" s="62">
        <v>16</v>
      </c>
      <c r="AD5" s="49">
        <v>10</v>
      </c>
      <c r="AE5" s="62">
        <v>21</v>
      </c>
      <c r="AF5" s="49">
        <v>25</v>
      </c>
      <c r="AG5" s="62">
        <v>15</v>
      </c>
      <c r="AH5" s="182">
        <v>776</v>
      </c>
      <c r="AI5" s="185">
        <v>64.666666666666671</v>
      </c>
      <c r="AJ5" s="49">
        <v>20</v>
      </c>
      <c r="AK5" s="62">
        <v>20</v>
      </c>
      <c r="AL5" s="49">
        <v>21</v>
      </c>
      <c r="AM5" s="62">
        <v>21</v>
      </c>
      <c r="AN5" s="49">
        <v>20</v>
      </c>
      <c r="AO5" s="62">
        <v>23</v>
      </c>
      <c r="AP5" s="49">
        <v>28</v>
      </c>
      <c r="AQ5" s="62">
        <v>14</v>
      </c>
      <c r="AR5" s="49">
        <v>10</v>
      </c>
      <c r="AS5" s="62">
        <v>19</v>
      </c>
      <c r="AT5" s="49">
        <f>3+17</f>
        <v>20</v>
      </c>
      <c r="AU5" s="62">
        <f>15+17</f>
        <v>32</v>
      </c>
      <c r="AV5" s="182">
        <f>SUM(AJ5:AU5)</f>
        <v>248</v>
      </c>
      <c r="AW5" s="185">
        <f>SUM(AJ5:AU5)/$AV$4</f>
        <v>20.666666666666668</v>
      </c>
      <c r="AX5" s="49">
        <v>27</v>
      </c>
      <c r="AY5" s="62">
        <f>13+9</f>
        <v>22</v>
      </c>
      <c r="AZ5" s="49">
        <v>68</v>
      </c>
      <c r="BA5" s="62">
        <v>86</v>
      </c>
      <c r="BB5" s="49">
        <f>6+7</f>
        <v>13</v>
      </c>
      <c r="BC5" s="62">
        <f>34+8</f>
        <v>42</v>
      </c>
      <c r="BD5" s="49">
        <f>13+14</f>
        <v>27</v>
      </c>
      <c r="BE5" s="62">
        <f>12+9</f>
        <v>21</v>
      </c>
      <c r="BF5" s="49">
        <f>15+17</f>
        <v>32</v>
      </c>
      <c r="BG5" s="62">
        <f>9+7+16</f>
        <v>32</v>
      </c>
      <c r="BH5" s="49">
        <f>8+17</f>
        <v>25</v>
      </c>
      <c r="BI5" s="62">
        <f>16+10+10</f>
        <v>36</v>
      </c>
      <c r="BJ5" s="182">
        <f>SUM(AX5:BI5)</f>
        <v>431</v>
      </c>
      <c r="BK5" s="185">
        <f>SUM(AX5:BI5)/$BJ$4</f>
        <v>35.916666666666664</v>
      </c>
      <c r="BL5" s="49">
        <f>13+100+11</f>
        <v>124</v>
      </c>
      <c r="BM5" s="62">
        <f>15+17</f>
        <v>32</v>
      </c>
      <c r="BN5" s="49">
        <f>33+6+35</f>
        <v>74</v>
      </c>
      <c r="BO5" s="62">
        <f>6+8+11</f>
        <v>25</v>
      </c>
      <c r="BP5" s="49">
        <f>6+8+3</f>
        <v>17</v>
      </c>
      <c r="BQ5" s="62">
        <f>9+10+27</f>
        <v>46</v>
      </c>
      <c r="BR5" s="49">
        <f>8+4+7</f>
        <v>19</v>
      </c>
      <c r="BS5" s="62">
        <f>42+12+12</f>
        <v>66</v>
      </c>
      <c r="BT5" s="49">
        <v>156</v>
      </c>
      <c r="BU5" s="62">
        <f>8+1+8</f>
        <v>17</v>
      </c>
      <c r="BV5" s="49">
        <f>0+6</f>
        <v>6</v>
      </c>
      <c r="BW5" s="62">
        <f>2+2+23</f>
        <v>27</v>
      </c>
      <c r="BX5" s="182">
        <f>SUM(BL5:BW5)</f>
        <v>609</v>
      </c>
      <c r="BY5" s="185">
        <f>SUM(BL5:BW5)/$BX$4</f>
        <v>50.75</v>
      </c>
      <c r="BZ5" s="1023">
        <f>4+2+18</f>
        <v>24</v>
      </c>
      <c r="CA5" s="62">
        <f>5+1+25</f>
        <v>31</v>
      </c>
      <c r="CB5" s="49">
        <f>7+5+16</f>
        <v>28</v>
      </c>
      <c r="CC5" s="62">
        <f>4+7+14</f>
        <v>25</v>
      </c>
      <c r="CD5" s="49">
        <f>136+2+27</f>
        <v>165</v>
      </c>
      <c r="CE5" s="62">
        <f>2+7+45</f>
        <v>54</v>
      </c>
      <c r="CF5" s="49">
        <f>3+2+6</f>
        <v>11</v>
      </c>
      <c r="CG5" s="62">
        <f>6+6+24</f>
        <v>36</v>
      </c>
      <c r="CH5" s="49">
        <f>12+11+25</f>
        <v>48</v>
      </c>
      <c r="CI5" s="62">
        <f>13+4+27</f>
        <v>44</v>
      </c>
      <c r="CJ5" s="49">
        <v>24</v>
      </c>
      <c r="CK5" s="62"/>
      <c r="CL5" s="182">
        <f>SUM(BZ5:CK5)</f>
        <v>490</v>
      </c>
      <c r="CM5" s="185">
        <f>SUM(BZ5:CK5)/$CL$4</f>
        <v>44.545454545454547</v>
      </c>
      <c r="CN5" s="125">
        <f>AX5-AU5</f>
        <v>-5</v>
      </c>
      <c r="CO5" s="407">
        <f>CN5/AU5</f>
        <v>-0.15625</v>
      </c>
      <c r="CP5" s="125">
        <f>AY5-AX5</f>
        <v>-5</v>
      </c>
      <c r="CQ5" s="407">
        <f>CP5/AX5</f>
        <v>-0.18518518518518517</v>
      </c>
      <c r="CR5" s="125">
        <f>AZ5-AY5</f>
        <v>46</v>
      </c>
      <c r="CS5" s="407">
        <f>CR5/AY5</f>
        <v>2.0909090909090908</v>
      </c>
      <c r="CT5" s="125">
        <f>BA5-AZ5</f>
        <v>18</v>
      </c>
      <c r="CU5" s="407">
        <f>CT5/AZ5</f>
        <v>0.26470588235294118</v>
      </c>
      <c r="CV5" s="125">
        <f>BB5-BA5</f>
        <v>-73</v>
      </c>
      <c r="CW5" s="407">
        <f>CV5/BA5</f>
        <v>-0.84883720930232553</v>
      </c>
      <c r="CX5" s="125">
        <f>BC5-BB5</f>
        <v>29</v>
      </c>
      <c r="CY5" s="407">
        <f>CX5/BB5</f>
        <v>2.2307692307692308</v>
      </c>
      <c r="CZ5" s="125">
        <f>BD5-BC5</f>
        <v>-15</v>
      </c>
      <c r="DA5" s="407">
        <f>CZ5/BC5</f>
        <v>-0.35714285714285715</v>
      </c>
      <c r="DB5" s="125">
        <f>BE5-BD5</f>
        <v>-6</v>
      </c>
      <c r="DC5" s="407">
        <f>DB5/BD5</f>
        <v>-0.22222222222222221</v>
      </c>
      <c r="DD5" s="125">
        <f>BF5-BE5</f>
        <v>11</v>
      </c>
      <c r="DE5" s="407">
        <f>DD5/BE5</f>
        <v>0.52380952380952384</v>
      </c>
      <c r="DF5" s="125">
        <f>BG5-BF5</f>
        <v>0</v>
      </c>
      <c r="DG5" s="407">
        <f>DF5/BF5</f>
        <v>0</v>
      </c>
      <c r="DH5" s="125">
        <f>BH5-BG5</f>
        <v>-7</v>
      </c>
      <c r="DI5" s="407">
        <f>DH5/BG5</f>
        <v>-0.21875</v>
      </c>
      <c r="DJ5" s="125">
        <f>BI5-BH5</f>
        <v>11</v>
      </c>
      <c r="DK5" s="407">
        <f>DJ5/BH5</f>
        <v>0.44</v>
      </c>
      <c r="DL5" s="671">
        <f>BL5-BI5</f>
        <v>88</v>
      </c>
      <c r="DM5" s="672">
        <f>DL5/BI5</f>
        <v>2.4444444444444446</v>
      </c>
      <c r="DN5" s="671">
        <f>BM5-BL5</f>
        <v>-92</v>
      </c>
      <c r="DO5" s="672">
        <f>DN5/BL5</f>
        <v>-0.74193548387096775</v>
      </c>
      <c r="DP5" s="671">
        <f>BN5-BM5</f>
        <v>42</v>
      </c>
      <c r="DQ5" s="672">
        <f>DP5/BM5</f>
        <v>1.3125</v>
      </c>
      <c r="DR5" s="671">
        <f>BO5-BN5</f>
        <v>-49</v>
      </c>
      <c r="DS5" s="672">
        <f>DR5/BN5</f>
        <v>-0.66216216216216217</v>
      </c>
      <c r="DT5" s="671">
        <f>BP5-BO5</f>
        <v>-8</v>
      </c>
      <c r="DU5" s="672">
        <f>DT5/BO5</f>
        <v>-0.32</v>
      </c>
      <c r="DV5" s="671">
        <f>BQ5-BP5</f>
        <v>29</v>
      </c>
      <c r="DW5" s="672">
        <f>DV5/BP5</f>
        <v>1.7058823529411764</v>
      </c>
      <c r="DX5" s="671">
        <f>BR5-BQ5</f>
        <v>-27</v>
      </c>
      <c r="DY5" s="672">
        <f>DX5/BQ5</f>
        <v>-0.58695652173913049</v>
      </c>
      <c r="DZ5" s="671">
        <f>BS5-BR5</f>
        <v>47</v>
      </c>
      <c r="EA5" s="672">
        <f>DZ5/BR5</f>
        <v>2.4736842105263159</v>
      </c>
      <c r="EB5" s="671">
        <f>BT5-BS5</f>
        <v>90</v>
      </c>
      <c r="EC5" s="672">
        <f>EB5/BS5</f>
        <v>1.3636363636363635</v>
      </c>
      <c r="ED5" s="671">
        <f>BU5-BT5</f>
        <v>-139</v>
      </c>
      <c r="EE5" s="672">
        <f>ED5/BT5</f>
        <v>-0.89102564102564108</v>
      </c>
      <c r="EF5" s="671">
        <f>BV5-BU5</f>
        <v>-11</v>
      </c>
      <c r="EG5" s="672">
        <f>EF5/BU5</f>
        <v>-0.6470588235294118</v>
      </c>
      <c r="EH5" s="671">
        <f>BW5-BV5</f>
        <v>21</v>
      </c>
      <c r="EI5" s="672">
        <f>EH5/BV5</f>
        <v>3.5</v>
      </c>
      <c r="EJ5" s="671">
        <f>BZ5-BW5</f>
        <v>-3</v>
      </c>
      <c r="EK5" s="672">
        <f>EJ5/BW5</f>
        <v>-0.1111111111111111</v>
      </c>
      <c r="EL5" s="671">
        <f>CA5-BZ5</f>
        <v>7</v>
      </c>
      <c r="EM5" s="672">
        <f>EL5/BZ5</f>
        <v>0.29166666666666669</v>
      </c>
      <c r="EN5" s="671">
        <f>CB5-CA5</f>
        <v>-3</v>
      </c>
      <c r="EO5" s="672">
        <f>EN5/CA5</f>
        <v>-9.6774193548387094E-2</v>
      </c>
      <c r="EP5" s="671">
        <f>CC5-CB5</f>
        <v>-3</v>
      </c>
      <c r="EQ5" s="672">
        <f>EP5/CB5</f>
        <v>-0.10714285714285714</v>
      </c>
      <c r="ER5" s="671">
        <f>CD5-CC5</f>
        <v>140</v>
      </c>
      <c r="ES5" s="672">
        <f>ER5/CC5</f>
        <v>5.6</v>
      </c>
      <c r="ET5" s="671">
        <f>CE5-CD5</f>
        <v>-111</v>
      </c>
      <c r="EU5" s="672">
        <f>ET5/CD5</f>
        <v>-0.67272727272727273</v>
      </c>
      <c r="EV5" s="671">
        <f>CF5-CE5</f>
        <v>-43</v>
      </c>
      <c r="EW5" s="672">
        <f>EV5/CE5</f>
        <v>-0.79629629629629628</v>
      </c>
      <c r="EX5" s="671">
        <f>CG5-CF5</f>
        <v>25</v>
      </c>
      <c r="EY5" s="672">
        <f>EX5/CF5</f>
        <v>2.2727272727272729</v>
      </c>
      <c r="EZ5" s="671">
        <f>CH5-CG5</f>
        <v>12</v>
      </c>
      <c r="FA5" s="672">
        <f>EZ5/CG5</f>
        <v>0.33333333333333331</v>
      </c>
      <c r="FB5" s="671">
        <f>CI5-CH5</f>
        <v>-4</v>
      </c>
      <c r="FC5" s="672">
        <f>FB5/CH5</f>
        <v>-8.3333333333333329E-2</v>
      </c>
      <c r="FD5" s="671">
        <f>CJ5-CI5</f>
        <v>-20</v>
      </c>
      <c r="FE5" s="672">
        <f>FD5/CI5</f>
        <v>-0.45454545454545453</v>
      </c>
      <c r="FF5" s="671">
        <f>CK5-CJ5</f>
        <v>-24</v>
      </c>
      <c r="FG5" s="672">
        <f>FF5/CJ5</f>
        <v>-1</v>
      </c>
      <c r="FH5" s="49">
        <f t="shared" si="25"/>
        <v>6</v>
      </c>
      <c r="FI5" s="62">
        <f t="shared" si="26"/>
        <v>24</v>
      </c>
      <c r="FJ5" s="671">
        <f>FI5-FH5</f>
        <v>18</v>
      </c>
      <c r="FK5" s="109">
        <f t="shared" ref="FK5:FK7" si="48">IF(ISERROR(FJ5/FH5),0,FJ5/FH5)</f>
        <v>3</v>
      </c>
      <c r="FL5" s="702"/>
      <c r="FM5" s="702"/>
      <c r="FN5" s="702"/>
      <c r="FP5" s="258"/>
      <c r="FQ5" s="258"/>
      <c r="FR5" s="258"/>
      <c r="FS5" s="258"/>
      <c r="FT5" s="258"/>
      <c r="FU5" s="258"/>
      <c r="FV5" s="258"/>
      <c r="FW5" s="258"/>
      <c r="FX5" s="258"/>
      <c r="FY5" s="258"/>
      <c r="FZ5" s="258"/>
      <c r="GA5" s="259"/>
      <c r="GB5" s="259"/>
      <c r="GC5" s="259"/>
      <c r="GD5" s="259"/>
      <c r="GE5" s="259"/>
      <c r="GF5" s="259"/>
      <c r="GG5" s="259"/>
      <c r="GH5" s="259"/>
      <c r="GI5" s="259"/>
      <c r="GJ5" s="259"/>
      <c r="GK5" s="259"/>
      <c r="GL5" s="259"/>
      <c r="GM5" s="259"/>
      <c r="GN5" s="259"/>
      <c r="GO5" s="259"/>
      <c r="GP5" s="259"/>
      <c r="GQ5" s="259"/>
      <c r="GR5" s="259"/>
      <c r="GS5" s="259"/>
      <c r="GT5" s="259"/>
      <c r="GU5" s="259"/>
      <c r="GV5" s="259"/>
      <c r="GW5" s="259"/>
      <c r="GX5" s="259"/>
      <c r="GY5" s="820"/>
      <c r="GZ5" s="820"/>
      <c r="HA5" s="820"/>
      <c r="HB5" s="820"/>
      <c r="HC5" s="820"/>
      <c r="HD5" s="820"/>
      <c r="HE5" s="820"/>
      <c r="HF5" s="820"/>
      <c r="HG5" s="820"/>
      <c r="HH5" s="820"/>
      <c r="HI5" s="820"/>
      <c r="HJ5" s="820"/>
      <c r="HK5" s="947"/>
      <c r="HL5" s="947"/>
      <c r="HM5" s="947"/>
      <c r="HN5" s="947"/>
      <c r="HO5" s="947"/>
      <c r="HP5" s="947"/>
      <c r="HQ5" s="947"/>
      <c r="HR5" s="947"/>
      <c r="HS5" s="947"/>
      <c r="HT5" s="947"/>
      <c r="HU5" s="947"/>
      <c r="HV5" s="947"/>
    </row>
    <row r="6" spans="1:230" s="11" customFormat="1" ht="13.5" hidden="1" customHeight="1" outlineLevel="1" x14ac:dyDescent="0.25">
      <c r="A6" s="797"/>
      <c r="B6" s="51" t="s">
        <v>12</v>
      </c>
      <c r="C6" s="51"/>
      <c r="D6" s="51"/>
      <c r="E6" s="52"/>
      <c r="F6" s="52"/>
      <c r="G6" s="52"/>
      <c r="H6" s="16">
        <v>2586</v>
      </c>
      <c r="I6" s="63">
        <v>2560</v>
      </c>
      <c r="J6" s="16">
        <v>2486</v>
      </c>
      <c r="K6" s="63">
        <v>3271</v>
      </c>
      <c r="L6" s="16">
        <v>2589</v>
      </c>
      <c r="M6" s="63">
        <v>2834</v>
      </c>
      <c r="N6" s="16">
        <v>3256</v>
      </c>
      <c r="O6" s="63">
        <v>2576</v>
      </c>
      <c r="P6" s="16">
        <v>2306</v>
      </c>
      <c r="Q6" s="63">
        <v>2089</v>
      </c>
      <c r="R6" s="16">
        <v>3180</v>
      </c>
      <c r="S6" s="63">
        <v>2879</v>
      </c>
      <c r="T6" s="183">
        <v>32612</v>
      </c>
      <c r="U6" s="186">
        <v>2717.6666666666665</v>
      </c>
      <c r="V6" s="16">
        <v>2491</v>
      </c>
      <c r="W6" s="63">
        <v>2424</v>
      </c>
      <c r="X6" s="16">
        <v>2274</v>
      </c>
      <c r="Y6" s="63">
        <v>3053</v>
      </c>
      <c r="Z6" s="16">
        <v>2300</v>
      </c>
      <c r="AA6" s="63">
        <v>2404</v>
      </c>
      <c r="AB6" s="16">
        <v>2989</v>
      </c>
      <c r="AC6" s="63">
        <v>2515</v>
      </c>
      <c r="AD6" s="16">
        <v>2896</v>
      </c>
      <c r="AE6" s="63">
        <v>2405</v>
      </c>
      <c r="AF6" s="16">
        <v>2232</v>
      </c>
      <c r="AG6" s="63">
        <v>2210</v>
      </c>
      <c r="AH6" s="183">
        <v>30193</v>
      </c>
      <c r="AI6" s="186">
        <v>2516.0833333333335</v>
      </c>
      <c r="AJ6" s="16">
        <v>2456</v>
      </c>
      <c r="AK6" s="63">
        <v>2554</v>
      </c>
      <c r="AL6" s="16">
        <v>2088</v>
      </c>
      <c r="AM6" s="63">
        <v>4295</v>
      </c>
      <c r="AN6" s="16">
        <v>2484</v>
      </c>
      <c r="AO6" s="63">
        <v>2293</v>
      </c>
      <c r="AP6" s="16">
        <v>3108</v>
      </c>
      <c r="AQ6" s="63">
        <v>2727</v>
      </c>
      <c r="AR6" s="16">
        <v>2289</v>
      </c>
      <c r="AS6" s="63">
        <v>2579</v>
      </c>
      <c r="AT6" s="16">
        <v>4421</v>
      </c>
      <c r="AU6" s="63">
        <v>3054</v>
      </c>
      <c r="AV6" s="183">
        <f>SUM(AJ6:AU6)</f>
        <v>34348</v>
      </c>
      <c r="AW6" s="186">
        <f>SUM(AJ6:AU6)/$AV$4</f>
        <v>2862.3333333333335</v>
      </c>
      <c r="AX6" s="16">
        <v>2882</v>
      </c>
      <c r="AY6" s="63">
        <v>2918</v>
      </c>
      <c r="AZ6" s="16">
        <v>3891</v>
      </c>
      <c r="BA6" s="63">
        <v>7280</v>
      </c>
      <c r="BB6" s="16">
        <v>3638</v>
      </c>
      <c r="BC6" s="63">
        <v>3533</v>
      </c>
      <c r="BD6" s="16">
        <v>4504</v>
      </c>
      <c r="BE6" s="63">
        <v>2728</v>
      </c>
      <c r="BF6" s="16">
        <v>2816</v>
      </c>
      <c r="BG6" s="63">
        <v>2696</v>
      </c>
      <c r="BH6" s="16">
        <v>2647</v>
      </c>
      <c r="BI6" s="63">
        <v>2824</v>
      </c>
      <c r="BJ6" s="183">
        <f>SUM(AX6:BI6)</f>
        <v>42357</v>
      </c>
      <c r="BK6" s="186">
        <f>SUM(AX6:BI6)/$BJ$4</f>
        <v>3529.75</v>
      </c>
      <c r="BL6" s="16">
        <v>2991</v>
      </c>
      <c r="BM6" s="63">
        <v>2863</v>
      </c>
      <c r="BN6" s="16">
        <v>3184</v>
      </c>
      <c r="BO6" s="63">
        <v>8394</v>
      </c>
      <c r="BP6" s="16">
        <v>2713</v>
      </c>
      <c r="BQ6" s="63">
        <v>2893</v>
      </c>
      <c r="BR6" s="16">
        <v>3614</v>
      </c>
      <c r="BS6" s="63">
        <v>2836</v>
      </c>
      <c r="BT6" s="16">
        <v>3083</v>
      </c>
      <c r="BU6" s="63">
        <v>3807</v>
      </c>
      <c r="BV6" s="16">
        <v>2575</v>
      </c>
      <c r="BW6" s="63">
        <v>2488</v>
      </c>
      <c r="BX6" s="183">
        <f>SUM(BL6:BW6)</f>
        <v>41441</v>
      </c>
      <c r="BY6" s="186">
        <f>SUM(BL6:BW6)/$BX$4</f>
        <v>3453.4166666666665</v>
      </c>
      <c r="BZ6" s="16">
        <v>2408</v>
      </c>
      <c r="CA6" s="63">
        <v>2346</v>
      </c>
      <c r="CB6" s="16">
        <v>2667</v>
      </c>
      <c r="CC6" s="63">
        <v>2966</v>
      </c>
      <c r="CD6" s="16">
        <v>2785</v>
      </c>
      <c r="CE6" s="63">
        <v>2495</v>
      </c>
      <c r="CF6" s="16">
        <v>2669</v>
      </c>
      <c r="CG6" s="63">
        <v>2470</v>
      </c>
      <c r="CH6" s="16">
        <v>2442</v>
      </c>
      <c r="CI6" s="63">
        <v>2166</v>
      </c>
      <c r="CJ6" s="16">
        <v>2192</v>
      </c>
      <c r="CK6" s="63"/>
      <c r="CL6" s="183">
        <f>SUM(BZ6:CK6)</f>
        <v>27606</v>
      </c>
      <c r="CM6" s="186">
        <f>SUM(BZ6:CK6)/$CL$4</f>
        <v>2509.6363636363635</v>
      </c>
      <c r="CN6" s="125">
        <f>AX6-AU6</f>
        <v>-172</v>
      </c>
      <c r="CO6" s="407">
        <f>CN6/AU6</f>
        <v>-5.6319580877537655E-2</v>
      </c>
      <c r="CP6" s="125">
        <f>AY6-AX6</f>
        <v>36</v>
      </c>
      <c r="CQ6" s="407">
        <f>CP6/AX6</f>
        <v>1.2491325468424705E-2</v>
      </c>
      <c r="CR6" s="125">
        <f>AZ6-AY6</f>
        <v>973</v>
      </c>
      <c r="CS6" s="407">
        <f>CR6/AY6</f>
        <v>0.33344756682659354</v>
      </c>
      <c r="CT6" s="125">
        <f>BA6-AZ6</f>
        <v>3389</v>
      </c>
      <c r="CU6" s="407">
        <f>CT6/AZ6</f>
        <v>0.87098432279619631</v>
      </c>
      <c r="CV6" s="125">
        <f>BB6-BA6</f>
        <v>-3642</v>
      </c>
      <c r="CW6" s="407">
        <f>CV6/BA6</f>
        <v>-0.50027472527472527</v>
      </c>
      <c r="CX6" s="125">
        <f>BC6-BB6</f>
        <v>-105</v>
      </c>
      <c r="CY6" s="407">
        <f>CX6/BB6</f>
        <v>-2.8862012094557448E-2</v>
      </c>
      <c r="CZ6" s="125">
        <f>BD6-BC6</f>
        <v>971</v>
      </c>
      <c r="DA6" s="407">
        <f>CZ6/BC6</f>
        <v>0.27483724879705634</v>
      </c>
      <c r="DB6" s="125">
        <f>BE6-BD6</f>
        <v>-1776</v>
      </c>
      <c r="DC6" s="407">
        <f>DB6/BD6</f>
        <v>-0.39431616341030196</v>
      </c>
      <c r="DD6" s="125">
        <f>BF6-BE6</f>
        <v>88</v>
      </c>
      <c r="DE6" s="407">
        <f>DD6/BE6</f>
        <v>3.2258064516129031E-2</v>
      </c>
      <c r="DF6" s="125">
        <f>BG6-BF6</f>
        <v>-120</v>
      </c>
      <c r="DG6" s="407">
        <f>DF6/BF6</f>
        <v>-4.261363636363636E-2</v>
      </c>
      <c r="DH6" s="125">
        <f>BH6-BG6</f>
        <v>-49</v>
      </c>
      <c r="DI6" s="407">
        <f>DH6/BG6</f>
        <v>-1.8175074183976261E-2</v>
      </c>
      <c r="DJ6" s="125">
        <f>BI6-BH6</f>
        <v>177</v>
      </c>
      <c r="DK6" s="407">
        <f>DJ6/BH6</f>
        <v>6.6868152625613908E-2</v>
      </c>
      <c r="DL6" s="671">
        <f>BL6-BI6</f>
        <v>167</v>
      </c>
      <c r="DM6" s="672">
        <f>DL6/BI6</f>
        <v>5.9135977337110485E-2</v>
      </c>
      <c r="DN6" s="671">
        <f>BM6-BL6</f>
        <v>-128</v>
      </c>
      <c r="DO6" s="672">
        <f>DN6/BL6</f>
        <v>-4.2795051822133064E-2</v>
      </c>
      <c r="DP6" s="671">
        <f>BN6-BM6</f>
        <v>321</v>
      </c>
      <c r="DQ6" s="672">
        <f>DP6/BM6</f>
        <v>0.11212015368494586</v>
      </c>
      <c r="DR6" s="671">
        <f>BO6-BN6</f>
        <v>5210</v>
      </c>
      <c r="DS6" s="672">
        <f>DR6/BN6</f>
        <v>1.6363065326633166</v>
      </c>
      <c r="DT6" s="671">
        <f>BP6-BO6</f>
        <v>-5681</v>
      </c>
      <c r="DU6" s="672">
        <f>DT6/BO6</f>
        <v>-0.6767929473433405</v>
      </c>
      <c r="DV6" s="671">
        <f>BQ6-BP6</f>
        <v>180</v>
      </c>
      <c r="DW6" s="672">
        <f>DV6/BP6</f>
        <v>6.6347217102838182E-2</v>
      </c>
      <c r="DX6" s="671">
        <f>BR6-BQ6</f>
        <v>721</v>
      </c>
      <c r="DY6" s="672">
        <f>DX6/BQ6</f>
        <v>0.24922226062910474</v>
      </c>
      <c r="DZ6" s="671">
        <f>BS6-BR6</f>
        <v>-778</v>
      </c>
      <c r="EA6" s="672">
        <f>DZ6/BR6</f>
        <v>-0.21527393469839512</v>
      </c>
      <c r="EB6" s="671">
        <f>BT6-BS6</f>
        <v>247</v>
      </c>
      <c r="EC6" s="672">
        <f>EB6/BS6</f>
        <v>8.7094499294781386E-2</v>
      </c>
      <c r="ED6" s="671">
        <f>BU6-BT6</f>
        <v>724</v>
      </c>
      <c r="EE6" s="672">
        <f>ED6/BT6</f>
        <v>0.23483619850794679</v>
      </c>
      <c r="EF6" s="671">
        <f>BV6-BU6</f>
        <v>-1232</v>
      </c>
      <c r="EG6" s="672">
        <f>EF6/BU6</f>
        <v>-0.32361439453638036</v>
      </c>
      <c r="EH6" s="671">
        <f>BW6-BV6</f>
        <v>-87</v>
      </c>
      <c r="EI6" s="672">
        <f>EH6/BV6</f>
        <v>-3.3786407766990288E-2</v>
      </c>
      <c r="EJ6" s="671">
        <f>BZ6-BW6</f>
        <v>-80</v>
      </c>
      <c r="EK6" s="672">
        <f>EJ6/BW6</f>
        <v>-3.215434083601286E-2</v>
      </c>
      <c r="EL6" s="671">
        <f>CA6-BZ6</f>
        <v>-62</v>
      </c>
      <c r="EM6" s="672">
        <f>EL6/BZ6</f>
        <v>-2.5747508305647839E-2</v>
      </c>
      <c r="EN6" s="671">
        <f>CB6-CA6</f>
        <v>321</v>
      </c>
      <c r="EO6" s="672">
        <f>EN6/CA6</f>
        <v>0.13682864450127877</v>
      </c>
      <c r="EP6" s="671">
        <f>CC6-CB6</f>
        <v>299</v>
      </c>
      <c r="EQ6" s="672">
        <f>EP6/CB6</f>
        <v>0.11211098612673416</v>
      </c>
      <c r="ER6" s="671">
        <f>CD6-CC6</f>
        <v>-181</v>
      </c>
      <c r="ES6" s="672">
        <f>ER6/CC6</f>
        <v>-6.1024949426837491E-2</v>
      </c>
      <c r="ET6" s="671">
        <f>CE6-CD6</f>
        <v>-290</v>
      </c>
      <c r="EU6" s="672">
        <f>ET6/CD6</f>
        <v>-0.10412926391382406</v>
      </c>
      <c r="EV6" s="671">
        <f>CF6-CE6</f>
        <v>174</v>
      </c>
      <c r="EW6" s="672">
        <f>EV6/CE6</f>
        <v>6.9739478957915838E-2</v>
      </c>
      <c r="EX6" s="671">
        <f>CG6-CF6</f>
        <v>-199</v>
      </c>
      <c r="EY6" s="672">
        <f>EX6/CF6</f>
        <v>-7.4559760209816417E-2</v>
      </c>
      <c r="EZ6" s="671">
        <f>CH6-CG6</f>
        <v>-28</v>
      </c>
      <c r="FA6" s="672">
        <f>EZ6/CG6</f>
        <v>-1.1336032388663968E-2</v>
      </c>
      <c r="FB6" s="671">
        <f>CI6-CH6</f>
        <v>-276</v>
      </c>
      <c r="FC6" s="672">
        <f>FB6/CH6</f>
        <v>-0.11302211302211303</v>
      </c>
      <c r="FD6" s="671">
        <f>CJ6-CI6</f>
        <v>26</v>
      </c>
      <c r="FE6" s="672">
        <f>FD6/CI6</f>
        <v>1.2003693444136657E-2</v>
      </c>
      <c r="FF6" s="671">
        <f>CK6-CJ6</f>
        <v>-2192</v>
      </c>
      <c r="FG6" s="672">
        <f>FF6/CJ6</f>
        <v>-1</v>
      </c>
      <c r="FH6" s="16">
        <f t="shared" si="25"/>
        <v>2575</v>
      </c>
      <c r="FI6" s="63">
        <f t="shared" si="26"/>
        <v>2192</v>
      </c>
      <c r="FJ6" s="671">
        <f>FI6-FH6</f>
        <v>-383</v>
      </c>
      <c r="FK6" s="109">
        <f t="shared" si="48"/>
        <v>-0.1487378640776699</v>
      </c>
      <c r="FL6" s="702"/>
      <c r="FM6" s="702"/>
      <c r="FN6" s="702"/>
      <c r="FP6" s="260"/>
      <c r="FQ6" s="260"/>
      <c r="FR6" s="260"/>
      <c r="FS6" s="260"/>
      <c r="FT6" s="260"/>
      <c r="FU6" s="260"/>
      <c r="FV6" s="260"/>
      <c r="FW6" s="260"/>
      <c r="FX6" s="260"/>
      <c r="FY6" s="260"/>
      <c r="FZ6" s="260"/>
      <c r="GA6" s="261"/>
      <c r="GB6" s="261"/>
      <c r="GC6" s="261"/>
      <c r="GD6" s="261"/>
      <c r="GE6" s="261"/>
      <c r="GF6" s="261"/>
      <c r="GG6" s="261"/>
      <c r="GH6" s="261"/>
      <c r="GI6" s="261"/>
      <c r="GJ6" s="261"/>
      <c r="GK6" s="261"/>
      <c r="GL6" s="261"/>
      <c r="GM6" s="261"/>
      <c r="GN6" s="261"/>
      <c r="GO6" s="261"/>
      <c r="GP6" s="261"/>
      <c r="GQ6" s="261"/>
      <c r="GR6" s="261"/>
      <c r="GS6" s="261"/>
      <c r="GT6" s="261"/>
      <c r="GU6" s="261"/>
      <c r="GV6" s="261"/>
      <c r="GW6" s="261"/>
      <c r="GX6" s="261"/>
      <c r="GY6" s="821"/>
      <c r="GZ6" s="821"/>
      <c r="HA6" s="821"/>
      <c r="HB6" s="821"/>
      <c r="HC6" s="821"/>
      <c r="HD6" s="821"/>
      <c r="HE6" s="821"/>
      <c r="HF6" s="821"/>
      <c r="HG6" s="821"/>
      <c r="HH6" s="821"/>
      <c r="HI6" s="821"/>
      <c r="HJ6" s="821"/>
      <c r="HK6" s="948"/>
      <c r="HL6" s="948"/>
      <c r="HM6" s="948"/>
      <c r="HN6" s="948"/>
      <c r="HO6" s="948"/>
      <c r="HP6" s="948"/>
      <c r="HQ6" s="948"/>
      <c r="HR6" s="948"/>
      <c r="HS6" s="948"/>
      <c r="HT6" s="948"/>
      <c r="HU6" s="948"/>
      <c r="HV6" s="948"/>
    </row>
    <row r="7" spans="1:230" s="11" customFormat="1" ht="13.5" hidden="1" customHeight="1" outlineLevel="1" x14ac:dyDescent="0.25">
      <c r="A7" s="797"/>
      <c r="B7" s="51" t="s">
        <v>13</v>
      </c>
      <c r="C7" s="51"/>
      <c r="D7" s="51"/>
      <c r="E7" s="52"/>
      <c r="F7" s="52"/>
      <c r="G7" s="52"/>
      <c r="H7" s="16">
        <v>65</v>
      </c>
      <c r="I7" s="63">
        <v>56</v>
      </c>
      <c r="J7" s="16">
        <v>35</v>
      </c>
      <c r="K7" s="63">
        <v>105</v>
      </c>
      <c r="L7" s="16">
        <v>71</v>
      </c>
      <c r="M7" s="63">
        <v>51</v>
      </c>
      <c r="N7" s="16">
        <v>104</v>
      </c>
      <c r="O7" s="63">
        <v>95</v>
      </c>
      <c r="P7" s="16">
        <v>49</v>
      </c>
      <c r="Q7" s="63">
        <v>45</v>
      </c>
      <c r="R7" s="16">
        <v>62</v>
      </c>
      <c r="S7" s="63">
        <v>96</v>
      </c>
      <c r="T7" s="183">
        <v>834</v>
      </c>
      <c r="U7" s="234">
        <v>69.5</v>
      </c>
      <c r="V7" s="16">
        <v>83</v>
      </c>
      <c r="W7" s="63">
        <v>44</v>
      </c>
      <c r="X7" s="16">
        <v>45</v>
      </c>
      <c r="Y7" s="63">
        <v>84</v>
      </c>
      <c r="Z7" s="16">
        <v>46</v>
      </c>
      <c r="AA7" s="63">
        <v>46</v>
      </c>
      <c r="AB7" s="16">
        <v>47</v>
      </c>
      <c r="AC7" s="63">
        <v>40</v>
      </c>
      <c r="AD7" s="16">
        <v>58</v>
      </c>
      <c r="AE7" s="63">
        <v>46</v>
      </c>
      <c r="AF7" s="16">
        <v>29</v>
      </c>
      <c r="AG7" s="63">
        <v>33</v>
      </c>
      <c r="AH7" s="183">
        <v>601</v>
      </c>
      <c r="AI7" s="234">
        <v>50.083333333333336</v>
      </c>
      <c r="AJ7" s="16">
        <v>66</v>
      </c>
      <c r="AK7" s="63">
        <v>79</v>
      </c>
      <c r="AL7" s="16">
        <v>77</v>
      </c>
      <c r="AM7" s="63">
        <v>593</v>
      </c>
      <c r="AN7" s="16">
        <v>88</v>
      </c>
      <c r="AO7" s="63">
        <v>53</v>
      </c>
      <c r="AP7" s="16">
        <v>65</v>
      </c>
      <c r="AQ7" s="63">
        <v>53</v>
      </c>
      <c r="AR7" s="16">
        <v>41</v>
      </c>
      <c r="AS7" s="63">
        <v>69</v>
      </c>
      <c r="AT7" s="16">
        <v>158</v>
      </c>
      <c r="AU7" s="63">
        <v>90</v>
      </c>
      <c r="AV7" s="183">
        <f>SUM(AJ7:AU7)</f>
        <v>1432</v>
      </c>
      <c r="AW7" s="234">
        <f>SUM(AJ7:AU7)/$AV$4</f>
        <v>119.33333333333333</v>
      </c>
      <c r="AX7" s="16">
        <v>73</v>
      </c>
      <c r="AY7" s="63">
        <v>86</v>
      </c>
      <c r="AZ7" s="16">
        <v>187</v>
      </c>
      <c r="BA7" s="63">
        <v>4485</v>
      </c>
      <c r="BB7" s="16">
        <v>898</v>
      </c>
      <c r="BC7" s="63">
        <v>394</v>
      </c>
      <c r="BD7" s="16">
        <v>226</v>
      </c>
      <c r="BE7" s="63">
        <v>145</v>
      </c>
      <c r="BF7" s="16">
        <v>77</v>
      </c>
      <c r="BG7" s="63">
        <v>42</v>
      </c>
      <c r="BH7" s="16">
        <v>49</v>
      </c>
      <c r="BI7" s="63">
        <v>77</v>
      </c>
      <c r="BJ7" s="183">
        <f>SUM(AX7:BI7)</f>
        <v>6739</v>
      </c>
      <c r="BK7" s="234">
        <f>SUM(AX7:BI7)/$BJ$4</f>
        <v>561.58333333333337</v>
      </c>
      <c r="BL7" s="16">
        <v>70</v>
      </c>
      <c r="BM7" s="63">
        <v>72</v>
      </c>
      <c r="BN7" s="16">
        <v>88</v>
      </c>
      <c r="BO7" s="63">
        <v>4469</v>
      </c>
      <c r="BP7" s="16">
        <v>65</v>
      </c>
      <c r="BQ7" s="63">
        <v>66</v>
      </c>
      <c r="BR7" s="16">
        <v>261</v>
      </c>
      <c r="BS7" s="63">
        <v>270</v>
      </c>
      <c r="BT7" s="16">
        <v>131</v>
      </c>
      <c r="BU7" s="63">
        <v>164</v>
      </c>
      <c r="BV7" s="16">
        <v>76</v>
      </c>
      <c r="BW7" s="63">
        <v>102</v>
      </c>
      <c r="BX7" s="183">
        <f>SUM(BL7:BW7)</f>
        <v>5834</v>
      </c>
      <c r="BY7" s="234">
        <f>SUM(BL7:BW7)/$BX$4</f>
        <v>486.16666666666669</v>
      </c>
      <c r="BZ7" s="16">
        <v>146</v>
      </c>
      <c r="CA7" s="63">
        <v>125</v>
      </c>
      <c r="CB7" s="16">
        <v>186</v>
      </c>
      <c r="CC7" s="63">
        <v>447</v>
      </c>
      <c r="CD7" s="16">
        <v>326</v>
      </c>
      <c r="CE7" s="63">
        <v>171</v>
      </c>
      <c r="CF7" s="16">
        <v>118</v>
      </c>
      <c r="CG7" s="63">
        <v>96</v>
      </c>
      <c r="CH7" s="16">
        <v>116</v>
      </c>
      <c r="CI7" s="63">
        <v>82</v>
      </c>
      <c r="CJ7" s="16">
        <v>57</v>
      </c>
      <c r="CK7" s="63"/>
      <c r="CL7" s="183">
        <f>SUM(BZ7:CK7)</f>
        <v>1870</v>
      </c>
      <c r="CM7" s="234">
        <f>SUM(BZ7:CK7)/$CL$4</f>
        <v>170</v>
      </c>
      <c r="CN7" s="125">
        <f>AX7-AU7</f>
        <v>-17</v>
      </c>
      <c r="CO7" s="407">
        <f>CN7/AU7</f>
        <v>-0.18888888888888888</v>
      </c>
      <c r="CP7" s="125">
        <f>AY7-AX7</f>
        <v>13</v>
      </c>
      <c r="CQ7" s="407">
        <f>CP7/AX7</f>
        <v>0.17808219178082191</v>
      </c>
      <c r="CR7" s="125">
        <f>AZ7-AY7</f>
        <v>101</v>
      </c>
      <c r="CS7" s="407">
        <f>CR7/AY7</f>
        <v>1.1744186046511629</v>
      </c>
      <c r="CT7" s="125">
        <f>BA7-AZ7</f>
        <v>4298</v>
      </c>
      <c r="CU7" s="407">
        <f>CT7/AZ7</f>
        <v>22.983957219251337</v>
      </c>
      <c r="CV7" s="125">
        <f>BB7-BA7</f>
        <v>-3587</v>
      </c>
      <c r="CW7" s="407">
        <f>CV7/BA7</f>
        <v>-0.79977703455964322</v>
      </c>
      <c r="CX7" s="125">
        <f>BC7-BB7</f>
        <v>-504</v>
      </c>
      <c r="CY7" s="407">
        <f>CX7/BB7</f>
        <v>-0.56124721603563477</v>
      </c>
      <c r="CZ7" s="125">
        <f>BD7-BC7</f>
        <v>-168</v>
      </c>
      <c r="DA7" s="407">
        <f>CZ7/BC7</f>
        <v>-0.42639593908629442</v>
      </c>
      <c r="DB7" s="125">
        <f>BE7-BD7</f>
        <v>-81</v>
      </c>
      <c r="DC7" s="407">
        <f>DB7/BD7</f>
        <v>-0.3584070796460177</v>
      </c>
      <c r="DD7" s="125">
        <f>BF7-BE7</f>
        <v>-68</v>
      </c>
      <c r="DE7" s="407">
        <f>DD7/BE7</f>
        <v>-0.4689655172413793</v>
      </c>
      <c r="DF7" s="125">
        <f>BG7-BF7</f>
        <v>-35</v>
      </c>
      <c r="DG7" s="407">
        <f>DF7/BF7</f>
        <v>-0.45454545454545453</v>
      </c>
      <c r="DH7" s="125">
        <f>BH7-BG7</f>
        <v>7</v>
      </c>
      <c r="DI7" s="407">
        <f>DH7/BG7</f>
        <v>0.16666666666666666</v>
      </c>
      <c r="DJ7" s="125">
        <f>BI7-BH7</f>
        <v>28</v>
      </c>
      <c r="DK7" s="407">
        <f>DJ7/BH7</f>
        <v>0.5714285714285714</v>
      </c>
      <c r="DL7" s="671">
        <f>BL7-BI7</f>
        <v>-7</v>
      </c>
      <c r="DM7" s="672">
        <f>DL7/BI7</f>
        <v>-9.0909090909090912E-2</v>
      </c>
      <c r="DN7" s="671">
        <f>BM7-BL7</f>
        <v>2</v>
      </c>
      <c r="DO7" s="672">
        <f>DN7/BL7</f>
        <v>2.8571428571428571E-2</v>
      </c>
      <c r="DP7" s="671">
        <f>BN7-BM7</f>
        <v>16</v>
      </c>
      <c r="DQ7" s="672">
        <f>DP7/BM7</f>
        <v>0.22222222222222221</v>
      </c>
      <c r="DR7" s="671">
        <f>BO7-BN7</f>
        <v>4381</v>
      </c>
      <c r="DS7" s="672">
        <f>DR7/BN7</f>
        <v>49.784090909090907</v>
      </c>
      <c r="DT7" s="671">
        <f>BP7-BO7</f>
        <v>-4404</v>
      </c>
      <c r="DU7" s="672">
        <f>DT7/BO7</f>
        <v>-0.98545535914074733</v>
      </c>
      <c r="DV7" s="671">
        <f>BQ7-BP7</f>
        <v>1</v>
      </c>
      <c r="DW7" s="672">
        <f>DV7/BP7</f>
        <v>1.5384615384615385E-2</v>
      </c>
      <c r="DX7" s="671">
        <f>BR7-BQ7</f>
        <v>195</v>
      </c>
      <c r="DY7" s="672">
        <f>DX7/BQ7</f>
        <v>2.9545454545454546</v>
      </c>
      <c r="DZ7" s="671">
        <f>BS7-BR7</f>
        <v>9</v>
      </c>
      <c r="EA7" s="672">
        <f>DZ7/BR7</f>
        <v>3.4482758620689655E-2</v>
      </c>
      <c r="EB7" s="671">
        <f>BT7-BS7</f>
        <v>-139</v>
      </c>
      <c r="EC7" s="672">
        <f>EB7/BS7</f>
        <v>-0.51481481481481484</v>
      </c>
      <c r="ED7" s="671">
        <f>BU7-BT7</f>
        <v>33</v>
      </c>
      <c r="EE7" s="672">
        <f>ED7/BT7</f>
        <v>0.25190839694656486</v>
      </c>
      <c r="EF7" s="671">
        <f>BV7-BU7</f>
        <v>-88</v>
      </c>
      <c r="EG7" s="672">
        <f>EF7/BU7</f>
        <v>-0.53658536585365857</v>
      </c>
      <c r="EH7" s="671">
        <f>BW7-BV7</f>
        <v>26</v>
      </c>
      <c r="EI7" s="672">
        <f>EH7/BV7</f>
        <v>0.34210526315789475</v>
      </c>
      <c r="EJ7" s="671">
        <f>BZ7-BW7</f>
        <v>44</v>
      </c>
      <c r="EK7" s="672">
        <f>EJ7/BW7</f>
        <v>0.43137254901960786</v>
      </c>
      <c r="EL7" s="671">
        <f>CA7-BZ7</f>
        <v>-21</v>
      </c>
      <c r="EM7" s="672">
        <f>EL7/BZ7</f>
        <v>-0.14383561643835616</v>
      </c>
      <c r="EN7" s="671">
        <f>CB7-CA7</f>
        <v>61</v>
      </c>
      <c r="EO7" s="672">
        <f>EN7/CA7</f>
        <v>0.48799999999999999</v>
      </c>
      <c r="EP7" s="671">
        <f>CC7-CB7</f>
        <v>261</v>
      </c>
      <c r="EQ7" s="672">
        <f>EP7/CB7</f>
        <v>1.403225806451613</v>
      </c>
      <c r="ER7" s="671">
        <f>CD7-CC7</f>
        <v>-121</v>
      </c>
      <c r="ES7" s="672">
        <f>ER7/CC7</f>
        <v>-0.27069351230425054</v>
      </c>
      <c r="ET7" s="671">
        <f>CE7-CD7</f>
        <v>-155</v>
      </c>
      <c r="EU7" s="672">
        <f>ET7/CD7</f>
        <v>-0.47546012269938648</v>
      </c>
      <c r="EV7" s="671">
        <f>CF7-CE7</f>
        <v>-53</v>
      </c>
      <c r="EW7" s="672">
        <f>EV7/CE7</f>
        <v>-0.30994152046783624</v>
      </c>
      <c r="EX7" s="671">
        <f>CG7-CF7</f>
        <v>-22</v>
      </c>
      <c r="EY7" s="672">
        <f>EX7/CF7</f>
        <v>-0.1864406779661017</v>
      </c>
      <c r="EZ7" s="671">
        <f>CH7-CG7</f>
        <v>20</v>
      </c>
      <c r="FA7" s="672">
        <f>EZ7/CG7</f>
        <v>0.20833333333333334</v>
      </c>
      <c r="FB7" s="671">
        <f>CI7-CH7</f>
        <v>-34</v>
      </c>
      <c r="FC7" s="672">
        <f>FB7/CH7</f>
        <v>-0.29310344827586204</v>
      </c>
      <c r="FD7" s="671">
        <f>CJ7-CI7</f>
        <v>-25</v>
      </c>
      <c r="FE7" s="672">
        <f>FD7/CI7</f>
        <v>-0.3048780487804878</v>
      </c>
      <c r="FF7" s="671">
        <f>CK7-CJ7</f>
        <v>-57</v>
      </c>
      <c r="FG7" s="672">
        <f>FF7/CJ7</f>
        <v>-1</v>
      </c>
      <c r="FH7" s="16">
        <f t="shared" si="25"/>
        <v>76</v>
      </c>
      <c r="FI7" s="63">
        <f t="shared" si="26"/>
        <v>57</v>
      </c>
      <c r="FJ7" s="671">
        <f>FI7-FH7</f>
        <v>-19</v>
      </c>
      <c r="FK7" s="109">
        <f t="shared" si="48"/>
        <v>-0.25</v>
      </c>
      <c r="FL7" s="702"/>
      <c r="FM7" s="702"/>
      <c r="FN7" s="702"/>
      <c r="FP7" s="260"/>
      <c r="FQ7" s="260"/>
      <c r="FR7" s="260"/>
      <c r="FS7" s="260"/>
      <c r="FT7" s="260"/>
      <c r="FU7" s="260"/>
      <c r="FV7" s="260"/>
      <c r="FW7" s="260"/>
      <c r="FX7" s="260"/>
      <c r="FY7" s="260"/>
      <c r="FZ7" s="260"/>
      <c r="GA7" s="261"/>
      <c r="GB7" s="261"/>
      <c r="GC7" s="261"/>
      <c r="GD7" s="261"/>
      <c r="GE7" s="261"/>
      <c r="GF7" s="261"/>
      <c r="GG7" s="261"/>
      <c r="GH7" s="261"/>
      <c r="GI7" s="261"/>
      <c r="GJ7" s="261"/>
      <c r="GK7" s="261"/>
      <c r="GL7" s="261"/>
      <c r="GM7" s="261"/>
      <c r="GN7" s="261"/>
      <c r="GO7" s="261"/>
      <c r="GP7" s="261"/>
      <c r="GQ7" s="261"/>
      <c r="GR7" s="261"/>
      <c r="GS7" s="261"/>
      <c r="GT7" s="261"/>
      <c r="GU7" s="261"/>
      <c r="GV7" s="261"/>
      <c r="GW7" s="261"/>
      <c r="GX7" s="261"/>
      <c r="GY7" s="821"/>
      <c r="GZ7" s="821"/>
      <c r="HA7" s="821"/>
      <c r="HB7" s="821"/>
      <c r="HC7" s="821"/>
      <c r="HD7" s="821"/>
      <c r="HE7" s="821"/>
      <c r="HF7" s="821"/>
      <c r="HG7" s="821"/>
      <c r="HH7" s="821"/>
      <c r="HI7" s="821"/>
      <c r="HJ7" s="821"/>
      <c r="HK7" s="948"/>
      <c r="HL7" s="948"/>
      <c r="HM7" s="948"/>
      <c r="HN7" s="948"/>
      <c r="HO7" s="948"/>
      <c r="HP7" s="948"/>
      <c r="HQ7" s="948"/>
      <c r="HR7" s="948"/>
      <c r="HS7" s="948"/>
      <c r="HT7" s="948"/>
      <c r="HU7" s="948"/>
      <c r="HV7" s="948"/>
    </row>
    <row r="8" spans="1:230" s="168" customFormat="1" ht="13.5" hidden="1" customHeight="1" outlineLevel="1" thickBot="1" x14ac:dyDescent="0.3">
      <c r="A8" s="798"/>
      <c r="B8" s="53" t="s">
        <v>14</v>
      </c>
      <c r="C8" s="53"/>
      <c r="D8" s="53"/>
      <c r="E8" s="54"/>
      <c r="F8" s="54"/>
      <c r="G8" s="54"/>
      <c r="H8" s="55">
        <v>94733314</v>
      </c>
      <c r="I8" s="64">
        <v>94733314</v>
      </c>
      <c r="J8" s="55">
        <v>94733314</v>
      </c>
      <c r="K8" s="64">
        <v>94733314</v>
      </c>
      <c r="L8" s="55">
        <v>94733314</v>
      </c>
      <c r="M8" s="64">
        <v>94733314</v>
      </c>
      <c r="N8" s="55">
        <v>94733314</v>
      </c>
      <c r="O8" s="64">
        <v>94733314</v>
      </c>
      <c r="P8" s="55">
        <v>94733314</v>
      </c>
      <c r="Q8" s="64">
        <v>94733314</v>
      </c>
      <c r="R8" s="55">
        <v>94733314</v>
      </c>
      <c r="S8" s="64">
        <v>94733314</v>
      </c>
      <c r="T8" s="55">
        <v>94733314</v>
      </c>
      <c r="U8" s="55">
        <v>94733314</v>
      </c>
      <c r="V8" s="55">
        <f>S8</f>
        <v>94733314</v>
      </c>
      <c r="W8" s="64">
        <f t="shared" ref="W8:Y8" si="49">V8</f>
        <v>94733314</v>
      </c>
      <c r="X8" s="55">
        <f t="shared" si="49"/>
        <v>94733314</v>
      </c>
      <c r="Y8" s="64">
        <f t="shared" si="49"/>
        <v>94733314</v>
      </c>
      <c r="Z8" s="55">
        <v>94733314</v>
      </c>
      <c r="AA8" s="64">
        <v>94733314</v>
      </c>
      <c r="AB8" s="55">
        <v>94733314</v>
      </c>
      <c r="AC8" s="64">
        <v>94733314</v>
      </c>
      <c r="AD8" s="55">
        <v>94733314</v>
      </c>
      <c r="AE8" s="64">
        <v>94733314</v>
      </c>
      <c r="AF8" s="55">
        <v>94733314</v>
      </c>
      <c r="AG8" s="64">
        <v>94733314</v>
      </c>
      <c r="AH8" s="55">
        <v>94733314</v>
      </c>
      <c r="AI8" s="55">
        <v>94733314</v>
      </c>
      <c r="AJ8" s="55">
        <f>AG8</f>
        <v>94733314</v>
      </c>
      <c r="AK8" s="64">
        <f t="shared" ref="AK8:AU8" si="50">AJ8</f>
        <v>94733314</v>
      </c>
      <c r="AL8" s="55">
        <f t="shared" si="50"/>
        <v>94733314</v>
      </c>
      <c r="AM8" s="64">
        <f t="shared" si="50"/>
        <v>94733314</v>
      </c>
      <c r="AN8" s="55">
        <f t="shared" si="50"/>
        <v>94733314</v>
      </c>
      <c r="AO8" s="64">
        <f t="shared" si="50"/>
        <v>94733314</v>
      </c>
      <c r="AP8" s="55">
        <f t="shared" si="50"/>
        <v>94733314</v>
      </c>
      <c r="AQ8" s="64">
        <f t="shared" si="50"/>
        <v>94733314</v>
      </c>
      <c r="AR8" s="55">
        <f t="shared" si="50"/>
        <v>94733314</v>
      </c>
      <c r="AS8" s="64">
        <f t="shared" si="50"/>
        <v>94733314</v>
      </c>
      <c r="AT8" s="55">
        <f t="shared" si="50"/>
        <v>94733314</v>
      </c>
      <c r="AU8" s="64">
        <f t="shared" si="50"/>
        <v>94733314</v>
      </c>
      <c r="AV8" s="55">
        <f>AG8</f>
        <v>94733314</v>
      </c>
      <c r="AW8" s="55">
        <f>AV8</f>
        <v>94733314</v>
      </c>
      <c r="AX8" s="55">
        <f>AU8</f>
        <v>94733314</v>
      </c>
      <c r="AY8" s="64">
        <f t="shared" ref="AY8:BI8" si="51">AX8</f>
        <v>94733314</v>
      </c>
      <c r="AZ8" s="55">
        <f t="shared" si="51"/>
        <v>94733314</v>
      </c>
      <c r="BA8" s="64">
        <f t="shared" si="51"/>
        <v>94733314</v>
      </c>
      <c r="BB8" s="55">
        <f t="shared" si="51"/>
        <v>94733314</v>
      </c>
      <c r="BC8" s="64">
        <f t="shared" si="51"/>
        <v>94733314</v>
      </c>
      <c r="BD8" s="55">
        <f t="shared" si="51"/>
        <v>94733314</v>
      </c>
      <c r="BE8" s="64">
        <f t="shared" si="51"/>
        <v>94733314</v>
      </c>
      <c r="BF8" s="55">
        <f t="shared" si="51"/>
        <v>94733314</v>
      </c>
      <c r="BG8" s="64">
        <f t="shared" si="51"/>
        <v>94733314</v>
      </c>
      <c r="BH8" s="55">
        <f t="shared" si="51"/>
        <v>94733314</v>
      </c>
      <c r="BI8" s="64">
        <f t="shared" si="51"/>
        <v>94733314</v>
      </c>
      <c r="BJ8" s="55">
        <f>AU8</f>
        <v>94733314</v>
      </c>
      <c r="BK8" s="55">
        <f>BJ8</f>
        <v>94733314</v>
      </c>
      <c r="BL8" s="55">
        <f>BI8</f>
        <v>94733314</v>
      </c>
      <c r="BM8" s="64">
        <f t="shared" ref="BM8" si="52">BL8</f>
        <v>94733314</v>
      </c>
      <c r="BN8" s="55">
        <f t="shared" ref="BN8" si="53">BM8</f>
        <v>94733314</v>
      </c>
      <c r="BO8" s="64">
        <f t="shared" ref="BO8" si="54">BN8</f>
        <v>94733314</v>
      </c>
      <c r="BP8" s="55">
        <f t="shared" ref="BP8" si="55">BO8</f>
        <v>94733314</v>
      </c>
      <c r="BQ8" s="64">
        <f t="shared" ref="BQ8" si="56">BP8</f>
        <v>94733314</v>
      </c>
      <c r="BR8" s="55">
        <f t="shared" ref="BR8" si="57">BQ8</f>
        <v>94733314</v>
      </c>
      <c r="BS8" s="64">
        <f t="shared" ref="BS8" si="58">BR8</f>
        <v>94733314</v>
      </c>
      <c r="BT8" s="55">
        <f t="shared" ref="BT8" si="59">BS8</f>
        <v>94733314</v>
      </c>
      <c r="BU8" s="64">
        <f t="shared" ref="BU8" si="60">BT8</f>
        <v>94733314</v>
      </c>
      <c r="BV8" s="55">
        <f t="shared" ref="BV8" si="61">BU8</f>
        <v>94733314</v>
      </c>
      <c r="BW8" s="64">
        <f t="shared" ref="BW8" si="62">BV8</f>
        <v>94733314</v>
      </c>
      <c r="BX8" s="55">
        <f>BI8</f>
        <v>94733314</v>
      </c>
      <c r="BY8" s="55">
        <f>BX8</f>
        <v>94733314</v>
      </c>
      <c r="BZ8" s="55">
        <f>BW8</f>
        <v>94733314</v>
      </c>
      <c r="CA8" s="64">
        <f t="shared" ref="CA8" si="63">BZ8</f>
        <v>94733314</v>
      </c>
      <c r="CB8" s="55">
        <f t="shared" ref="CB8" si="64">CA8</f>
        <v>94733314</v>
      </c>
      <c r="CC8" s="64">
        <f t="shared" ref="CC8" si="65">CB8</f>
        <v>94733314</v>
      </c>
      <c r="CD8" s="55">
        <f t="shared" ref="CD8" si="66">CC8</f>
        <v>94733314</v>
      </c>
      <c r="CE8" s="64">
        <f t="shared" ref="CE8" si="67">CD8</f>
        <v>94733314</v>
      </c>
      <c r="CF8" s="55">
        <f t="shared" ref="CF8" si="68">CE8</f>
        <v>94733314</v>
      </c>
      <c r="CG8" s="64">
        <f t="shared" ref="CG8" si="69">CF8</f>
        <v>94733314</v>
      </c>
      <c r="CH8" s="55">
        <f t="shared" ref="CH8" si="70">CG8</f>
        <v>94733314</v>
      </c>
      <c r="CI8" s="64">
        <f t="shared" ref="CI8" si="71">CH8</f>
        <v>94733314</v>
      </c>
      <c r="CJ8" s="55">
        <f t="shared" ref="CJ8" si="72">CI8</f>
        <v>94733314</v>
      </c>
      <c r="CK8" s="64">
        <f t="shared" ref="CK8" si="73">CJ8</f>
        <v>94733314</v>
      </c>
      <c r="CL8" s="55">
        <f>BW8</f>
        <v>94733314</v>
      </c>
      <c r="CM8" s="55">
        <f>CL8</f>
        <v>94733314</v>
      </c>
      <c r="CN8" s="126"/>
      <c r="CO8" s="476"/>
      <c r="CP8" s="126"/>
      <c r="CQ8" s="476"/>
      <c r="CR8" s="126"/>
      <c r="CS8" s="476"/>
      <c r="CT8" s="126"/>
      <c r="CU8" s="476"/>
      <c r="CV8" s="126"/>
      <c r="CW8" s="476"/>
      <c r="CX8" s="126"/>
      <c r="CY8" s="476"/>
      <c r="CZ8" s="126"/>
      <c r="DA8" s="476"/>
      <c r="DB8" s="126"/>
      <c r="DC8" s="476"/>
      <c r="DD8" s="126"/>
      <c r="DE8" s="476"/>
      <c r="DF8" s="126"/>
      <c r="DG8" s="476"/>
      <c r="DH8" s="126"/>
      <c r="DI8" s="476"/>
      <c r="DJ8" s="126"/>
      <c r="DK8" s="476"/>
      <c r="DL8" s="680"/>
      <c r="DM8" s="681"/>
      <c r="DN8" s="680"/>
      <c r="DO8" s="681"/>
      <c r="DP8" s="680"/>
      <c r="DQ8" s="681"/>
      <c r="DR8" s="680"/>
      <c r="DS8" s="681"/>
      <c r="DT8" s="680"/>
      <c r="DU8" s="681"/>
      <c r="DV8" s="680"/>
      <c r="DW8" s="681"/>
      <c r="DX8" s="680"/>
      <c r="DY8" s="681"/>
      <c r="DZ8" s="680"/>
      <c r="EA8" s="681"/>
      <c r="EB8" s="680"/>
      <c r="EC8" s="681"/>
      <c r="ED8" s="680"/>
      <c r="EE8" s="681"/>
      <c r="EF8" s="680"/>
      <c r="EG8" s="681"/>
      <c r="EH8" s="680"/>
      <c r="EI8" s="681"/>
      <c r="EJ8" s="680"/>
      <c r="EK8" s="681"/>
      <c r="EL8" s="680"/>
      <c r="EM8" s="681"/>
      <c r="EN8" s="680"/>
      <c r="EO8" s="681"/>
      <c r="EP8" s="680"/>
      <c r="EQ8" s="681"/>
      <c r="ER8" s="680"/>
      <c r="ES8" s="681"/>
      <c r="ET8" s="680"/>
      <c r="EU8" s="681"/>
      <c r="EV8" s="680"/>
      <c r="EW8" s="681"/>
      <c r="EX8" s="680"/>
      <c r="EY8" s="681"/>
      <c r="EZ8" s="680"/>
      <c r="FA8" s="681"/>
      <c r="FB8" s="680"/>
      <c r="FC8" s="681"/>
      <c r="FD8" s="680"/>
      <c r="FE8" s="681"/>
      <c r="FF8" s="680"/>
      <c r="FG8" s="681"/>
      <c r="FH8" s="713">
        <f t="shared" si="25"/>
        <v>94733314</v>
      </c>
      <c r="FI8" s="714">
        <f t="shared" si="26"/>
        <v>94733314</v>
      </c>
      <c r="FJ8" s="715"/>
      <c r="FK8" s="716"/>
      <c r="FL8" s="703"/>
      <c r="FM8" s="703"/>
      <c r="FN8" s="703"/>
      <c r="FP8" s="262"/>
      <c r="FQ8" s="262"/>
      <c r="FR8" s="262"/>
      <c r="FS8" s="262"/>
      <c r="FT8" s="262"/>
      <c r="FU8" s="262"/>
      <c r="FV8" s="262"/>
      <c r="FW8" s="262"/>
      <c r="FX8" s="262"/>
      <c r="FY8" s="262"/>
      <c r="FZ8" s="262"/>
      <c r="GA8" s="263"/>
      <c r="GB8" s="263"/>
      <c r="GC8" s="263"/>
      <c r="GD8" s="263"/>
      <c r="GE8" s="263"/>
      <c r="GF8" s="263"/>
      <c r="GG8" s="263"/>
      <c r="GH8" s="263"/>
      <c r="GI8" s="263"/>
      <c r="GJ8" s="263"/>
      <c r="GK8" s="263"/>
      <c r="GL8" s="263"/>
      <c r="GM8" s="263"/>
      <c r="GN8" s="263"/>
      <c r="GO8" s="263"/>
      <c r="GP8" s="263"/>
      <c r="GQ8" s="263"/>
      <c r="GR8" s="263"/>
      <c r="GS8" s="263"/>
      <c r="GT8" s="263"/>
      <c r="GU8" s="263"/>
      <c r="GV8" s="263"/>
      <c r="GW8" s="263"/>
      <c r="GX8" s="263"/>
      <c r="GY8" s="822"/>
      <c r="GZ8" s="822"/>
      <c r="HA8" s="822"/>
      <c r="HB8" s="822"/>
      <c r="HC8" s="822"/>
      <c r="HD8" s="822"/>
      <c r="HE8" s="822"/>
      <c r="HF8" s="822"/>
      <c r="HG8" s="822"/>
      <c r="HH8" s="822"/>
      <c r="HI8" s="822"/>
      <c r="HJ8" s="822"/>
      <c r="HK8" s="949"/>
      <c r="HL8" s="949"/>
      <c r="HM8" s="949"/>
      <c r="HN8" s="949"/>
      <c r="HO8" s="949"/>
      <c r="HP8" s="949"/>
      <c r="HQ8" s="949"/>
      <c r="HR8" s="949"/>
      <c r="HS8" s="949"/>
      <c r="HT8" s="949"/>
      <c r="HU8" s="949"/>
      <c r="HV8" s="949"/>
    </row>
    <row r="9" spans="1:230" s="304" customFormat="1" ht="22.5" customHeight="1" collapsed="1" thickBot="1" x14ac:dyDescent="0.3">
      <c r="A9" s="799"/>
      <c r="B9" s="1065"/>
      <c r="C9" s="1065"/>
      <c r="D9" s="1065"/>
      <c r="E9" s="1065"/>
      <c r="F9" s="1065"/>
      <c r="G9" s="1065"/>
      <c r="H9" s="121"/>
      <c r="J9" s="121"/>
      <c r="K9" s="121"/>
      <c r="L9" s="121"/>
      <c r="M9" s="121"/>
      <c r="N9" s="121"/>
      <c r="O9" s="121"/>
      <c r="P9" s="121"/>
      <c r="Q9" s="121"/>
      <c r="R9" s="121"/>
      <c r="S9" s="121"/>
      <c r="T9" s="305"/>
      <c r="U9" s="305"/>
      <c r="V9" s="121"/>
      <c r="W9" s="121"/>
      <c r="X9" s="121"/>
      <c r="Y9" s="121"/>
      <c r="Z9" s="121"/>
      <c r="AA9" s="121"/>
      <c r="AB9" s="121"/>
      <c r="AC9" s="121"/>
      <c r="AD9" s="121"/>
      <c r="AE9" s="121"/>
      <c r="AF9" s="121"/>
      <c r="AG9" s="121"/>
      <c r="AH9" s="305"/>
      <c r="AI9" s="121"/>
      <c r="AJ9" s="121"/>
      <c r="AK9" s="121"/>
      <c r="AL9" s="121"/>
      <c r="AM9" s="121"/>
      <c r="AN9" s="121"/>
      <c r="AO9" s="121"/>
      <c r="AP9" s="121"/>
      <c r="AQ9" s="121"/>
      <c r="AR9" s="121"/>
      <c r="AS9" s="121"/>
      <c r="AT9" s="121"/>
      <c r="AU9" s="121"/>
      <c r="AV9" s="305"/>
      <c r="AW9" s="305"/>
      <c r="AX9" s="121"/>
      <c r="AY9" s="121"/>
      <c r="AZ9" s="121"/>
      <c r="BA9" s="121"/>
      <c r="BB9" s="121"/>
      <c r="BC9" s="121"/>
      <c r="BD9" s="121"/>
      <c r="BE9" s="121"/>
      <c r="BF9" s="121"/>
      <c r="BG9" s="121"/>
      <c r="BH9" s="121"/>
      <c r="BI9" s="121"/>
      <c r="BJ9" s="305"/>
      <c r="BK9" s="791"/>
      <c r="BL9" s="121"/>
      <c r="BM9" s="121"/>
      <c r="BN9" s="121"/>
      <c r="BO9" s="121"/>
      <c r="BP9" s="121"/>
      <c r="BQ9" s="121"/>
      <c r="BR9" s="121"/>
      <c r="BS9" s="121"/>
      <c r="BT9" s="121"/>
      <c r="BU9" s="121"/>
      <c r="BV9" s="121"/>
      <c r="BW9" s="121"/>
      <c r="BX9" s="305"/>
      <c r="BY9" s="791"/>
      <c r="BZ9" s="121"/>
      <c r="CA9" s="121"/>
      <c r="CB9" s="121"/>
      <c r="CC9" s="121"/>
      <c r="CD9" s="121"/>
      <c r="CE9" s="121"/>
      <c r="CF9" s="121"/>
      <c r="CG9" s="121"/>
      <c r="CH9" s="121"/>
      <c r="CI9" s="121"/>
      <c r="CJ9" s="121"/>
      <c r="CK9" s="121"/>
      <c r="CL9" s="305"/>
      <c r="CM9" s="791"/>
      <c r="CN9" s="792" t="s">
        <v>134</v>
      </c>
      <c r="CO9" s="491" t="s">
        <v>195</v>
      </c>
      <c r="CP9" s="490" t="s">
        <v>135</v>
      </c>
      <c r="CQ9" s="491" t="s">
        <v>195</v>
      </c>
      <c r="CR9" s="492" t="s">
        <v>136</v>
      </c>
      <c r="CS9" s="491" t="s">
        <v>195</v>
      </c>
      <c r="CT9" s="492" t="s">
        <v>137</v>
      </c>
      <c r="CU9" s="491" t="s">
        <v>195</v>
      </c>
      <c r="CV9" s="492" t="s">
        <v>118</v>
      </c>
      <c r="CW9" s="491" t="s">
        <v>195</v>
      </c>
      <c r="CX9" s="492" t="s">
        <v>119</v>
      </c>
      <c r="CY9" s="491" t="s">
        <v>195</v>
      </c>
      <c r="CZ9" s="492" t="s">
        <v>120</v>
      </c>
      <c r="DA9" s="491" t="s">
        <v>195</v>
      </c>
      <c r="DB9" s="492" t="s">
        <v>121</v>
      </c>
      <c r="DC9" s="491" t="s">
        <v>195</v>
      </c>
      <c r="DD9" s="492" t="s">
        <v>122</v>
      </c>
      <c r="DE9" s="491" t="s">
        <v>195</v>
      </c>
      <c r="DF9" s="492" t="s">
        <v>123</v>
      </c>
      <c r="DG9" s="491" t="s">
        <v>195</v>
      </c>
      <c r="DH9" s="492" t="s">
        <v>124</v>
      </c>
      <c r="DI9" s="491" t="s">
        <v>195</v>
      </c>
      <c r="DJ9" s="492" t="s">
        <v>138</v>
      </c>
      <c r="DK9" s="491" t="s">
        <v>195</v>
      </c>
      <c r="DL9" s="492" t="s">
        <v>134</v>
      </c>
      <c r="DM9" s="491" t="s">
        <v>220</v>
      </c>
      <c r="DN9" s="492" t="s">
        <v>135</v>
      </c>
      <c r="DO9" s="491" t="s">
        <v>220</v>
      </c>
      <c r="DP9" s="492" t="s">
        <v>136</v>
      </c>
      <c r="DQ9" s="491" t="s">
        <v>220</v>
      </c>
      <c r="DR9" s="492" t="s">
        <v>221</v>
      </c>
      <c r="DS9" s="491" t="s">
        <v>220</v>
      </c>
      <c r="DT9" s="492" t="s">
        <v>118</v>
      </c>
      <c r="DU9" s="491" t="s">
        <v>220</v>
      </c>
      <c r="DV9" s="492" t="s">
        <v>119</v>
      </c>
      <c r="DW9" s="491" t="s">
        <v>220</v>
      </c>
      <c r="DX9" s="492" t="s">
        <v>120</v>
      </c>
      <c r="DY9" s="491" t="s">
        <v>220</v>
      </c>
      <c r="DZ9" s="492" t="s">
        <v>121</v>
      </c>
      <c r="EA9" s="491" t="s">
        <v>220</v>
      </c>
      <c r="EB9" s="492" t="s">
        <v>122</v>
      </c>
      <c r="EC9" s="491" t="s">
        <v>220</v>
      </c>
      <c r="ED9" s="492" t="s">
        <v>123</v>
      </c>
      <c r="EE9" s="491" t="s">
        <v>220</v>
      </c>
      <c r="EF9" s="492" t="s">
        <v>124</v>
      </c>
      <c r="EG9" s="491" t="s">
        <v>220</v>
      </c>
      <c r="EH9" s="492" t="s">
        <v>138</v>
      </c>
      <c r="EI9" s="491" t="s">
        <v>220</v>
      </c>
      <c r="EJ9" s="492" t="s">
        <v>134</v>
      </c>
      <c r="EK9" s="491" t="s">
        <v>257</v>
      </c>
      <c r="EL9" s="492" t="s">
        <v>135</v>
      </c>
      <c r="EM9" s="491" t="s">
        <v>257</v>
      </c>
      <c r="EN9" s="492" t="s">
        <v>136</v>
      </c>
      <c r="EO9" s="491" t="s">
        <v>257</v>
      </c>
      <c r="EP9" s="492" t="s">
        <v>221</v>
      </c>
      <c r="EQ9" s="491" t="s">
        <v>257</v>
      </c>
      <c r="ER9" s="492" t="s">
        <v>118</v>
      </c>
      <c r="ES9" s="491" t="s">
        <v>257</v>
      </c>
      <c r="ET9" s="492" t="s">
        <v>119</v>
      </c>
      <c r="EU9" s="491" t="s">
        <v>257</v>
      </c>
      <c r="EV9" s="492" t="s">
        <v>120</v>
      </c>
      <c r="EW9" s="491" t="s">
        <v>257</v>
      </c>
      <c r="EX9" s="492" t="s">
        <v>121</v>
      </c>
      <c r="EY9" s="491" t="s">
        <v>257</v>
      </c>
      <c r="EZ9" s="492" t="s">
        <v>122</v>
      </c>
      <c r="FA9" s="491" t="s">
        <v>257</v>
      </c>
      <c r="FB9" s="492" t="s">
        <v>123</v>
      </c>
      <c r="FC9" s="491" t="s">
        <v>257</v>
      </c>
      <c r="FD9" s="492" t="s">
        <v>124</v>
      </c>
      <c r="FE9" s="491" t="s">
        <v>257</v>
      </c>
      <c r="FF9" s="492" t="s">
        <v>138</v>
      </c>
      <c r="FG9" s="491" t="s">
        <v>257</v>
      </c>
      <c r="FH9" s="121" t="s">
        <v>210</v>
      </c>
      <c r="FI9" s="121" t="s">
        <v>197</v>
      </c>
      <c r="FL9" s="491"/>
      <c r="FM9" s="491"/>
      <c r="FN9" s="491"/>
      <c r="FO9" s="816"/>
      <c r="FP9" s="525" t="s">
        <v>107</v>
      </c>
      <c r="FQ9" s="525" t="s">
        <v>107</v>
      </c>
      <c r="FR9" s="525" t="s">
        <v>107</v>
      </c>
      <c r="FS9" s="525" t="s">
        <v>107</v>
      </c>
      <c r="FT9" s="525" t="s">
        <v>107</v>
      </c>
      <c r="FU9" s="525" t="s">
        <v>107</v>
      </c>
      <c r="FV9" s="525" t="s">
        <v>107</v>
      </c>
      <c r="FW9" s="525" t="s">
        <v>107</v>
      </c>
      <c r="FX9" s="525" t="s">
        <v>107</v>
      </c>
      <c r="FY9" s="525" t="s">
        <v>107</v>
      </c>
      <c r="FZ9" s="525" t="s">
        <v>107</v>
      </c>
      <c r="GA9" s="525" t="s">
        <v>157</v>
      </c>
      <c r="GB9" s="525" t="s">
        <v>157</v>
      </c>
      <c r="GC9" s="525" t="s">
        <v>157</v>
      </c>
      <c r="GD9" s="525" t="s">
        <v>157</v>
      </c>
      <c r="GE9" s="525" t="s">
        <v>157</v>
      </c>
      <c r="GF9" s="525" t="s">
        <v>157</v>
      </c>
      <c r="GG9" s="525" t="s">
        <v>157</v>
      </c>
      <c r="GH9" s="525" t="s">
        <v>157</v>
      </c>
      <c r="GI9" s="525" t="s">
        <v>157</v>
      </c>
      <c r="GJ9" s="525" t="s">
        <v>157</v>
      </c>
      <c r="GK9" s="525" t="s">
        <v>157</v>
      </c>
      <c r="GL9" s="525" t="s">
        <v>157</v>
      </c>
      <c r="GM9" s="525" t="s">
        <v>194</v>
      </c>
      <c r="GN9" s="525" t="s">
        <v>194</v>
      </c>
      <c r="GO9" s="525" t="s">
        <v>194</v>
      </c>
      <c r="GP9" s="525" t="s">
        <v>194</v>
      </c>
      <c r="GQ9" s="525" t="s">
        <v>194</v>
      </c>
      <c r="GR9" s="525" t="s">
        <v>194</v>
      </c>
      <c r="GS9" s="525" t="s">
        <v>194</v>
      </c>
      <c r="GT9" s="525" t="s">
        <v>194</v>
      </c>
      <c r="GU9" s="525" t="s">
        <v>194</v>
      </c>
      <c r="GV9" s="525" t="s">
        <v>194</v>
      </c>
      <c r="GW9" s="525" t="s">
        <v>194</v>
      </c>
      <c r="GX9" s="525" t="s">
        <v>194</v>
      </c>
      <c r="GY9" s="525" t="s">
        <v>222</v>
      </c>
      <c r="GZ9" s="525" t="s">
        <v>222</v>
      </c>
      <c r="HA9" s="525" t="s">
        <v>222</v>
      </c>
      <c r="HB9" s="525" t="s">
        <v>222</v>
      </c>
      <c r="HC9" s="525" t="s">
        <v>222</v>
      </c>
      <c r="HD9" s="525" t="s">
        <v>222</v>
      </c>
      <c r="HE9" s="525" t="s">
        <v>222</v>
      </c>
      <c r="HF9" s="525" t="s">
        <v>222</v>
      </c>
      <c r="HG9" s="525" t="s">
        <v>222</v>
      </c>
      <c r="HH9" s="525" t="s">
        <v>222</v>
      </c>
      <c r="HI9" s="525" t="s">
        <v>222</v>
      </c>
      <c r="HJ9" s="525" t="s">
        <v>222</v>
      </c>
      <c r="HK9" s="950" t="s">
        <v>268</v>
      </c>
      <c r="HL9" s="950" t="s">
        <v>268</v>
      </c>
      <c r="HM9" s="950" t="s">
        <v>268</v>
      </c>
      <c r="HN9" s="950" t="s">
        <v>268</v>
      </c>
      <c r="HO9" s="950" t="s">
        <v>268</v>
      </c>
      <c r="HP9" s="950" t="s">
        <v>268</v>
      </c>
      <c r="HQ9" s="950" t="s">
        <v>268</v>
      </c>
      <c r="HR9" s="950" t="s">
        <v>268</v>
      </c>
      <c r="HS9" s="950" t="s">
        <v>268</v>
      </c>
      <c r="HT9" s="950" t="s">
        <v>268</v>
      </c>
      <c r="HU9" s="950" t="s">
        <v>268</v>
      </c>
      <c r="HV9" s="950" t="s">
        <v>268</v>
      </c>
    </row>
    <row r="10" spans="1:230" s="10" customFormat="1" ht="47.25" customHeight="1" thickBot="1" x14ac:dyDescent="0.3">
      <c r="A10" s="1060" t="s">
        <v>158</v>
      </c>
      <c r="B10" s="1061"/>
      <c r="C10" s="1061"/>
      <c r="D10" s="1061"/>
      <c r="E10" s="1061"/>
      <c r="F10" s="1061"/>
      <c r="G10" s="1062"/>
      <c r="H10" s="373">
        <v>40390</v>
      </c>
      <c r="I10" s="232">
        <v>40421</v>
      </c>
      <c r="J10" s="233">
        <v>40451</v>
      </c>
      <c r="K10" s="232">
        <v>40482</v>
      </c>
      <c r="L10" s="233">
        <v>40512</v>
      </c>
      <c r="M10" s="232">
        <v>40543</v>
      </c>
      <c r="N10" s="233">
        <v>40574</v>
      </c>
      <c r="O10" s="232">
        <v>40602</v>
      </c>
      <c r="P10" s="233">
        <v>40633</v>
      </c>
      <c r="Q10" s="232">
        <v>40663</v>
      </c>
      <c r="R10" s="233">
        <v>40694</v>
      </c>
      <c r="S10" s="232">
        <v>40724</v>
      </c>
      <c r="T10" s="127" t="s">
        <v>152</v>
      </c>
      <c r="U10" s="148" t="s">
        <v>153</v>
      </c>
      <c r="V10" s="373">
        <v>40755</v>
      </c>
      <c r="W10" s="232">
        <v>40786</v>
      </c>
      <c r="X10" s="233">
        <v>40816</v>
      </c>
      <c r="Y10" s="232">
        <v>40847</v>
      </c>
      <c r="Z10" s="233">
        <v>40877</v>
      </c>
      <c r="AA10" s="232">
        <v>40908</v>
      </c>
      <c r="AB10" s="233">
        <v>40939</v>
      </c>
      <c r="AC10" s="232">
        <v>40967</v>
      </c>
      <c r="AD10" s="233">
        <v>40999</v>
      </c>
      <c r="AE10" s="232">
        <v>41029</v>
      </c>
      <c r="AF10" s="233">
        <v>41060</v>
      </c>
      <c r="AG10" s="232">
        <v>41090</v>
      </c>
      <c r="AH10" s="127" t="s">
        <v>175</v>
      </c>
      <c r="AI10" s="148" t="s">
        <v>176</v>
      </c>
      <c r="AJ10" s="373">
        <v>41121</v>
      </c>
      <c r="AK10" s="232">
        <v>41152</v>
      </c>
      <c r="AL10" s="233">
        <v>41182</v>
      </c>
      <c r="AM10" s="232">
        <v>41213</v>
      </c>
      <c r="AN10" s="233">
        <v>41243</v>
      </c>
      <c r="AO10" s="484">
        <v>41274</v>
      </c>
      <c r="AP10" s="233">
        <v>41305</v>
      </c>
      <c r="AQ10" s="232">
        <v>41333</v>
      </c>
      <c r="AR10" s="233">
        <v>41364</v>
      </c>
      <c r="AS10" s="232">
        <v>41394</v>
      </c>
      <c r="AT10" s="233">
        <v>41425</v>
      </c>
      <c r="AU10" s="232">
        <v>41455</v>
      </c>
      <c r="AV10" s="127" t="s">
        <v>155</v>
      </c>
      <c r="AW10" s="148" t="s">
        <v>156</v>
      </c>
      <c r="AX10" s="373">
        <v>41486</v>
      </c>
      <c r="AY10" s="232">
        <v>41517</v>
      </c>
      <c r="AZ10" s="233">
        <v>41547</v>
      </c>
      <c r="BA10" s="232">
        <v>41578</v>
      </c>
      <c r="BB10" s="233">
        <v>41608</v>
      </c>
      <c r="BC10" s="232">
        <v>41639</v>
      </c>
      <c r="BD10" s="233">
        <v>41670</v>
      </c>
      <c r="BE10" s="232">
        <v>41698</v>
      </c>
      <c r="BF10" s="233">
        <v>41729</v>
      </c>
      <c r="BG10" s="232">
        <v>41759</v>
      </c>
      <c r="BH10" s="233">
        <v>41790</v>
      </c>
      <c r="BI10" s="232">
        <v>41820</v>
      </c>
      <c r="BJ10" s="127" t="s">
        <v>192</v>
      </c>
      <c r="BK10" s="148" t="s">
        <v>193</v>
      </c>
      <c r="BL10" s="373">
        <v>41851</v>
      </c>
      <c r="BM10" s="232">
        <v>41882</v>
      </c>
      <c r="BN10" s="233">
        <v>41912</v>
      </c>
      <c r="BO10" s="232">
        <v>41943</v>
      </c>
      <c r="BP10" s="233">
        <v>41973</v>
      </c>
      <c r="BQ10" s="232">
        <v>42004</v>
      </c>
      <c r="BR10" s="233">
        <v>42035</v>
      </c>
      <c r="BS10" s="232">
        <v>42063</v>
      </c>
      <c r="BT10" s="233">
        <v>42094</v>
      </c>
      <c r="BU10" s="232">
        <v>42124</v>
      </c>
      <c r="BV10" s="233">
        <v>42155</v>
      </c>
      <c r="BW10" s="232">
        <v>42185</v>
      </c>
      <c r="BX10" s="127" t="s">
        <v>218</v>
      </c>
      <c r="BY10" s="148" t="s">
        <v>219</v>
      </c>
      <c r="BZ10" s="373">
        <v>42216</v>
      </c>
      <c r="CA10" s="232">
        <v>42247</v>
      </c>
      <c r="CB10" s="233">
        <v>42277</v>
      </c>
      <c r="CC10" s="232">
        <v>42308</v>
      </c>
      <c r="CD10" s="233">
        <v>42338</v>
      </c>
      <c r="CE10" s="232">
        <v>42369</v>
      </c>
      <c r="CF10" s="233">
        <v>42400</v>
      </c>
      <c r="CG10" s="232">
        <v>42428</v>
      </c>
      <c r="CH10" s="233">
        <v>42460</v>
      </c>
      <c r="CI10" s="232">
        <v>42490</v>
      </c>
      <c r="CJ10" s="233">
        <v>42521</v>
      </c>
      <c r="CK10" s="232">
        <v>42551</v>
      </c>
      <c r="CL10" s="127" t="s">
        <v>255</v>
      </c>
      <c r="CM10" s="148" t="s">
        <v>256</v>
      </c>
      <c r="CN10" s="1058" t="s">
        <v>97</v>
      </c>
      <c r="CO10" s="1059"/>
      <c r="CP10" s="1058" t="s">
        <v>205</v>
      </c>
      <c r="CQ10" s="1059"/>
      <c r="CR10" s="1058" t="s">
        <v>205</v>
      </c>
      <c r="CS10" s="1059"/>
      <c r="CT10" s="1058" t="s">
        <v>205</v>
      </c>
      <c r="CU10" s="1059"/>
      <c r="CV10" s="1058" t="s">
        <v>205</v>
      </c>
      <c r="CW10" s="1059"/>
      <c r="CX10" s="1058" t="s">
        <v>205</v>
      </c>
      <c r="CY10" s="1059"/>
      <c r="CZ10" s="1058" t="s">
        <v>205</v>
      </c>
      <c r="DA10" s="1059"/>
      <c r="DB10" s="1058" t="s">
        <v>205</v>
      </c>
      <c r="DC10" s="1059"/>
      <c r="DD10" s="1058" t="s">
        <v>205</v>
      </c>
      <c r="DE10" s="1059"/>
      <c r="DF10" s="1058" t="s">
        <v>205</v>
      </c>
      <c r="DG10" s="1059"/>
      <c r="DH10" s="1058" t="s">
        <v>205</v>
      </c>
      <c r="DI10" s="1059"/>
      <c r="DJ10" s="1058" t="s">
        <v>205</v>
      </c>
      <c r="DK10" s="1059"/>
      <c r="DL10" s="1058" t="s">
        <v>205</v>
      </c>
      <c r="DM10" s="1059"/>
      <c r="DN10" s="1058" t="s">
        <v>97</v>
      </c>
      <c r="DO10" s="1059"/>
      <c r="DP10" s="1058" t="s">
        <v>97</v>
      </c>
      <c r="DQ10" s="1059"/>
      <c r="DR10" s="1058" t="s">
        <v>97</v>
      </c>
      <c r="DS10" s="1059"/>
      <c r="DT10" s="1058" t="s">
        <v>97</v>
      </c>
      <c r="DU10" s="1059"/>
      <c r="DV10" s="1058" t="s">
        <v>97</v>
      </c>
      <c r="DW10" s="1059"/>
      <c r="DX10" s="1058" t="s">
        <v>97</v>
      </c>
      <c r="DY10" s="1059"/>
      <c r="DZ10" s="1058" t="s">
        <v>97</v>
      </c>
      <c r="EA10" s="1059"/>
      <c r="EB10" s="1058" t="s">
        <v>97</v>
      </c>
      <c r="EC10" s="1059"/>
      <c r="ED10" s="1058" t="s">
        <v>97</v>
      </c>
      <c r="EE10" s="1059"/>
      <c r="EF10" s="1058" t="s">
        <v>97</v>
      </c>
      <c r="EG10" s="1059"/>
      <c r="EH10" s="1058" t="s">
        <v>97</v>
      </c>
      <c r="EI10" s="1059"/>
      <c r="EJ10" s="1058" t="s">
        <v>97</v>
      </c>
      <c r="EK10" s="1059"/>
      <c r="EL10" s="1058" t="s">
        <v>97</v>
      </c>
      <c r="EM10" s="1059"/>
      <c r="EN10" s="1058" t="s">
        <v>97</v>
      </c>
      <c r="EO10" s="1059"/>
      <c r="EP10" s="1058" t="s">
        <v>97</v>
      </c>
      <c r="EQ10" s="1059"/>
      <c r="ER10" s="1058" t="s">
        <v>97</v>
      </c>
      <c r="ES10" s="1059"/>
      <c r="ET10" s="1058" t="s">
        <v>97</v>
      </c>
      <c r="EU10" s="1059"/>
      <c r="EV10" s="1058" t="s">
        <v>97</v>
      </c>
      <c r="EW10" s="1059"/>
      <c r="EX10" s="1058" t="s">
        <v>97</v>
      </c>
      <c r="EY10" s="1059"/>
      <c r="EZ10" s="1058" t="s">
        <v>97</v>
      </c>
      <c r="FA10" s="1059"/>
      <c r="FB10" s="1058" t="s">
        <v>97</v>
      </c>
      <c r="FC10" s="1059"/>
      <c r="FD10" s="1058" t="s">
        <v>97</v>
      </c>
      <c r="FE10" s="1059"/>
      <c r="FF10" s="1058" t="s">
        <v>258</v>
      </c>
      <c r="FG10" s="1059"/>
      <c r="FH10" s="231">
        <f>BV10</f>
        <v>42155</v>
      </c>
      <c r="FI10" s="717">
        <f>CJ10</f>
        <v>42521</v>
      </c>
      <c r="FJ10" s="1058" t="s">
        <v>204</v>
      </c>
      <c r="FK10" s="1059"/>
      <c r="FL10" s="704"/>
      <c r="FM10" s="704"/>
      <c r="FN10" s="704"/>
      <c r="FO10" s="10" t="s">
        <v>76</v>
      </c>
      <c r="FP10" s="264">
        <v>40025</v>
      </c>
      <c r="FQ10" s="264">
        <v>40056</v>
      </c>
      <c r="FR10" s="264">
        <v>40086</v>
      </c>
      <c r="FS10" s="264">
        <v>40117</v>
      </c>
      <c r="FT10" s="264">
        <v>40147</v>
      </c>
      <c r="FU10" s="264">
        <v>40178</v>
      </c>
      <c r="FV10" s="264">
        <v>40209</v>
      </c>
      <c r="FW10" s="264">
        <v>40237</v>
      </c>
      <c r="FX10" s="264">
        <v>40268</v>
      </c>
      <c r="FY10" s="264">
        <v>40298</v>
      </c>
      <c r="FZ10" s="264">
        <v>40329</v>
      </c>
      <c r="GA10" s="265">
        <f t="shared" ref="GA10:GL11" si="74">AJ10</f>
        <v>41121</v>
      </c>
      <c r="GB10" s="265">
        <f t="shared" si="74"/>
        <v>41152</v>
      </c>
      <c r="GC10" s="265">
        <f t="shared" si="74"/>
        <v>41182</v>
      </c>
      <c r="GD10" s="265">
        <f t="shared" si="74"/>
        <v>41213</v>
      </c>
      <c r="GE10" s="265">
        <f t="shared" si="74"/>
        <v>41243</v>
      </c>
      <c r="GF10" s="265">
        <f t="shared" si="74"/>
        <v>41274</v>
      </c>
      <c r="GG10" s="265">
        <f t="shared" si="74"/>
        <v>41305</v>
      </c>
      <c r="GH10" s="265">
        <f t="shared" si="74"/>
        <v>41333</v>
      </c>
      <c r="GI10" s="265">
        <f t="shared" si="74"/>
        <v>41364</v>
      </c>
      <c r="GJ10" s="265">
        <f t="shared" si="74"/>
        <v>41394</v>
      </c>
      <c r="GK10" s="265">
        <f t="shared" si="74"/>
        <v>41425</v>
      </c>
      <c r="GL10" s="265">
        <f t="shared" si="74"/>
        <v>41455</v>
      </c>
      <c r="GM10" s="265">
        <f t="shared" ref="GM10:GX11" si="75">AX10</f>
        <v>41486</v>
      </c>
      <c r="GN10" s="265">
        <f t="shared" si="75"/>
        <v>41517</v>
      </c>
      <c r="GO10" s="265">
        <f t="shared" si="75"/>
        <v>41547</v>
      </c>
      <c r="GP10" s="265">
        <f t="shared" si="75"/>
        <v>41578</v>
      </c>
      <c r="GQ10" s="265">
        <f t="shared" si="75"/>
        <v>41608</v>
      </c>
      <c r="GR10" s="265">
        <f t="shared" si="75"/>
        <v>41639</v>
      </c>
      <c r="GS10" s="265">
        <f t="shared" si="75"/>
        <v>41670</v>
      </c>
      <c r="GT10" s="265">
        <f t="shared" si="75"/>
        <v>41698</v>
      </c>
      <c r="GU10" s="265">
        <f t="shared" si="75"/>
        <v>41729</v>
      </c>
      <c r="GV10" s="265">
        <f t="shared" si="75"/>
        <v>41759</v>
      </c>
      <c r="GW10" s="265">
        <f t="shared" si="75"/>
        <v>41790</v>
      </c>
      <c r="GX10" s="265">
        <f t="shared" si="75"/>
        <v>41820</v>
      </c>
      <c r="GY10" s="823">
        <f t="shared" ref="GY10:HJ11" si="76">BL10</f>
        <v>41851</v>
      </c>
      <c r="GZ10" s="823">
        <f t="shared" si="76"/>
        <v>41882</v>
      </c>
      <c r="HA10" s="823">
        <f t="shared" si="76"/>
        <v>41912</v>
      </c>
      <c r="HB10" s="823">
        <f t="shared" si="76"/>
        <v>41943</v>
      </c>
      <c r="HC10" s="823">
        <f t="shared" si="76"/>
        <v>41973</v>
      </c>
      <c r="HD10" s="823">
        <f t="shared" si="76"/>
        <v>42004</v>
      </c>
      <c r="HE10" s="823">
        <f t="shared" si="76"/>
        <v>42035</v>
      </c>
      <c r="HF10" s="823">
        <f t="shared" si="76"/>
        <v>42063</v>
      </c>
      <c r="HG10" s="823">
        <f t="shared" si="76"/>
        <v>42094</v>
      </c>
      <c r="HH10" s="823">
        <f t="shared" si="76"/>
        <v>42124</v>
      </c>
      <c r="HI10" s="823">
        <f t="shared" si="76"/>
        <v>42155</v>
      </c>
      <c r="HJ10" s="823">
        <f t="shared" si="76"/>
        <v>42185</v>
      </c>
      <c r="HK10" s="951">
        <f>BZ10</f>
        <v>42216</v>
      </c>
      <c r="HL10" s="951">
        <f t="shared" ref="HL10:HV11" si="77">CA10</f>
        <v>42247</v>
      </c>
      <c r="HM10" s="951">
        <f t="shared" si="77"/>
        <v>42277</v>
      </c>
      <c r="HN10" s="951">
        <f t="shared" si="77"/>
        <v>42308</v>
      </c>
      <c r="HO10" s="951">
        <f t="shared" si="77"/>
        <v>42338</v>
      </c>
      <c r="HP10" s="951">
        <f t="shared" si="77"/>
        <v>42369</v>
      </c>
      <c r="HQ10" s="951">
        <f t="shared" si="77"/>
        <v>42400</v>
      </c>
      <c r="HR10" s="951">
        <f t="shared" si="77"/>
        <v>42428</v>
      </c>
      <c r="HS10" s="951">
        <f t="shared" si="77"/>
        <v>42460</v>
      </c>
      <c r="HT10" s="951">
        <f t="shared" si="77"/>
        <v>42490</v>
      </c>
      <c r="HU10" s="951">
        <f t="shared" si="77"/>
        <v>42521</v>
      </c>
      <c r="HV10" s="951">
        <f t="shared" si="77"/>
        <v>42551</v>
      </c>
    </row>
    <row r="11" spans="1:230" s="101" customFormat="1" ht="15.75" customHeight="1" thickBot="1" x14ac:dyDescent="0.3">
      <c r="A11" s="800">
        <v>1</v>
      </c>
      <c r="B11" s="1063" t="s">
        <v>165</v>
      </c>
      <c r="C11" s="1063"/>
      <c r="D11" s="1063"/>
      <c r="E11" s="1063"/>
      <c r="F11" s="1063"/>
      <c r="G11" s="1064"/>
      <c r="H11" s="374">
        <v>126699</v>
      </c>
      <c r="I11" s="100">
        <v>126741</v>
      </c>
      <c r="J11" s="99">
        <v>126838</v>
      </c>
      <c r="K11" s="100">
        <v>126572</v>
      </c>
      <c r="L11" s="99">
        <v>126945</v>
      </c>
      <c r="M11" s="100">
        <v>126740</v>
      </c>
      <c r="N11" s="99">
        <v>126515</v>
      </c>
      <c r="O11" s="100">
        <v>125849</v>
      </c>
      <c r="P11" s="99">
        <v>156184</v>
      </c>
      <c r="Q11" s="100">
        <v>126852</v>
      </c>
      <c r="R11" s="99">
        <v>126190</v>
      </c>
      <c r="S11" s="100">
        <v>125191</v>
      </c>
      <c r="T11" s="128">
        <v>1547316</v>
      </c>
      <c r="U11" s="178">
        <v>128943</v>
      </c>
      <c r="V11" s="374">
        <f t="shared" ref="V11:Y11" si="78">V38+(V37)</f>
        <v>125806</v>
      </c>
      <c r="W11" s="100">
        <f t="shared" si="78"/>
        <v>158093</v>
      </c>
      <c r="X11" s="99">
        <f t="shared" si="78"/>
        <v>127601</v>
      </c>
      <c r="Y11" s="100">
        <f t="shared" si="78"/>
        <v>127126</v>
      </c>
      <c r="Z11" s="99">
        <v>127310</v>
      </c>
      <c r="AA11" s="100">
        <v>126982</v>
      </c>
      <c r="AB11" s="99">
        <v>159360</v>
      </c>
      <c r="AC11" s="100">
        <v>126853</v>
      </c>
      <c r="AD11" s="99">
        <v>124326</v>
      </c>
      <c r="AE11" s="100">
        <v>124270</v>
      </c>
      <c r="AF11" s="99">
        <v>101154</v>
      </c>
      <c r="AG11" s="100">
        <v>107450</v>
      </c>
      <c r="AH11" s="128">
        <v>1536331</v>
      </c>
      <c r="AI11" s="178">
        <v>128027.58333333333</v>
      </c>
      <c r="AJ11" s="374">
        <f t="shared" ref="AJ11:AU11" si="79">AJ38+(AJ37)</f>
        <v>111549</v>
      </c>
      <c r="AK11" s="100">
        <f t="shared" si="79"/>
        <v>134889</v>
      </c>
      <c r="AL11" s="99">
        <f t="shared" si="79"/>
        <v>111390</v>
      </c>
      <c r="AM11" s="100">
        <f t="shared" si="79"/>
        <v>111467</v>
      </c>
      <c r="AN11" s="99">
        <f t="shared" si="79"/>
        <v>111297</v>
      </c>
      <c r="AO11" s="100">
        <f t="shared" si="79"/>
        <v>111106</v>
      </c>
      <c r="AP11" s="99">
        <f t="shared" si="79"/>
        <v>111020</v>
      </c>
      <c r="AQ11" s="100">
        <f t="shared" si="79"/>
        <v>132508</v>
      </c>
      <c r="AR11" s="99">
        <f t="shared" si="79"/>
        <v>110944</v>
      </c>
      <c r="AS11" s="100">
        <f t="shared" si="79"/>
        <v>111316</v>
      </c>
      <c r="AT11" s="99">
        <f t="shared" si="79"/>
        <v>111603</v>
      </c>
      <c r="AU11" s="100">
        <f t="shared" si="79"/>
        <v>112436</v>
      </c>
      <c r="AV11" s="128">
        <f>SUM(AJ11:AU11)</f>
        <v>1381525</v>
      </c>
      <c r="AW11" s="178">
        <f>SUM(AJ11:AU11)/$AH$4</f>
        <v>115127.08333333333</v>
      </c>
      <c r="AX11" s="374">
        <f t="shared" ref="AX11:BI11" si="80">AX38+(AX37)</f>
        <v>112399</v>
      </c>
      <c r="AY11" s="100">
        <f>AY38+(AY37)</f>
        <v>133843</v>
      </c>
      <c r="AZ11" s="99">
        <f t="shared" si="80"/>
        <v>110716</v>
      </c>
      <c r="BA11" s="100">
        <f t="shared" si="80"/>
        <v>110651</v>
      </c>
      <c r="BB11" s="99">
        <f t="shared" si="80"/>
        <v>110119</v>
      </c>
      <c r="BC11" s="100">
        <f t="shared" si="80"/>
        <v>109794</v>
      </c>
      <c r="BD11" s="99">
        <f t="shared" si="80"/>
        <v>123268</v>
      </c>
      <c r="BE11" s="100">
        <f t="shared" si="80"/>
        <v>109540</v>
      </c>
      <c r="BF11" s="99">
        <f t="shared" si="80"/>
        <v>109775</v>
      </c>
      <c r="BG11" s="100">
        <f t="shared" si="80"/>
        <v>110455</v>
      </c>
      <c r="BH11" s="99">
        <f t="shared" si="80"/>
        <v>111303</v>
      </c>
      <c r="BI11" s="100">
        <f t="shared" si="80"/>
        <v>136203</v>
      </c>
      <c r="BJ11" s="128">
        <f>SUM(AX11:BI11)</f>
        <v>1388066</v>
      </c>
      <c r="BK11" s="178">
        <f>SUM(AX11:BI11)/$AH$4</f>
        <v>115672.16666666667</v>
      </c>
      <c r="BL11" s="374">
        <f t="shared" ref="BL11" si="81">BL38+(BL37)</f>
        <v>113834</v>
      </c>
      <c r="BM11" s="100">
        <f>BM38+(BM37)</f>
        <v>115414</v>
      </c>
      <c r="BN11" s="99">
        <f t="shared" ref="BN11:BT11" si="82">BN38+(BN37)</f>
        <v>115875</v>
      </c>
      <c r="BO11" s="100">
        <f t="shared" si="82"/>
        <v>116600</v>
      </c>
      <c r="BP11" s="99">
        <f t="shared" si="82"/>
        <v>117464</v>
      </c>
      <c r="BQ11" s="100">
        <f t="shared" si="82"/>
        <v>117293</v>
      </c>
      <c r="BR11" s="99">
        <f t="shared" si="82"/>
        <v>142567</v>
      </c>
      <c r="BS11" s="100">
        <f t="shared" si="82"/>
        <v>117052</v>
      </c>
      <c r="BT11" s="99">
        <f t="shared" si="82"/>
        <v>117471</v>
      </c>
      <c r="BU11" s="99">
        <f t="shared" ref="BU11:BW11" si="83">BU38+(BU37)</f>
        <v>118989</v>
      </c>
      <c r="BV11" s="99">
        <f t="shared" si="83"/>
        <v>119836</v>
      </c>
      <c r="BW11" s="99">
        <f t="shared" si="83"/>
        <v>121134</v>
      </c>
      <c r="BX11" s="128">
        <f>SUM(BL11:BW11)</f>
        <v>1433529</v>
      </c>
      <c r="BY11" s="178">
        <f>SUM(BL11:BW11)/$AH$4</f>
        <v>119460.75</v>
      </c>
      <c r="BZ11" s="374">
        <f t="shared" ref="BZ11" si="84">BZ38+(BZ37)</f>
        <v>148617</v>
      </c>
      <c r="CA11" s="100">
        <f>CA38+(CA37)</f>
        <v>121181</v>
      </c>
      <c r="CB11" s="99">
        <f t="shared" ref="CB11:CK11" si="85">CB38+(CB37)</f>
        <v>120655</v>
      </c>
      <c r="CC11" s="100">
        <f t="shared" si="85"/>
        <v>120725</v>
      </c>
      <c r="CD11" s="99">
        <f t="shared" si="85"/>
        <v>120484</v>
      </c>
      <c r="CE11" s="100">
        <f t="shared" si="85"/>
        <v>146930</v>
      </c>
      <c r="CF11" s="99">
        <f t="shared" si="85"/>
        <v>122677</v>
      </c>
      <c r="CG11" s="100">
        <f t="shared" si="85"/>
        <v>118613</v>
      </c>
      <c r="CH11" s="99">
        <f t="shared" si="85"/>
        <v>117993</v>
      </c>
      <c r="CI11" s="99">
        <f t="shared" si="85"/>
        <v>118591</v>
      </c>
      <c r="CJ11" s="99">
        <f t="shared" si="85"/>
        <v>118832</v>
      </c>
      <c r="CK11" s="99">
        <f t="shared" si="85"/>
        <v>0</v>
      </c>
      <c r="CL11" s="128">
        <f>SUM(BZ11:CK11)</f>
        <v>1375298</v>
      </c>
      <c r="CM11" s="178">
        <f>SUM(BZ11:CK11)/$AH$4</f>
        <v>114608.16666666667</v>
      </c>
      <c r="CN11" s="667">
        <f>AX11-AU11</f>
        <v>-37</v>
      </c>
      <c r="CO11" s="668">
        <f>CN11/AU11</f>
        <v>-3.2907609662385711E-4</v>
      </c>
      <c r="CP11" s="667">
        <f>AY11-AX11</f>
        <v>21444</v>
      </c>
      <c r="CQ11" s="668">
        <f>CP11/AX11</f>
        <v>0.1907846155214904</v>
      </c>
      <c r="CR11" s="667">
        <f>AZ11-AY11</f>
        <v>-23127</v>
      </c>
      <c r="CS11" s="668">
        <f>CR11/AY11</f>
        <v>-0.17279200257017552</v>
      </c>
      <c r="CT11" s="667">
        <f>BA11-AZ11</f>
        <v>-65</v>
      </c>
      <c r="CU11" s="668">
        <f>CT11/AZ11</f>
        <v>-5.8708768380360567E-4</v>
      </c>
      <c r="CV11" s="667">
        <f>BB11-BA11</f>
        <v>-532</v>
      </c>
      <c r="CW11" s="668">
        <f>CV11/BA11</f>
        <v>-4.8079095534608813E-3</v>
      </c>
      <c r="CX11" s="667">
        <f>BC11-BB11</f>
        <v>-325</v>
      </c>
      <c r="CY11" s="668">
        <f>CX11/BB11</f>
        <v>-2.9513526276119472E-3</v>
      </c>
      <c r="CZ11" s="667">
        <f>BD11-BC11</f>
        <v>13474</v>
      </c>
      <c r="DA11" s="668">
        <f>CZ11/BC11</f>
        <v>0.12272073155181522</v>
      </c>
      <c r="DB11" s="667">
        <f>BE11-BD11</f>
        <v>-13728</v>
      </c>
      <c r="DC11" s="668">
        <f>DB11/BD11</f>
        <v>-0.11136710257325502</v>
      </c>
      <c r="DD11" s="667">
        <f>BF11-BE11</f>
        <v>235</v>
      </c>
      <c r="DE11" s="668">
        <f>DD11/BE11</f>
        <v>2.1453350374292498E-3</v>
      </c>
      <c r="DF11" s="667">
        <f>BG11-BF11</f>
        <v>680</v>
      </c>
      <c r="DG11" s="846">
        <f>DF11/BF11</f>
        <v>6.1944887269414712E-3</v>
      </c>
      <c r="DH11" s="667">
        <f>BH11-BG11</f>
        <v>848</v>
      </c>
      <c r="DI11" s="668">
        <f>DH11/BG11</f>
        <v>7.6773346611742335E-3</v>
      </c>
      <c r="DJ11" s="667">
        <f>BI11-BH11</f>
        <v>24900</v>
      </c>
      <c r="DK11" s="668">
        <f>DJ11/BH11</f>
        <v>0.22371364653243847</v>
      </c>
      <c r="DL11" s="667">
        <f>BL11-BI11</f>
        <v>-22369</v>
      </c>
      <c r="DM11" s="668">
        <f>DL11/BI11</f>
        <v>-0.16423279957122824</v>
      </c>
      <c r="DN11" s="169">
        <f>BM11-BL11</f>
        <v>1580</v>
      </c>
      <c r="DO11" s="408">
        <f>DN11/BL11</f>
        <v>1.3879860147231934E-2</v>
      </c>
      <c r="DP11" s="169">
        <f>BN11-BM11</f>
        <v>461</v>
      </c>
      <c r="DQ11" s="408">
        <f>DP11/BM11</f>
        <v>3.9943161141629269E-3</v>
      </c>
      <c r="DR11" s="169">
        <f>BO11-BN11</f>
        <v>725</v>
      </c>
      <c r="DS11" s="408">
        <f>DR11/BN11</f>
        <v>6.2567421790722761E-3</v>
      </c>
      <c r="DT11" s="169">
        <f>BP11-BO11</f>
        <v>864</v>
      </c>
      <c r="DU11" s="408">
        <f>DT11/BO11</f>
        <v>7.4099485420240137E-3</v>
      </c>
      <c r="DV11" s="169">
        <f>BQ11-BP11</f>
        <v>-171</v>
      </c>
      <c r="DW11" s="408">
        <f>DV11/BP11</f>
        <v>-1.4557651706054622E-3</v>
      </c>
      <c r="DX11" s="169">
        <f>BR11-BQ11</f>
        <v>25274</v>
      </c>
      <c r="DY11" s="408">
        <f>DX11/BQ11</f>
        <v>0.21547747947447846</v>
      </c>
      <c r="DZ11" s="169">
        <f>BS11-BR11</f>
        <v>-25515</v>
      </c>
      <c r="EA11" s="408">
        <f>DZ11/BR11</f>
        <v>-0.17896848499302082</v>
      </c>
      <c r="EB11" s="169">
        <f>BT11-BS11</f>
        <v>419</v>
      </c>
      <c r="EC11" s="408">
        <f>EB11/BS11</f>
        <v>3.5796056453542015E-3</v>
      </c>
      <c r="ED11" s="169">
        <f>BU11-BT11</f>
        <v>1518</v>
      </c>
      <c r="EE11" s="408">
        <f>ED11/BT11</f>
        <v>1.2922338279234875E-2</v>
      </c>
      <c r="EF11" s="169">
        <f>BV11-BU11</f>
        <v>847</v>
      </c>
      <c r="EG11" s="408">
        <f>EF11/BU11</f>
        <v>7.1183050534082979E-3</v>
      </c>
      <c r="EH11" s="169">
        <f>BW11-BV11</f>
        <v>1298</v>
      </c>
      <c r="EI11" s="408">
        <f>EH11/BV11</f>
        <v>1.0831469675222805E-2</v>
      </c>
      <c r="EJ11" s="169">
        <f>BZ11-BW11</f>
        <v>27483</v>
      </c>
      <c r="EK11" s="408">
        <f>EJ11/BW11</f>
        <v>0.22688097478825103</v>
      </c>
      <c r="EL11" s="169">
        <f>CA11-BZ11</f>
        <v>-27436</v>
      </c>
      <c r="EM11" s="408">
        <f>EL11/BZ11</f>
        <v>-0.18460875942859833</v>
      </c>
      <c r="EN11" s="169">
        <f>CB11-CA11</f>
        <v>-526</v>
      </c>
      <c r="EO11" s="408">
        <f>EN11/CA11</f>
        <v>-4.340614452760746E-3</v>
      </c>
      <c r="EP11" s="169">
        <f>CC11-CB11</f>
        <v>70</v>
      </c>
      <c r="EQ11" s="408">
        <f>EP11/CB11</f>
        <v>5.8016659069247021E-4</v>
      </c>
      <c r="ER11" s="169">
        <f>CD11-CC11</f>
        <v>-241</v>
      </c>
      <c r="ES11" s="408">
        <f>ER11/CC11</f>
        <v>-1.9962725201905156E-3</v>
      </c>
      <c r="ET11" s="169">
        <f>CE11-CD11</f>
        <v>26446</v>
      </c>
      <c r="EU11" s="408">
        <f>ET11/CD11</f>
        <v>0.2194980246339763</v>
      </c>
      <c r="EV11" s="169">
        <f>CF11-CE11</f>
        <v>-24253</v>
      </c>
      <c r="EW11" s="408">
        <f>EV11/CE11</f>
        <v>-0.16506499693731708</v>
      </c>
      <c r="EX11" s="169">
        <f>CG11-CF11</f>
        <v>-4064</v>
      </c>
      <c r="EY11" s="408">
        <f>EX11/CF11</f>
        <v>-3.3127644138673099E-2</v>
      </c>
      <c r="EZ11" s="169">
        <f>CH11-CG11</f>
        <v>-620</v>
      </c>
      <c r="FA11" s="408">
        <f>EZ11/CG11</f>
        <v>-5.2270830347432408E-3</v>
      </c>
      <c r="FB11" s="169">
        <f>CI11-CH11</f>
        <v>598</v>
      </c>
      <c r="FC11" s="408">
        <f>FB11/CH11</f>
        <v>5.0680972600069497E-3</v>
      </c>
      <c r="FD11" s="169">
        <f>CJ11-CI11</f>
        <v>241</v>
      </c>
      <c r="FE11" s="408">
        <f>FD11/CI11</f>
        <v>2.0321946859373813E-3</v>
      </c>
      <c r="FF11" s="169">
        <f>CK11-CJ11</f>
        <v>-118832</v>
      </c>
      <c r="FG11" s="408">
        <f>FF11/CJ11</f>
        <v>-1</v>
      </c>
      <c r="FH11" s="207">
        <f>BV11</f>
        <v>119836</v>
      </c>
      <c r="FI11" s="718">
        <f>CJ11</f>
        <v>118832</v>
      </c>
      <c r="FJ11" s="169">
        <f>FI11-FH11</f>
        <v>-1004</v>
      </c>
      <c r="FK11" s="106">
        <f t="shared" ref="FK11" si="86">IF(ISERROR(FJ11/FH11),0,FJ11/FH11)</f>
        <v>-8.3781167595714141E-3</v>
      </c>
      <c r="FL11" s="705"/>
      <c r="FM11" s="705"/>
      <c r="FN11" s="705"/>
      <c r="FP11" s="266" t="e">
        <f>#REF!</f>
        <v>#REF!</v>
      </c>
      <c r="FQ11" s="266" t="e">
        <f>#REF!</f>
        <v>#REF!</v>
      </c>
      <c r="FR11" s="266" t="e">
        <f>#REF!</f>
        <v>#REF!</v>
      </c>
      <c r="FS11" s="266" t="e">
        <f>#REF!</f>
        <v>#REF!</v>
      </c>
      <c r="FT11" s="266" t="e">
        <f>#REF!</f>
        <v>#REF!</v>
      </c>
      <c r="FU11" s="266" t="e">
        <f>#REF!</f>
        <v>#REF!</v>
      </c>
      <c r="FV11" s="266" t="e">
        <f>#REF!</f>
        <v>#REF!</v>
      </c>
      <c r="FW11" s="266" t="e">
        <f>#REF!</f>
        <v>#REF!</v>
      </c>
      <c r="FX11" s="266" t="e">
        <f>#REF!</f>
        <v>#REF!</v>
      </c>
      <c r="FY11" s="266" t="e">
        <f>#REF!</f>
        <v>#REF!</v>
      </c>
      <c r="FZ11" s="266" t="e">
        <f>#REF!</f>
        <v>#REF!</v>
      </c>
      <c r="GA11" s="267">
        <f t="shared" si="74"/>
        <v>111549</v>
      </c>
      <c r="GB11" s="267">
        <f t="shared" si="74"/>
        <v>134889</v>
      </c>
      <c r="GC11" s="267">
        <f t="shared" si="74"/>
        <v>111390</v>
      </c>
      <c r="GD11" s="267">
        <f t="shared" si="74"/>
        <v>111467</v>
      </c>
      <c r="GE11" s="267">
        <f t="shared" si="74"/>
        <v>111297</v>
      </c>
      <c r="GF11" s="267">
        <f t="shared" si="74"/>
        <v>111106</v>
      </c>
      <c r="GG11" s="267">
        <f t="shared" si="74"/>
        <v>111020</v>
      </c>
      <c r="GH11" s="267">
        <f t="shared" si="74"/>
        <v>132508</v>
      </c>
      <c r="GI11" s="267">
        <f t="shared" si="74"/>
        <v>110944</v>
      </c>
      <c r="GJ11" s="267">
        <f t="shared" si="74"/>
        <v>111316</v>
      </c>
      <c r="GK11" s="267">
        <f t="shared" si="74"/>
        <v>111603</v>
      </c>
      <c r="GL11" s="267">
        <f t="shared" si="74"/>
        <v>112436</v>
      </c>
      <c r="GM11" s="267">
        <f t="shared" si="75"/>
        <v>112399</v>
      </c>
      <c r="GN11" s="267">
        <f t="shared" si="75"/>
        <v>133843</v>
      </c>
      <c r="GO11" s="267">
        <f t="shared" si="75"/>
        <v>110716</v>
      </c>
      <c r="GP11" s="267">
        <f t="shared" si="75"/>
        <v>110651</v>
      </c>
      <c r="GQ11" s="267">
        <f t="shared" si="75"/>
        <v>110119</v>
      </c>
      <c r="GR11" s="267">
        <f t="shared" si="75"/>
        <v>109794</v>
      </c>
      <c r="GS11" s="267">
        <f t="shared" si="75"/>
        <v>123268</v>
      </c>
      <c r="GT11" s="267">
        <f t="shared" si="75"/>
        <v>109540</v>
      </c>
      <c r="GU11" s="267">
        <f t="shared" si="75"/>
        <v>109775</v>
      </c>
      <c r="GV11" s="267">
        <f t="shared" si="75"/>
        <v>110455</v>
      </c>
      <c r="GW11" s="267">
        <f t="shared" si="75"/>
        <v>111303</v>
      </c>
      <c r="GX11" s="267">
        <f t="shared" si="75"/>
        <v>136203</v>
      </c>
      <c r="GY11" s="824">
        <f t="shared" si="76"/>
        <v>113834</v>
      </c>
      <c r="GZ11" s="824">
        <f t="shared" si="76"/>
        <v>115414</v>
      </c>
      <c r="HA11" s="824">
        <f t="shared" si="76"/>
        <v>115875</v>
      </c>
      <c r="HB11" s="824">
        <f t="shared" si="76"/>
        <v>116600</v>
      </c>
      <c r="HC11" s="824">
        <f t="shared" si="76"/>
        <v>117464</v>
      </c>
      <c r="HD11" s="824">
        <f t="shared" si="76"/>
        <v>117293</v>
      </c>
      <c r="HE11" s="824">
        <f t="shared" si="76"/>
        <v>142567</v>
      </c>
      <c r="HF11" s="824">
        <f t="shared" si="76"/>
        <v>117052</v>
      </c>
      <c r="HG11" s="824">
        <f t="shared" si="76"/>
        <v>117471</v>
      </c>
      <c r="HH11" s="824">
        <f t="shared" si="76"/>
        <v>118989</v>
      </c>
      <c r="HI11" s="824">
        <f t="shared" si="76"/>
        <v>119836</v>
      </c>
      <c r="HJ11" s="824">
        <f t="shared" si="76"/>
        <v>121134</v>
      </c>
      <c r="HK11" s="952">
        <f>BZ11</f>
        <v>148617</v>
      </c>
      <c r="HL11" s="952">
        <f t="shared" si="77"/>
        <v>121181</v>
      </c>
      <c r="HM11" s="952">
        <f t="shared" si="77"/>
        <v>120655</v>
      </c>
      <c r="HN11" s="952">
        <f t="shared" si="77"/>
        <v>120725</v>
      </c>
      <c r="HO11" s="952">
        <f t="shared" si="77"/>
        <v>120484</v>
      </c>
      <c r="HP11" s="952">
        <f t="shared" si="77"/>
        <v>146930</v>
      </c>
      <c r="HQ11" s="952">
        <f t="shared" si="77"/>
        <v>122677</v>
      </c>
      <c r="HR11" s="952">
        <f t="shared" si="77"/>
        <v>118613</v>
      </c>
      <c r="HS11" s="952">
        <f t="shared" si="77"/>
        <v>117993</v>
      </c>
      <c r="HT11" s="952">
        <f t="shared" si="77"/>
        <v>118591</v>
      </c>
      <c r="HU11" s="952">
        <f t="shared" si="77"/>
        <v>118832</v>
      </c>
      <c r="HV11" s="952">
        <f t="shared" si="77"/>
        <v>0</v>
      </c>
    </row>
    <row r="12" spans="1:230" s="3" customFormat="1" ht="21.75" customHeight="1" x14ac:dyDescent="0.25">
      <c r="A12" s="801">
        <v>2</v>
      </c>
      <c r="B12" s="5" t="s">
        <v>91</v>
      </c>
      <c r="C12" s="5"/>
      <c r="D12" s="5"/>
      <c r="H12" s="375"/>
      <c r="I12" s="197"/>
      <c r="J12" s="18"/>
      <c r="K12" s="197"/>
      <c r="L12" s="18"/>
      <c r="M12" s="197" t="s">
        <v>125</v>
      </c>
      <c r="N12" s="18"/>
      <c r="O12" s="197"/>
      <c r="P12" s="18"/>
      <c r="Q12" s="197"/>
      <c r="R12" s="18"/>
      <c r="S12" s="197"/>
      <c r="T12" s="129"/>
      <c r="U12" s="149"/>
      <c r="V12" s="375"/>
      <c r="W12" s="197"/>
      <c r="X12" s="18"/>
      <c r="Y12" s="197"/>
      <c r="Z12" s="18"/>
      <c r="AA12" s="197" t="s">
        <v>147</v>
      </c>
      <c r="AB12" s="18"/>
      <c r="AC12" s="197"/>
      <c r="AD12" s="18"/>
      <c r="AE12" s="197"/>
      <c r="AF12" s="18"/>
      <c r="AG12" s="197"/>
      <c r="AH12" s="129"/>
      <c r="AI12" s="149"/>
      <c r="AJ12" s="375"/>
      <c r="AK12" s="197"/>
      <c r="AL12" s="18"/>
      <c r="AM12" s="197"/>
      <c r="AN12" s="18"/>
      <c r="AO12" s="197" t="s">
        <v>185</v>
      </c>
      <c r="AP12" s="18"/>
      <c r="AQ12" s="666"/>
      <c r="AR12" s="208"/>
      <c r="AS12" s="197"/>
      <c r="AT12" s="18"/>
      <c r="AU12" s="197" t="s">
        <v>200</v>
      </c>
      <c r="AV12" s="129"/>
      <c r="AW12" s="149"/>
      <c r="AX12" s="375"/>
      <c r="AY12" s="197"/>
      <c r="AZ12" s="18"/>
      <c r="BA12" s="197" t="s">
        <v>206</v>
      </c>
      <c r="BB12" s="208" t="s">
        <v>211</v>
      </c>
      <c r="BC12" s="197"/>
      <c r="BD12" s="208" t="s">
        <v>217</v>
      </c>
      <c r="BE12" s="666"/>
      <c r="BF12" s="18"/>
      <c r="BG12" s="844"/>
      <c r="BH12" s="208" t="s">
        <v>240</v>
      </c>
      <c r="BI12" s="197"/>
      <c r="BJ12" s="129"/>
      <c r="BK12" s="149"/>
      <c r="BL12" s="375"/>
      <c r="BM12" s="197"/>
      <c r="BN12" s="18"/>
      <c r="BO12" s="197"/>
      <c r="BP12" s="208"/>
      <c r="BQ12" s="197"/>
      <c r="BR12" s="208" t="s">
        <v>254</v>
      </c>
      <c r="BS12" s="666"/>
      <c r="BT12" s="18"/>
      <c r="BU12" s="18"/>
      <c r="BV12" s="18"/>
      <c r="BW12" s="208" t="s">
        <v>271</v>
      </c>
      <c r="BX12" s="129"/>
      <c r="BY12" s="149"/>
      <c r="BZ12" s="972"/>
      <c r="CA12" s="197"/>
      <c r="CB12" s="18"/>
      <c r="CC12" s="197"/>
      <c r="CD12" s="208"/>
      <c r="CE12" s="197"/>
      <c r="CF12" s="208" t="s">
        <v>277</v>
      </c>
      <c r="CG12" s="197"/>
      <c r="CH12" s="18"/>
      <c r="CI12" s="208" t="s">
        <v>281</v>
      </c>
      <c r="CJ12" s="18"/>
      <c r="CK12" s="18"/>
      <c r="CL12" s="129"/>
      <c r="CM12" s="149"/>
      <c r="CN12" s="669"/>
      <c r="CO12" s="670"/>
      <c r="CP12" s="669"/>
      <c r="CQ12" s="670"/>
      <c r="CR12" s="669"/>
      <c r="CS12" s="670"/>
      <c r="CT12" s="669"/>
      <c r="CU12" s="670"/>
      <c r="CV12" s="669"/>
      <c r="CW12" s="670"/>
      <c r="CX12" s="669"/>
      <c r="CY12" s="670"/>
      <c r="CZ12" s="669"/>
      <c r="DA12" s="670"/>
      <c r="DB12" s="669"/>
      <c r="DC12" s="670"/>
      <c r="DD12" s="669"/>
      <c r="DE12" s="670"/>
      <c r="DF12" s="669"/>
      <c r="DG12" s="108"/>
      <c r="DH12" s="669"/>
      <c r="DI12" s="670"/>
      <c r="DJ12" s="669"/>
      <c r="DK12" s="670"/>
      <c r="DL12" s="669"/>
      <c r="DM12" s="670"/>
      <c r="DN12" s="322"/>
      <c r="DO12" s="409"/>
      <c r="DP12" s="322"/>
      <c r="DQ12" s="409"/>
      <c r="DR12" s="322"/>
      <c r="DS12" s="409"/>
      <c r="DT12" s="322"/>
      <c r="DU12" s="409"/>
      <c r="DV12" s="322"/>
      <c r="DW12" s="409"/>
      <c r="DX12" s="322"/>
      <c r="DY12" s="409"/>
      <c r="DZ12" s="322"/>
      <c r="EA12" s="409"/>
      <c r="EB12" s="322"/>
      <c r="EC12" s="409"/>
      <c r="ED12" s="322"/>
      <c r="EE12" s="409"/>
      <c r="EF12" s="322"/>
      <c r="EG12" s="409"/>
      <c r="EH12" s="322"/>
      <c r="EI12" s="409"/>
      <c r="EJ12" s="322"/>
      <c r="EK12" s="409"/>
      <c r="EL12" s="322"/>
      <c r="EM12" s="409"/>
      <c r="EN12" s="322"/>
      <c r="EO12" s="409"/>
      <c r="EP12" s="322"/>
      <c r="EQ12" s="409"/>
      <c r="ER12" s="322"/>
      <c r="ES12" s="409"/>
      <c r="ET12" s="322"/>
      <c r="EU12" s="409"/>
      <c r="EV12" s="322"/>
      <c r="EW12" s="409"/>
      <c r="EX12" s="322"/>
      <c r="EY12" s="409"/>
      <c r="EZ12" s="322"/>
      <c r="FA12" s="409"/>
      <c r="FB12" s="322"/>
      <c r="FC12" s="409"/>
      <c r="FD12" s="322"/>
      <c r="FE12" s="409"/>
      <c r="FF12" s="322"/>
      <c r="FG12" s="409"/>
      <c r="FH12" s="208"/>
      <c r="FI12" s="719"/>
      <c r="FJ12" s="107"/>
      <c r="FK12" s="108"/>
      <c r="FL12" s="706"/>
      <c r="FM12" s="706"/>
      <c r="FN12" s="706"/>
      <c r="FP12" s="268"/>
      <c r="FQ12" s="268"/>
      <c r="FR12" s="268"/>
      <c r="FS12" s="268"/>
      <c r="FT12" s="268"/>
      <c r="FU12" s="268"/>
      <c r="FV12" s="268"/>
      <c r="FW12" s="268"/>
      <c r="FX12" s="268"/>
      <c r="FY12" s="268"/>
      <c r="FZ12" s="268"/>
      <c r="GA12" s="269"/>
      <c r="GB12" s="269"/>
      <c r="GC12" s="269"/>
      <c r="GD12" s="269"/>
      <c r="GE12" s="269"/>
      <c r="GF12" s="269"/>
      <c r="GG12" s="269"/>
      <c r="GH12" s="269"/>
      <c r="GI12" s="269"/>
      <c r="GJ12" s="269"/>
      <c r="GK12" s="269"/>
      <c r="GL12" s="269"/>
      <c r="GM12" s="269"/>
      <c r="GN12" s="269"/>
      <c r="GO12" s="269"/>
      <c r="GP12" s="269"/>
      <c r="GQ12" s="269"/>
      <c r="GR12" s="269"/>
      <c r="GS12" s="269"/>
      <c r="GT12" s="269"/>
      <c r="GU12" s="269"/>
      <c r="GV12" s="269"/>
      <c r="GW12" s="269"/>
      <c r="GX12" s="269"/>
      <c r="GY12" s="825"/>
      <c r="GZ12" s="825"/>
      <c r="HA12" s="825"/>
      <c r="HB12" s="825"/>
      <c r="HC12" s="825"/>
      <c r="HD12" s="825"/>
      <c r="HE12" s="825"/>
      <c r="HF12" s="825"/>
      <c r="HG12" s="825"/>
      <c r="HH12" s="825"/>
      <c r="HI12" s="825"/>
      <c r="HJ12" s="825"/>
      <c r="HK12" s="953"/>
      <c r="HL12" s="953"/>
      <c r="HM12" s="953"/>
      <c r="HN12" s="953"/>
      <c r="HO12" s="953"/>
      <c r="HP12" s="953"/>
      <c r="HQ12" s="953"/>
      <c r="HR12" s="953"/>
      <c r="HS12" s="953"/>
      <c r="HT12" s="953"/>
      <c r="HU12" s="953"/>
      <c r="HV12" s="953"/>
    </row>
    <row r="13" spans="1:230" x14ac:dyDescent="0.25">
      <c r="A13" s="802"/>
      <c r="B13" s="56">
        <v>2.1</v>
      </c>
      <c r="C13" s="13"/>
      <c r="D13" s="13"/>
      <c r="E13" s="1044" t="s">
        <v>0</v>
      </c>
      <c r="F13" s="1044"/>
      <c r="G13" s="1045"/>
      <c r="H13" s="376">
        <v>4644</v>
      </c>
      <c r="I13" s="70">
        <v>4212</v>
      </c>
      <c r="J13" s="23">
        <v>4207</v>
      </c>
      <c r="K13" s="70">
        <v>5332</v>
      </c>
      <c r="L13" s="23">
        <v>4178</v>
      </c>
      <c r="M13" s="70">
        <v>4318</v>
      </c>
      <c r="N13" s="23">
        <v>4881</v>
      </c>
      <c r="O13" s="70">
        <v>4718</v>
      </c>
      <c r="P13" s="23">
        <v>4115</v>
      </c>
      <c r="Q13" s="70">
        <v>3504</v>
      </c>
      <c r="R13" s="23">
        <v>4622</v>
      </c>
      <c r="S13" s="70">
        <v>4494</v>
      </c>
      <c r="T13" s="130">
        <v>53225</v>
      </c>
      <c r="U13" s="163">
        <v>4435.416666666667</v>
      </c>
      <c r="V13" s="376">
        <v>3937</v>
      </c>
      <c r="W13" s="70">
        <v>3959</v>
      </c>
      <c r="X13" s="23">
        <v>3449</v>
      </c>
      <c r="Y13" s="70">
        <v>4321</v>
      </c>
      <c r="Z13" s="23">
        <v>3529</v>
      </c>
      <c r="AA13" s="70">
        <v>3652</v>
      </c>
      <c r="AB13" s="23">
        <v>4338</v>
      </c>
      <c r="AC13" s="70">
        <v>4070</v>
      </c>
      <c r="AD13" s="23">
        <v>4434</v>
      </c>
      <c r="AE13" s="70">
        <v>3596</v>
      </c>
      <c r="AF13" s="23">
        <v>3377</v>
      </c>
      <c r="AG13" s="70">
        <v>3216</v>
      </c>
      <c r="AH13" s="130">
        <v>45878</v>
      </c>
      <c r="AI13" s="163">
        <v>3823.1666666666665</v>
      </c>
      <c r="AJ13" s="376">
        <v>3691</v>
      </c>
      <c r="AK13" s="70">
        <v>3834</v>
      </c>
      <c r="AL13" s="23">
        <v>3207</v>
      </c>
      <c r="AM13" s="70">
        <v>6645</v>
      </c>
      <c r="AN13" s="23">
        <v>3734</v>
      </c>
      <c r="AO13" s="70">
        <v>3362</v>
      </c>
      <c r="AP13" s="23">
        <v>4341</v>
      </c>
      <c r="AQ13" s="70">
        <v>4075</v>
      </c>
      <c r="AR13" s="23">
        <v>3500</v>
      </c>
      <c r="AS13" s="70">
        <v>3784</v>
      </c>
      <c r="AT13" s="23">
        <v>5608</v>
      </c>
      <c r="AU13" s="70">
        <v>3875</v>
      </c>
      <c r="AV13" s="130">
        <f>SUM(AJ13:AU13)</f>
        <v>49656</v>
      </c>
      <c r="AW13" s="163">
        <f t="shared" ref="AW13:AW20" si="87">SUM(AJ13:AU13)/$AV$4</f>
        <v>4138</v>
      </c>
      <c r="AX13" s="376">
        <v>4291</v>
      </c>
      <c r="AY13" s="70">
        <v>4156</v>
      </c>
      <c r="AZ13" s="23">
        <v>5289</v>
      </c>
      <c r="BA13" s="70">
        <v>15475</v>
      </c>
      <c r="BB13" s="23">
        <v>6437</v>
      </c>
      <c r="BC13" s="70">
        <v>5379</v>
      </c>
      <c r="BD13" s="23">
        <v>5911</v>
      </c>
      <c r="BE13" s="70">
        <v>4150</v>
      </c>
      <c r="BF13" s="23">
        <v>3916</v>
      </c>
      <c r="BG13" s="70">
        <v>3707</v>
      </c>
      <c r="BH13" s="23">
        <v>3533</v>
      </c>
      <c r="BI13" s="70">
        <v>3726</v>
      </c>
      <c r="BJ13" s="130">
        <f>SUM(AX13:BI13)</f>
        <v>65970</v>
      </c>
      <c r="BK13" s="163">
        <f t="shared" ref="BK13:BK20" si="88">SUM(AX13:BI13)/$BJ$4</f>
        <v>5497.5</v>
      </c>
      <c r="BL13" s="376">
        <v>4001</v>
      </c>
      <c r="BM13" s="70">
        <v>3759</v>
      </c>
      <c r="BN13" s="23">
        <v>4220</v>
      </c>
      <c r="BO13" s="70">
        <v>11614</v>
      </c>
      <c r="BP13" s="23">
        <v>3720</v>
      </c>
      <c r="BQ13" s="70">
        <v>3916</v>
      </c>
      <c r="BR13" s="23">
        <v>5001</v>
      </c>
      <c r="BS13" s="70">
        <v>3916</v>
      </c>
      <c r="BT13" s="23">
        <v>4232</v>
      </c>
      <c r="BU13" s="23">
        <v>4958</v>
      </c>
      <c r="BV13" s="23">
        <v>3507</v>
      </c>
      <c r="BW13" s="23">
        <v>3520</v>
      </c>
      <c r="BX13" s="130">
        <f>SUM(BL13:BW13)</f>
        <v>56364</v>
      </c>
      <c r="BY13" s="163">
        <f t="shared" ref="BY13:BY20" si="89">SUM(BL13:BW13)/$BX$4</f>
        <v>4697</v>
      </c>
      <c r="BZ13" s="23">
        <v>3346</v>
      </c>
      <c r="CA13" s="70">
        <v>3041</v>
      </c>
      <c r="CB13" s="23">
        <v>3412</v>
      </c>
      <c r="CC13" s="70">
        <v>3991</v>
      </c>
      <c r="CD13" s="23">
        <v>3680</v>
      </c>
      <c r="CE13" s="70">
        <v>3609</v>
      </c>
      <c r="CF13" s="23">
        <v>3651</v>
      </c>
      <c r="CG13" s="70">
        <v>3966</v>
      </c>
      <c r="CH13" s="23">
        <v>3630</v>
      </c>
      <c r="CI13" s="23">
        <v>3182</v>
      </c>
      <c r="CJ13" s="23">
        <v>3039</v>
      </c>
      <c r="CK13" s="23"/>
      <c r="CL13" s="130">
        <f>SUM(BZ13:CK13)</f>
        <v>38547</v>
      </c>
      <c r="CM13" s="163">
        <f t="shared" ref="CM13:CM20" si="90">SUM(BZ13:CK13)/$CL$4</f>
        <v>3504.2727272727275</v>
      </c>
      <c r="CN13" s="671">
        <f t="shared" ref="CN13:CN20" si="91">AX13-AU13</f>
        <v>416</v>
      </c>
      <c r="CO13" s="672">
        <f t="shared" ref="CO13:CO20" si="92">CN13/AU13</f>
        <v>0.10735483870967742</v>
      </c>
      <c r="CP13" s="671">
        <f t="shared" ref="CP13:CP20" si="93">AY13-AX13</f>
        <v>-135</v>
      </c>
      <c r="CQ13" s="672">
        <f t="shared" ref="CQ13:CQ20" si="94">CP13/AX13</f>
        <v>-3.1461197855977625E-2</v>
      </c>
      <c r="CR13" s="671">
        <f t="shared" ref="CR13:CR20" si="95">AZ13-AY13</f>
        <v>1133</v>
      </c>
      <c r="CS13" s="672">
        <f t="shared" ref="CS13:CS20" si="96">CR13/AY13</f>
        <v>0.2726179018286814</v>
      </c>
      <c r="CT13" s="671">
        <f t="shared" ref="CT13:CT20" si="97">BA13-AZ13</f>
        <v>10186</v>
      </c>
      <c r="CU13" s="672">
        <f t="shared" ref="CU13:CU20" si="98">CT13/AZ13</f>
        <v>1.9258839100018907</v>
      </c>
      <c r="CV13" s="671">
        <f t="shared" ref="CV13:CV20" si="99">BB13-BA13</f>
        <v>-9038</v>
      </c>
      <c r="CW13" s="672">
        <f t="shared" ref="CW13:CW20" si="100">CV13/BA13</f>
        <v>-0.58403877221324718</v>
      </c>
      <c r="CX13" s="671">
        <f t="shared" ref="CX13:CX20" si="101">BC13-BB13</f>
        <v>-1058</v>
      </c>
      <c r="CY13" s="672">
        <f t="shared" ref="CY13:CY20" si="102">CX13/BB13</f>
        <v>-0.1643622805654808</v>
      </c>
      <c r="CZ13" s="671">
        <f t="shared" ref="CZ13:CZ20" si="103">BD13-BC13</f>
        <v>532</v>
      </c>
      <c r="DA13" s="672">
        <f t="shared" ref="DA13:DA20" si="104">CZ13/BC13</f>
        <v>9.8903141847927117E-2</v>
      </c>
      <c r="DB13" s="671">
        <f t="shared" ref="DB13:DB20" si="105">BE13-BD13</f>
        <v>-1761</v>
      </c>
      <c r="DC13" s="672">
        <f t="shared" ref="DC13:DC20" si="106">DB13/BD13</f>
        <v>-0.29791913381830487</v>
      </c>
      <c r="DD13" s="671">
        <f t="shared" ref="DD13:DD20" si="107">BF13-BE13</f>
        <v>-234</v>
      </c>
      <c r="DE13" s="672">
        <f t="shared" ref="DE13:DE20" si="108">DD13/BE13</f>
        <v>-5.6385542168674696E-2</v>
      </c>
      <c r="DF13" s="671">
        <f t="shared" ref="DF13:DF20" si="109">BG13-BF13</f>
        <v>-209</v>
      </c>
      <c r="DG13" s="109">
        <f t="shared" ref="DG13:DG20" si="110">DF13/BF13</f>
        <v>-5.3370786516853931E-2</v>
      </c>
      <c r="DH13" s="671">
        <f t="shared" ref="DH13:DH20" si="111">BH13-BG13</f>
        <v>-174</v>
      </c>
      <c r="DI13" s="672">
        <f t="shared" ref="DI13:DI20" si="112">DH13/BG13</f>
        <v>-4.6938224979768003E-2</v>
      </c>
      <c r="DJ13" s="671">
        <f t="shared" ref="DJ13:DJ20" si="113">BI13-BH13</f>
        <v>193</v>
      </c>
      <c r="DK13" s="672">
        <f t="shared" ref="DK13:DK20" si="114">DJ13/BH13</f>
        <v>5.4627795075007077E-2</v>
      </c>
      <c r="DL13" s="671">
        <f t="shared" ref="DL13:DL20" si="115">BL13-BI13</f>
        <v>275</v>
      </c>
      <c r="DM13" s="672">
        <f t="shared" ref="DM13:DM20" si="116">DL13/BI13</f>
        <v>7.3805689747718728E-2</v>
      </c>
      <c r="DN13" s="323">
        <f t="shared" ref="DN13:DN20" si="117">BM13-BL13</f>
        <v>-242</v>
      </c>
      <c r="DO13" s="410">
        <f t="shared" ref="DO13:DO20" si="118">DN13/BL13</f>
        <v>-6.0484878780304924E-2</v>
      </c>
      <c r="DP13" s="323">
        <f t="shared" ref="DP13:DP20" si="119">BN13-BM13</f>
        <v>461</v>
      </c>
      <c r="DQ13" s="410">
        <f t="shared" ref="DQ13:DQ20" si="120">DP13/BM13</f>
        <v>0.1226389997339718</v>
      </c>
      <c r="DR13" s="323">
        <f t="shared" ref="DR13:DR20" si="121">BO13-BN13</f>
        <v>7394</v>
      </c>
      <c r="DS13" s="410">
        <f t="shared" ref="DS13:DS20" si="122">DR13/BN13</f>
        <v>1.7521327014218009</v>
      </c>
      <c r="DT13" s="323">
        <f t="shared" ref="DT13:DT20" si="123">BP13-BO13</f>
        <v>-7894</v>
      </c>
      <c r="DU13" s="410">
        <f t="shared" ref="DU13:DU20" si="124">DT13/BO13</f>
        <v>-0.67969691751334593</v>
      </c>
      <c r="DV13" s="323">
        <f t="shared" ref="DV13:DV20" si="125">BQ13-BP13</f>
        <v>196</v>
      </c>
      <c r="DW13" s="410">
        <f t="shared" ref="DW13:DW20" si="126">DV13/BP13</f>
        <v>5.2688172043010753E-2</v>
      </c>
      <c r="DX13" s="323">
        <f t="shared" ref="DX13:DX20" si="127">BR13-BQ13</f>
        <v>1085</v>
      </c>
      <c r="DY13" s="410">
        <f t="shared" ref="DY13:DY20" si="128">DX13/BQ13</f>
        <v>0.27706843718079671</v>
      </c>
      <c r="DZ13" s="323">
        <f t="shared" ref="DZ13:DZ20" si="129">BS13-BR13</f>
        <v>-1085</v>
      </c>
      <c r="EA13" s="410">
        <f t="shared" ref="EA13:EA20" si="130">DZ13/BR13</f>
        <v>-0.21695660867826436</v>
      </c>
      <c r="EB13" s="323">
        <f t="shared" ref="EB13:EB20" si="131">BT13-BS13</f>
        <v>316</v>
      </c>
      <c r="EC13" s="410">
        <f t="shared" ref="EC13:EC20" si="132">EB13/BS13</f>
        <v>8.0694586312563835E-2</v>
      </c>
      <c r="ED13" s="323">
        <f t="shared" ref="ED13:ED20" si="133">BU13-BT13</f>
        <v>726</v>
      </c>
      <c r="EE13" s="410">
        <f t="shared" ref="EE13:EE20" si="134">ED13/BT13</f>
        <v>0.17155009451795841</v>
      </c>
      <c r="EF13" s="323">
        <f t="shared" ref="EF13:EF20" si="135">BV13-BU13</f>
        <v>-1451</v>
      </c>
      <c r="EG13" s="410">
        <f t="shared" ref="EG13:EG20" si="136">EF13/BU13</f>
        <v>-0.29265832997176283</v>
      </c>
      <c r="EH13" s="323">
        <f t="shared" ref="EH13:EH20" si="137">BW13-BV13</f>
        <v>13</v>
      </c>
      <c r="EI13" s="410">
        <f t="shared" ref="EI13:EI20" si="138">EH13/BV13</f>
        <v>3.7068719703450244E-3</v>
      </c>
      <c r="EJ13" s="323">
        <f t="shared" ref="EJ13:EJ20" si="139">BZ13-BW13</f>
        <v>-174</v>
      </c>
      <c r="EK13" s="410">
        <f t="shared" ref="EK13:EK20" si="140">EJ13/BW13</f>
        <v>-4.9431818181818181E-2</v>
      </c>
      <c r="EL13" s="323">
        <f t="shared" ref="EL13:EL20" si="141">CA13-BZ13</f>
        <v>-305</v>
      </c>
      <c r="EM13" s="410">
        <f t="shared" ref="EM13:EM20" si="142">EL13/BZ13</f>
        <v>-9.1153616258218773E-2</v>
      </c>
      <c r="EN13" s="323">
        <f t="shared" ref="EN13:EN20" si="143">CB13-CA13</f>
        <v>371</v>
      </c>
      <c r="EO13" s="410">
        <f t="shared" ref="EO13:EO20" si="144">EN13/CA13</f>
        <v>0.12199934232160474</v>
      </c>
      <c r="EP13" s="323">
        <f t="shared" ref="EP13:EP20" si="145">CC13-CB13</f>
        <v>579</v>
      </c>
      <c r="EQ13" s="410">
        <f t="shared" ref="EQ13:EQ20" si="146">EP13/CB13</f>
        <v>0.16969519343493553</v>
      </c>
      <c r="ER13" s="323">
        <f t="shared" ref="ER13:ER20" si="147">CD13-CC13</f>
        <v>-311</v>
      </c>
      <c r="ES13" s="410">
        <f t="shared" ref="ES13:ES20" si="148">ER13/CC13</f>
        <v>-7.7925331996993238E-2</v>
      </c>
      <c r="ET13" s="323">
        <f t="shared" ref="ET13:ET20" si="149">CE13-CD13</f>
        <v>-71</v>
      </c>
      <c r="EU13" s="410">
        <f t="shared" ref="EU13:EU20" si="150">ET13/CD13</f>
        <v>-1.9293478260869565E-2</v>
      </c>
      <c r="EV13" s="323">
        <f t="shared" ref="EV13:EV20" si="151">CF13-CE13</f>
        <v>42</v>
      </c>
      <c r="EW13" s="410">
        <f t="shared" ref="EW13:EW20" si="152">EV13/CE13</f>
        <v>1.1637572734829594E-2</v>
      </c>
      <c r="EX13" s="323">
        <f t="shared" ref="EX13:EX20" si="153">CG13-CF13</f>
        <v>315</v>
      </c>
      <c r="EY13" s="410">
        <f t="shared" ref="EY13:EY20" si="154">EX13/CF13</f>
        <v>8.6277732128184056E-2</v>
      </c>
      <c r="EZ13" s="323">
        <f t="shared" ref="EZ13:EZ20" si="155">CH13-CG13</f>
        <v>-336</v>
      </c>
      <c r="FA13" s="410">
        <f t="shared" ref="FA13:FA20" si="156">EZ13/CG13</f>
        <v>-8.4720121028744322E-2</v>
      </c>
      <c r="FB13" s="323">
        <f t="shared" ref="FB13:FB20" si="157">CI13-CH13</f>
        <v>-448</v>
      </c>
      <c r="FC13" s="410">
        <f t="shared" ref="FC13:FC20" si="158">FB13/CH13</f>
        <v>-0.12341597796143251</v>
      </c>
      <c r="FD13" s="323">
        <f t="shared" ref="FD13:FD20" si="159">CJ13-CI13</f>
        <v>-143</v>
      </c>
      <c r="FE13" s="410">
        <f t="shared" ref="FE13:FE20" si="160">FD13/CI13</f>
        <v>-4.4940289126335638E-2</v>
      </c>
      <c r="FF13" s="323">
        <f t="shared" ref="FF13:FF20" si="161">CK13-CJ13</f>
        <v>-3039</v>
      </c>
      <c r="FG13" s="410">
        <f t="shared" ref="FG13:FG20" si="162">FF13/CJ13</f>
        <v>-1</v>
      </c>
      <c r="FH13" s="209">
        <f t="shared" ref="FH13:FH20" si="163">BV13</f>
        <v>3507</v>
      </c>
      <c r="FI13" s="720">
        <f t="shared" ref="FI13:FI20" si="164">CJ13</f>
        <v>3039</v>
      </c>
      <c r="FJ13" s="671">
        <f>FI13-FH13</f>
        <v>-468</v>
      </c>
      <c r="FK13" s="109">
        <f t="shared" ref="FK13:FK17" si="165">IF(ISERROR(FJ13/FH13),0,FJ13/FH13)</f>
        <v>-0.13344739093242086</v>
      </c>
      <c r="FL13" s="707"/>
      <c r="FM13" s="707"/>
      <c r="FN13" s="707"/>
      <c r="FO13" t="str">
        <f t="shared" ref="FO13:FO20" si="166">E13</f>
        <v>Number of Calls</v>
      </c>
      <c r="FP13" s="270" t="e">
        <f>#REF!</f>
        <v>#REF!</v>
      </c>
      <c r="FQ13" s="270" t="e">
        <f>#REF!</f>
        <v>#REF!</v>
      </c>
      <c r="FR13" s="270" t="e">
        <f>#REF!</f>
        <v>#REF!</v>
      </c>
      <c r="FS13" s="270" t="e">
        <f>#REF!</f>
        <v>#REF!</v>
      </c>
      <c r="FT13" s="270" t="e">
        <f>#REF!</f>
        <v>#REF!</v>
      </c>
      <c r="FU13" s="270" t="e">
        <f>#REF!</f>
        <v>#REF!</v>
      </c>
      <c r="FV13" s="270" t="e">
        <f>#REF!</f>
        <v>#REF!</v>
      </c>
      <c r="FW13" s="270" t="e">
        <f>#REF!</f>
        <v>#REF!</v>
      </c>
      <c r="FX13" s="270" t="e">
        <f>#REF!</f>
        <v>#REF!</v>
      </c>
      <c r="FY13" s="270" t="e">
        <f>#REF!</f>
        <v>#REF!</v>
      </c>
      <c r="FZ13" s="270" t="e">
        <f>#REF!</f>
        <v>#REF!</v>
      </c>
      <c r="GA13" s="271">
        <f t="shared" ref="GA13:GL20" si="167">AJ13</f>
        <v>3691</v>
      </c>
      <c r="GB13" s="271">
        <f t="shared" si="167"/>
        <v>3834</v>
      </c>
      <c r="GC13" s="271">
        <f t="shared" si="167"/>
        <v>3207</v>
      </c>
      <c r="GD13" s="271">
        <f t="shared" si="167"/>
        <v>6645</v>
      </c>
      <c r="GE13" s="271">
        <f t="shared" si="167"/>
        <v>3734</v>
      </c>
      <c r="GF13" s="271">
        <f t="shared" si="167"/>
        <v>3362</v>
      </c>
      <c r="GG13" s="271">
        <f t="shared" si="167"/>
        <v>4341</v>
      </c>
      <c r="GH13" s="271">
        <f t="shared" si="167"/>
        <v>4075</v>
      </c>
      <c r="GI13" s="271">
        <f t="shared" si="167"/>
        <v>3500</v>
      </c>
      <c r="GJ13" s="271">
        <f t="shared" si="167"/>
        <v>3784</v>
      </c>
      <c r="GK13" s="271">
        <f t="shared" si="167"/>
        <v>5608</v>
      </c>
      <c r="GL13" s="271">
        <f t="shared" si="167"/>
        <v>3875</v>
      </c>
      <c r="GM13" s="271">
        <f t="shared" ref="GM13:GX20" si="168">AX13</f>
        <v>4291</v>
      </c>
      <c r="GN13" s="271">
        <f t="shared" si="168"/>
        <v>4156</v>
      </c>
      <c r="GO13" s="271">
        <f t="shared" si="168"/>
        <v>5289</v>
      </c>
      <c r="GP13" s="271">
        <f t="shared" si="168"/>
        <v>15475</v>
      </c>
      <c r="GQ13" s="271">
        <f t="shared" si="168"/>
        <v>6437</v>
      </c>
      <c r="GR13" s="271">
        <f t="shared" si="168"/>
        <v>5379</v>
      </c>
      <c r="GS13" s="271">
        <f t="shared" si="168"/>
        <v>5911</v>
      </c>
      <c r="GT13" s="271">
        <f t="shared" si="168"/>
        <v>4150</v>
      </c>
      <c r="GU13" s="271">
        <f t="shared" si="168"/>
        <v>3916</v>
      </c>
      <c r="GV13" s="271">
        <f t="shared" si="168"/>
        <v>3707</v>
      </c>
      <c r="GW13" s="271">
        <f t="shared" si="168"/>
        <v>3533</v>
      </c>
      <c r="GX13" s="271">
        <f t="shared" si="168"/>
        <v>3726</v>
      </c>
      <c r="GY13" s="826">
        <f t="shared" ref="GY13:HJ20" si="169">BL13</f>
        <v>4001</v>
      </c>
      <c r="GZ13" s="826">
        <f t="shared" si="169"/>
        <v>3759</v>
      </c>
      <c r="HA13" s="826">
        <f t="shared" si="169"/>
        <v>4220</v>
      </c>
      <c r="HB13" s="826">
        <f t="shared" si="169"/>
        <v>11614</v>
      </c>
      <c r="HC13" s="826">
        <f t="shared" si="169"/>
        <v>3720</v>
      </c>
      <c r="HD13" s="826">
        <f t="shared" si="169"/>
        <v>3916</v>
      </c>
      <c r="HE13" s="826">
        <f t="shared" si="169"/>
        <v>5001</v>
      </c>
      <c r="HF13" s="826">
        <f t="shared" si="169"/>
        <v>3916</v>
      </c>
      <c r="HG13" s="826">
        <f t="shared" si="169"/>
        <v>4232</v>
      </c>
      <c r="HH13" s="826">
        <f t="shared" si="169"/>
        <v>4958</v>
      </c>
      <c r="HI13" s="826">
        <f t="shared" si="169"/>
        <v>3507</v>
      </c>
      <c r="HJ13" s="826">
        <f t="shared" si="169"/>
        <v>3520</v>
      </c>
      <c r="HK13" s="954">
        <f t="shared" ref="HK13:HK20" si="170">BZ13</f>
        <v>3346</v>
      </c>
      <c r="HL13" s="954">
        <f t="shared" ref="HL13:HV20" si="171">CA13</f>
        <v>3041</v>
      </c>
      <c r="HM13" s="954">
        <f t="shared" si="171"/>
        <v>3412</v>
      </c>
      <c r="HN13" s="954">
        <f t="shared" si="171"/>
        <v>3991</v>
      </c>
      <c r="HO13" s="954">
        <f t="shared" si="171"/>
        <v>3680</v>
      </c>
      <c r="HP13" s="954">
        <f t="shared" si="171"/>
        <v>3609</v>
      </c>
      <c r="HQ13" s="954">
        <f t="shared" si="171"/>
        <v>3651</v>
      </c>
      <c r="HR13" s="954">
        <f t="shared" si="171"/>
        <v>3966</v>
      </c>
      <c r="HS13" s="954">
        <f t="shared" si="171"/>
        <v>3630</v>
      </c>
      <c r="HT13" s="954">
        <f t="shared" si="171"/>
        <v>3182</v>
      </c>
      <c r="HU13" s="954">
        <f t="shared" si="171"/>
        <v>3039</v>
      </c>
      <c r="HV13" s="954">
        <f t="shared" si="171"/>
        <v>0</v>
      </c>
    </row>
    <row r="14" spans="1:230" x14ac:dyDescent="0.25">
      <c r="A14" s="802"/>
      <c r="B14" s="56">
        <v>2.2000000000000002</v>
      </c>
      <c r="C14" s="13"/>
      <c r="D14" s="13"/>
      <c r="E14" s="1044" t="s">
        <v>32</v>
      </c>
      <c r="F14" s="1044"/>
      <c r="G14" s="1045"/>
      <c r="H14" s="377">
        <v>221.14285714285714</v>
      </c>
      <c r="I14" s="79">
        <v>191.45454545454547</v>
      </c>
      <c r="J14" s="80">
        <v>191.22727272727272</v>
      </c>
      <c r="K14" s="79">
        <v>253.9047619047619</v>
      </c>
      <c r="L14" s="80">
        <v>219.89473684210526</v>
      </c>
      <c r="M14" s="79">
        <v>227.26315789473685</v>
      </c>
      <c r="N14" s="80">
        <v>244.05</v>
      </c>
      <c r="O14" s="79">
        <v>235.9</v>
      </c>
      <c r="P14" s="80">
        <v>178.91304347826087</v>
      </c>
      <c r="Q14" s="79">
        <v>184.42105263157896</v>
      </c>
      <c r="R14" s="80">
        <v>220.0952380952381</v>
      </c>
      <c r="S14" s="79">
        <v>204.27272727272728</v>
      </c>
      <c r="T14" s="131" t="s">
        <v>29</v>
      </c>
      <c r="U14" s="163">
        <v>214.37828278700704</v>
      </c>
      <c r="V14" s="377">
        <f>V13/V3</f>
        <v>196.85</v>
      </c>
      <c r="W14" s="79">
        <f>W13/W3</f>
        <v>172.13043478260869</v>
      </c>
      <c r="X14" s="80">
        <f>X13/X3</f>
        <v>164.23809523809524</v>
      </c>
      <c r="Y14" s="79">
        <f>Y13/Y3</f>
        <v>205.76190476190476</v>
      </c>
      <c r="Z14" s="80">
        <v>185.73684210526315</v>
      </c>
      <c r="AA14" s="79">
        <v>192.21052631578948</v>
      </c>
      <c r="AB14" s="80">
        <v>216.9</v>
      </c>
      <c r="AC14" s="79">
        <v>193.8095238095238</v>
      </c>
      <c r="AD14" s="80">
        <v>201.54545454545453</v>
      </c>
      <c r="AE14" s="79">
        <v>179.8</v>
      </c>
      <c r="AF14" s="80">
        <v>146.82608695652175</v>
      </c>
      <c r="AG14" s="79">
        <v>153.14285714285714</v>
      </c>
      <c r="AH14" s="131" t="s">
        <v>29</v>
      </c>
      <c r="AI14" s="163">
        <v>184.07931047150157</v>
      </c>
      <c r="AJ14" s="377">
        <f t="shared" ref="AJ14:AU14" si="172">AJ13/AJ3</f>
        <v>167.77272727272728</v>
      </c>
      <c r="AK14" s="79">
        <f t="shared" si="172"/>
        <v>166.69565217391303</v>
      </c>
      <c r="AL14" s="80">
        <f t="shared" si="172"/>
        <v>160.35</v>
      </c>
      <c r="AM14" s="79">
        <f t="shared" si="172"/>
        <v>288.91304347826087</v>
      </c>
      <c r="AN14" s="80">
        <f t="shared" si="172"/>
        <v>196.52631578947367</v>
      </c>
      <c r="AO14" s="79">
        <f t="shared" si="172"/>
        <v>186.77777777777777</v>
      </c>
      <c r="AP14" s="80">
        <f t="shared" si="172"/>
        <v>206.71428571428572</v>
      </c>
      <c r="AQ14" s="79">
        <f t="shared" si="172"/>
        <v>203.75</v>
      </c>
      <c r="AR14" s="80">
        <f t="shared" si="172"/>
        <v>175</v>
      </c>
      <c r="AS14" s="79">
        <f t="shared" si="172"/>
        <v>172</v>
      </c>
      <c r="AT14" s="80">
        <f t="shared" si="172"/>
        <v>254.90909090909091</v>
      </c>
      <c r="AU14" s="79">
        <f t="shared" si="172"/>
        <v>193.75</v>
      </c>
      <c r="AV14" s="131" t="s">
        <v>29</v>
      </c>
      <c r="AW14" s="163">
        <f t="shared" si="87"/>
        <v>197.76324109296078</v>
      </c>
      <c r="AX14" s="377">
        <f t="shared" ref="AX14:BH14" si="173">AX13/AX3</f>
        <v>195.04545454545453</v>
      </c>
      <c r="AY14" s="79">
        <f t="shared" si="173"/>
        <v>188.90909090909091</v>
      </c>
      <c r="AZ14" s="80">
        <f t="shared" si="173"/>
        <v>264.45</v>
      </c>
      <c r="BA14" s="79">
        <f t="shared" si="173"/>
        <v>672.82608695652175</v>
      </c>
      <c r="BB14" s="80">
        <f t="shared" si="173"/>
        <v>357.61111111111109</v>
      </c>
      <c r="BC14" s="79">
        <f t="shared" si="173"/>
        <v>283.10526315789474</v>
      </c>
      <c r="BD14" s="80">
        <f t="shared" si="173"/>
        <v>281.47619047619048</v>
      </c>
      <c r="BE14" s="79">
        <f t="shared" si="173"/>
        <v>207.5</v>
      </c>
      <c r="BF14" s="80">
        <f t="shared" si="173"/>
        <v>186.47619047619048</v>
      </c>
      <c r="BG14" s="79">
        <f t="shared" si="173"/>
        <v>176.52380952380952</v>
      </c>
      <c r="BH14" s="80">
        <f t="shared" si="173"/>
        <v>160.59090909090909</v>
      </c>
      <c r="BI14" s="79">
        <f t="shared" ref="BI14" si="174">BI13/BI3</f>
        <v>177.42857142857142</v>
      </c>
      <c r="BJ14" s="131" t="s">
        <v>29</v>
      </c>
      <c r="BK14" s="163">
        <f t="shared" si="88"/>
        <v>262.66188980631199</v>
      </c>
      <c r="BL14" s="377">
        <f t="shared" ref="BL14:BU14" si="175">BL13/BL3</f>
        <v>181.86363636363637</v>
      </c>
      <c r="BM14" s="79">
        <f t="shared" ref="BM14:BN14" si="176">BM13/BM3</f>
        <v>179</v>
      </c>
      <c r="BN14" s="80">
        <f t="shared" si="176"/>
        <v>200.95238095238096</v>
      </c>
      <c r="BO14" s="79">
        <f t="shared" si="175"/>
        <v>504.95652173913044</v>
      </c>
      <c r="BP14" s="80">
        <f t="shared" si="175"/>
        <v>218.8235294117647</v>
      </c>
      <c r="BQ14" s="79">
        <f t="shared" ref="BQ14:BR14" si="177">BQ13/BQ3</f>
        <v>195.8</v>
      </c>
      <c r="BR14" s="80">
        <f t="shared" si="177"/>
        <v>250.05</v>
      </c>
      <c r="BS14" s="79">
        <f t="shared" si="175"/>
        <v>195.8</v>
      </c>
      <c r="BT14" s="80">
        <f t="shared" ref="BT14" si="178">BT13/BT3</f>
        <v>192.36363636363637</v>
      </c>
      <c r="BU14" s="80">
        <f t="shared" si="175"/>
        <v>236.0952380952381</v>
      </c>
      <c r="BV14" s="80">
        <f t="shared" ref="BV14:BW14" si="179">BV13/BV3</f>
        <v>175.35</v>
      </c>
      <c r="BW14" s="80">
        <f t="shared" si="179"/>
        <v>160</v>
      </c>
      <c r="BX14" s="131" t="s">
        <v>29</v>
      </c>
      <c r="BY14" s="163">
        <f t="shared" si="89"/>
        <v>224.25457857714889</v>
      </c>
      <c r="BZ14" s="80">
        <f t="shared" ref="BZ14:CA14" si="180">BZ13/BZ3</f>
        <v>152.09090909090909</v>
      </c>
      <c r="CA14" s="79">
        <f t="shared" si="180"/>
        <v>144.8095238095238</v>
      </c>
      <c r="CB14" s="80">
        <f t="shared" ref="CB14:CC14" si="181">CB13/CB3</f>
        <v>162.47619047619048</v>
      </c>
      <c r="CC14" s="79">
        <f t="shared" si="181"/>
        <v>181.40909090909091</v>
      </c>
      <c r="CD14" s="80">
        <f t="shared" ref="CD14:CE14" si="182">CD13/CD3</f>
        <v>204.44444444444446</v>
      </c>
      <c r="CE14" s="79">
        <f t="shared" si="182"/>
        <v>180.45</v>
      </c>
      <c r="CF14" s="80">
        <f t="shared" ref="CF14:CG14" si="183">CF13/CF3</f>
        <v>192.15789473684211</v>
      </c>
      <c r="CG14" s="79">
        <f t="shared" si="183"/>
        <v>188.85714285714286</v>
      </c>
      <c r="CH14" s="80">
        <f t="shared" ref="CH14:CI14" si="184">CH13/CH3</f>
        <v>165</v>
      </c>
      <c r="CI14" s="80">
        <f t="shared" si="184"/>
        <v>151.52380952380952</v>
      </c>
      <c r="CJ14" s="80">
        <f t="shared" ref="CJ14" si="185">CJ13/CJ3</f>
        <v>144.71428571428572</v>
      </c>
      <c r="CK14" s="80"/>
      <c r="CL14" s="131" t="s">
        <v>29</v>
      </c>
      <c r="CM14" s="163">
        <f t="shared" si="90"/>
        <v>169.812117414749</v>
      </c>
      <c r="CN14" s="671">
        <f t="shared" si="91"/>
        <v>1.2954545454545325</v>
      </c>
      <c r="CO14" s="672">
        <f t="shared" si="92"/>
        <v>6.6862170087975872E-3</v>
      </c>
      <c r="CP14" s="671">
        <f t="shared" si="93"/>
        <v>-6.136363636363626</v>
      </c>
      <c r="CQ14" s="672">
        <f t="shared" si="94"/>
        <v>-3.1461197855977577E-2</v>
      </c>
      <c r="CR14" s="671">
        <f t="shared" si="95"/>
        <v>75.540909090909082</v>
      </c>
      <c r="CS14" s="672">
        <f t="shared" si="96"/>
        <v>0.39987969201154955</v>
      </c>
      <c r="CT14" s="671">
        <f t="shared" si="97"/>
        <v>408.37608695652176</v>
      </c>
      <c r="CU14" s="672">
        <f t="shared" si="98"/>
        <v>1.5442468782625138</v>
      </c>
      <c r="CV14" s="671">
        <f t="shared" si="99"/>
        <v>-315.21497584541066</v>
      </c>
      <c r="CW14" s="672">
        <f t="shared" si="100"/>
        <v>-0.46849398671692699</v>
      </c>
      <c r="CX14" s="671">
        <f t="shared" si="101"/>
        <v>-74.505847953216346</v>
      </c>
      <c r="CY14" s="672">
        <f t="shared" si="102"/>
        <v>-0.20834321316729754</v>
      </c>
      <c r="CZ14" s="671">
        <f t="shared" si="103"/>
        <v>-1.6290726817042582</v>
      </c>
      <c r="DA14" s="672">
        <f t="shared" si="104"/>
        <v>-5.7543002328278312E-3</v>
      </c>
      <c r="DB14" s="671">
        <f t="shared" si="105"/>
        <v>-73.976190476190482</v>
      </c>
      <c r="DC14" s="672">
        <f t="shared" si="106"/>
        <v>-0.26281509050922014</v>
      </c>
      <c r="DD14" s="671">
        <f t="shared" si="107"/>
        <v>-21.023809523809518</v>
      </c>
      <c r="DE14" s="672">
        <f t="shared" si="108"/>
        <v>-0.10131956397016635</v>
      </c>
      <c r="DF14" s="671">
        <f t="shared" si="109"/>
        <v>-9.9523809523809632</v>
      </c>
      <c r="DG14" s="109">
        <f t="shared" si="110"/>
        <v>-5.3370786516853987E-2</v>
      </c>
      <c r="DH14" s="671">
        <f t="shared" si="111"/>
        <v>-15.932900432900425</v>
      </c>
      <c r="DI14" s="672">
        <f t="shared" si="112"/>
        <v>-9.0259214753414876E-2</v>
      </c>
      <c r="DJ14" s="671">
        <f t="shared" si="113"/>
        <v>16.837662337662323</v>
      </c>
      <c r="DK14" s="672">
        <f t="shared" si="114"/>
        <v>0.10484816626905494</v>
      </c>
      <c r="DL14" s="671">
        <f t="shared" si="115"/>
        <v>4.4350649350649576</v>
      </c>
      <c r="DM14" s="672">
        <f t="shared" si="116"/>
        <v>2.4996340213731646E-2</v>
      </c>
      <c r="DN14" s="323">
        <f t="shared" si="117"/>
        <v>-2.863636363636374</v>
      </c>
      <c r="DO14" s="410">
        <f t="shared" si="118"/>
        <v>-1.5746063484129023E-2</v>
      </c>
      <c r="DP14" s="323">
        <f t="shared" si="119"/>
        <v>21.952380952380963</v>
      </c>
      <c r="DQ14" s="410">
        <f t="shared" si="120"/>
        <v>0.12263899973397187</v>
      </c>
      <c r="DR14" s="323">
        <f t="shared" si="121"/>
        <v>304.00414078674947</v>
      </c>
      <c r="DS14" s="410">
        <f t="shared" si="122"/>
        <v>1.5128168143416443</v>
      </c>
      <c r="DT14" s="323">
        <f t="shared" si="123"/>
        <v>-286.13299232736574</v>
      </c>
      <c r="DU14" s="410">
        <f t="shared" si="124"/>
        <v>-0.56664877075335041</v>
      </c>
      <c r="DV14" s="323">
        <f t="shared" si="125"/>
        <v>-23.023529411764684</v>
      </c>
      <c r="DW14" s="410">
        <f t="shared" si="126"/>
        <v>-0.10521505376344077</v>
      </c>
      <c r="DX14" s="323">
        <f t="shared" si="127"/>
        <v>54.25</v>
      </c>
      <c r="DY14" s="410">
        <f t="shared" si="128"/>
        <v>0.27706843718079671</v>
      </c>
      <c r="DZ14" s="323">
        <f t="shared" si="129"/>
        <v>-54.25</v>
      </c>
      <c r="EA14" s="410">
        <f t="shared" si="130"/>
        <v>-0.21695660867826433</v>
      </c>
      <c r="EB14" s="323">
        <f t="shared" si="131"/>
        <v>-3.4363636363636374</v>
      </c>
      <c r="EC14" s="410">
        <f t="shared" si="132"/>
        <v>-1.7550376079487423E-2</v>
      </c>
      <c r="ED14" s="323">
        <f t="shared" si="133"/>
        <v>43.731601731601728</v>
      </c>
      <c r="EE14" s="410">
        <f t="shared" si="134"/>
        <v>0.22733819425690879</v>
      </c>
      <c r="EF14" s="323">
        <f t="shared" si="135"/>
        <v>-60.745238095238108</v>
      </c>
      <c r="EG14" s="410">
        <f t="shared" si="136"/>
        <v>-0.25729124647035101</v>
      </c>
      <c r="EH14" s="323">
        <f t="shared" si="137"/>
        <v>-15.349999999999994</v>
      </c>
      <c r="EI14" s="410">
        <f t="shared" si="138"/>
        <v>-8.7539207299686311E-2</v>
      </c>
      <c r="EJ14" s="323">
        <f t="shared" si="139"/>
        <v>-7.9090909090909065</v>
      </c>
      <c r="EK14" s="410">
        <f t="shared" si="140"/>
        <v>-4.9431818181818167E-2</v>
      </c>
      <c r="EL14" s="323">
        <f t="shared" si="141"/>
        <v>-7.2813852813852975</v>
      </c>
      <c r="EM14" s="410">
        <f t="shared" si="142"/>
        <v>-4.7875217032419766E-2</v>
      </c>
      <c r="EN14" s="323">
        <f t="shared" si="143"/>
        <v>17.666666666666686</v>
      </c>
      <c r="EO14" s="410">
        <f t="shared" si="144"/>
        <v>0.12199934232160488</v>
      </c>
      <c r="EP14" s="323">
        <f t="shared" si="145"/>
        <v>18.932900432900425</v>
      </c>
      <c r="EQ14" s="410">
        <f t="shared" si="146"/>
        <v>0.11652723009698385</v>
      </c>
      <c r="ER14" s="323">
        <f t="shared" si="147"/>
        <v>23.035353535353551</v>
      </c>
      <c r="ES14" s="410">
        <f t="shared" si="148"/>
        <v>0.12698014978145281</v>
      </c>
      <c r="ET14" s="323">
        <f t="shared" si="149"/>
        <v>-23.994444444444468</v>
      </c>
      <c r="EU14" s="410">
        <f t="shared" si="150"/>
        <v>-0.11736413043478272</v>
      </c>
      <c r="EV14" s="323">
        <f t="shared" si="151"/>
        <v>11.707894736842121</v>
      </c>
      <c r="EW14" s="410">
        <f t="shared" si="152"/>
        <v>6.4881655510347025E-2</v>
      </c>
      <c r="EX14" s="323">
        <f t="shared" si="153"/>
        <v>-3.3007518796992485</v>
      </c>
      <c r="EY14" s="410">
        <f t="shared" si="154"/>
        <v>-1.7177289979262045E-2</v>
      </c>
      <c r="EZ14" s="323">
        <f t="shared" si="155"/>
        <v>-23.857142857142861</v>
      </c>
      <c r="FA14" s="410">
        <f t="shared" si="156"/>
        <v>-0.12632375189107414</v>
      </c>
      <c r="FB14" s="323">
        <f t="shared" si="157"/>
        <v>-13.476190476190482</v>
      </c>
      <c r="FC14" s="410">
        <f t="shared" si="158"/>
        <v>-8.1673881673881704E-2</v>
      </c>
      <c r="FD14" s="323">
        <f t="shared" si="159"/>
        <v>-6.809523809523796</v>
      </c>
      <c r="FE14" s="410">
        <f t="shared" si="160"/>
        <v>-4.4940289126335548E-2</v>
      </c>
      <c r="FF14" s="323">
        <f t="shared" si="161"/>
        <v>-144.71428571428572</v>
      </c>
      <c r="FG14" s="410">
        <f t="shared" si="162"/>
        <v>-1</v>
      </c>
      <c r="FH14" s="210">
        <f t="shared" si="163"/>
        <v>175.35</v>
      </c>
      <c r="FI14" s="721">
        <f t="shared" si="164"/>
        <v>144.71428571428572</v>
      </c>
      <c r="FJ14" s="671">
        <f>FI14-FH14</f>
        <v>-30.635714285714272</v>
      </c>
      <c r="FK14" s="109">
        <f t="shared" si="165"/>
        <v>-0.1747118008880198</v>
      </c>
      <c r="FL14" s="707"/>
      <c r="FM14" s="707"/>
      <c r="FN14" s="707"/>
      <c r="FO14" t="str">
        <f t="shared" si="166"/>
        <v>Average Number of Calls/Day</v>
      </c>
      <c r="FP14" s="270" t="e">
        <f>#REF!</f>
        <v>#REF!</v>
      </c>
      <c r="FQ14" s="270" t="e">
        <f>#REF!</f>
        <v>#REF!</v>
      </c>
      <c r="FR14" s="270" t="e">
        <f>#REF!</f>
        <v>#REF!</v>
      </c>
      <c r="FS14" s="270" t="e">
        <f>#REF!</f>
        <v>#REF!</v>
      </c>
      <c r="FT14" s="270" t="e">
        <f>#REF!</f>
        <v>#REF!</v>
      </c>
      <c r="FU14" s="270" t="e">
        <f>#REF!</f>
        <v>#REF!</v>
      </c>
      <c r="FV14" s="270" t="e">
        <f>#REF!</f>
        <v>#REF!</v>
      </c>
      <c r="FW14" s="270" t="e">
        <f>#REF!</f>
        <v>#REF!</v>
      </c>
      <c r="FX14" s="270" t="e">
        <f>#REF!</f>
        <v>#REF!</v>
      </c>
      <c r="FY14" s="270" t="e">
        <f>#REF!</f>
        <v>#REF!</v>
      </c>
      <c r="FZ14" s="270" t="e">
        <f>#REF!</f>
        <v>#REF!</v>
      </c>
      <c r="GA14" s="271">
        <f t="shared" si="167"/>
        <v>167.77272727272728</v>
      </c>
      <c r="GB14" s="271">
        <f t="shared" si="167"/>
        <v>166.69565217391303</v>
      </c>
      <c r="GC14" s="271">
        <f t="shared" si="167"/>
        <v>160.35</v>
      </c>
      <c r="GD14" s="271">
        <f t="shared" si="167"/>
        <v>288.91304347826087</v>
      </c>
      <c r="GE14" s="271">
        <f t="shared" si="167"/>
        <v>196.52631578947367</v>
      </c>
      <c r="GF14" s="271">
        <f t="shared" si="167"/>
        <v>186.77777777777777</v>
      </c>
      <c r="GG14" s="271">
        <f t="shared" si="167"/>
        <v>206.71428571428572</v>
      </c>
      <c r="GH14" s="271">
        <f t="shared" si="167"/>
        <v>203.75</v>
      </c>
      <c r="GI14" s="271">
        <f t="shared" si="167"/>
        <v>175</v>
      </c>
      <c r="GJ14" s="271">
        <f t="shared" si="167"/>
        <v>172</v>
      </c>
      <c r="GK14" s="271">
        <f t="shared" si="167"/>
        <v>254.90909090909091</v>
      </c>
      <c r="GL14" s="271">
        <f t="shared" si="167"/>
        <v>193.75</v>
      </c>
      <c r="GM14" s="271">
        <f t="shared" si="168"/>
        <v>195.04545454545453</v>
      </c>
      <c r="GN14" s="271">
        <f t="shared" si="168"/>
        <v>188.90909090909091</v>
      </c>
      <c r="GO14" s="271">
        <f t="shared" si="168"/>
        <v>264.45</v>
      </c>
      <c r="GP14" s="271">
        <f t="shared" si="168"/>
        <v>672.82608695652175</v>
      </c>
      <c r="GQ14" s="271">
        <f t="shared" si="168"/>
        <v>357.61111111111109</v>
      </c>
      <c r="GR14" s="271">
        <f t="shared" si="168"/>
        <v>283.10526315789474</v>
      </c>
      <c r="GS14" s="271">
        <f t="shared" si="168"/>
        <v>281.47619047619048</v>
      </c>
      <c r="GT14" s="271">
        <f t="shared" si="168"/>
        <v>207.5</v>
      </c>
      <c r="GU14" s="271">
        <f t="shared" si="168"/>
        <v>186.47619047619048</v>
      </c>
      <c r="GV14" s="271">
        <f t="shared" si="168"/>
        <v>176.52380952380952</v>
      </c>
      <c r="GW14" s="271">
        <f t="shared" si="168"/>
        <v>160.59090909090909</v>
      </c>
      <c r="GX14" s="271">
        <f t="shared" si="168"/>
        <v>177.42857142857142</v>
      </c>
      <c r="GY14" s="826">
        <f t="shared" si="169"/>
        <v>181.86363636363637</v>
      </c>
      <c r="GZ14" s="826">
        <f t="shared" si="169"/>
        <v>179</v>
      </c>
      <c r="HA14" s="826">
        <f t="shared" si="169"/>
        <v>200.95238095238096</v>
      </c>
      <c r="HB14" s="826">
        <f t="shared" si="169"/>
        <v>504.95652173913044</v>
      </c>
      <c r="HC14" s="826">
        <f t="shared" si="169"/>
        <v>218.8235294117647</v>
      </c>
      <c r="HD14" s="826">
        <f t="shared" si="169"/>
        <v>195.8</v>
      </c>
      <c r="HE14" s="826">
        <f t="shared" si="169"/>
        <v>250.05</v>
      </c>
      <c r="HF14" s="826">
        <f t="shared" si="169"/>
        <v>195.8</v>
      </c>
      <c r="HG14" s="826">
        <f t="shared" si="169"/>
        <v>192.36363636363637</v>
      </c>
      <c r="HH14" s="826">
        <f t="shared" si="169"/>
        <v>236.0952380952381</v>
      </c>
      <c r="HI14" s="826">
        <f t="shared" si="169"/>
        <v>175.35</v>
      </c>
      <c r="HJ14" s="826">
        <f t="shared" si="169"/>
        <v>160</v>
      </c>
      <c r="HK14" s="954">
        <f t="shared" si="170"/>
        <v>152.09090909090909</v>
      </c>
      <c r="HL14" s="954">
        <f t="shared" si="171"/>
        <v>144.8095238095238</v>
      </c>
      <c r="HM14" s="954">
        <f t="shared" si="171"/>
        <v>162.47619047619048</v>
      </c>
      <c r="HN14" s="954">
        <f t="shared" si="171"/>
        <v>181.40909090909091</v>
      </c>
      <c r="HO14" s="954">
        <f t="shared" si="171"/>
        <v>204.44444444444446</v>
      </c>
      <c r="HP14" s="954">
        <f t="shared" si="171"/>
        <v>180.45</v>
      </c>
      <c r="HQ14" s="954">
        <f t="shared" si="171"/>
        <v>192.15789473684211</v>
      </c>
      <c r="HR14" s="954">
        <f t="shared" si="171"/>
        <v>188.85714285714286</v>
      </c>
      <c r="HS14" s="954">
        <f t="shared" si="171"/>
        <v>165</v>
      </c>
      <c r="HT14" s="954">
        <f t="shared" si="171"/>
        <v>151.52380952380952</v>
      </c>
      <c r="HU14" s="954">
        <f t="shared" si="171"/>
        <v>144.71428571428572</v>
      </c>
      <c r="HV14" s="954">
        <f t="shared" si="171"/>
        <v>0</v>
      </c>
    </row>
    <row r="15" spans="1:230" x14ac:dyDescent="0.25">
      <c r="A15" s="802"/>
      <c r="B15" s="56">
        <v>2.2999999999999998</v>
      </c>
      <c r="C15" s="13"/>
      <c r="D15" s="13"/>
      <c r="E15" s="1044" t="s">
        <v>30</v>
      </c>
      <c r="F15" s="1044"/>
      <c r="G15" s="1045"/>
      <c r="H15" s="378">
        <v>11</v>
      </c>
      <c r="I15" s="83">
        <v>10</v>
      </c>
      <c r="J15" s="82">
        <v>8</v>
      </c>
      <c r="K15" s="83">
        <v>17</v>
      </c>
      <c r="L15" s="82">
        <v>15</v>
      </c>
      <c r="M15" s="83">
        <v>10</v>
      </c>
      <c r="N15" s="82">
        <v>16</v>
      </c>
      <c r="O15" s="83">
        <v>18</v>
      </c>
      <c r="P15" s="82">
        <v>10</v>
      </c>
      <c r="Q15" s="83">
        <v>9</v>
      </c>
      <c r="R15" s="82">
        <v>11</v>
      </c>
      <c r="S15" s="83">
        <v>18</v>
      </c>
      <c r="T15" s="132" t="s">
        <v>29</v>
      </c>
      <c r="U15" s="150">
        <v>12.75</v>
      </c>
      <c r="V15" s="378">
        <v>14</v>
      </c>
      <c r="W15" s="83">
        <v>9</v>
      </c>
      <c r="X15" s="82">
        <v>10</v>
      </c>
      <c r="Y15" s="83">
        <v>16</v>
      </c>
      <c r="Z15" s="82">
        <v>10</v>
      </c>
      <c r="AA15" s="83">
        <v>9</v>
      </c>
      <c r="AB15" s="82">
        <v>9</v>
      </c>
      <c r="AC15" s="83">
        <v>9</v>
      </c>
      <c r="AD15" s="82">
        <v>9</v>
      </c>
      <c r="AE15" s="83">
        <v>8</v>
      </c>
      <c r="AF15" s="82">
        <v>9</v>
      </c>
      <c r="AG15" s="83">
        <v>8</v>
      </c>
      <c r="AH15" s="132" t="s">
        <v>29</v>
      </c>
      <c r="AI15" s="150">
        <v>10</v>
      </c>
      <c r="AJ15" s="378">
        <v>13</v>
      </c>
      <c r="AK15" s="83">
        <v>13</v>
      </c>
      <c r="AL15" s="82">
        <v>18</v>
      </c>
      <c r="AM15" s="83">
        <v>80</v>
      </c>
      <c r="AN15" s="82">
        <v>18</v>
      </c>
      <c r="AO15" s="83">
        <v>15</v>
      </c>
      <c r="AP15" s="179">
        <v>12</v>
      </c>
      <c r="AQ15" s="83">
        <v>9</v>
      </c>
      <c r="AR15" s="179">
        <v>8</v>
      </c>
      <c r="AS15" s="83">
        <v>9</v>
      </c>
      <c r="AT15" s="179">
        <v>22</v>
      </c>
      <c r="AU15" s="83">
        <v>12</v>
      </c>
      <c r="AV15" s="132" t="s">
        <v>29</v>
      </c>
      <c r="AW15" s="150">
        <f t="shared" si="87"/>
        <v>19.083333333333332</v>
      </c>
      <c r="AX15" s="378">
        <v>9</v>
      </c>
      <c r="AY15" s="83">
        <v>12</v>
      </c>
      <c r="AZ15" s="378">
        <v>26</v>
      </c>
      <c r="BA15" s="83">
        <v>406</v>
      </c>
      <c r="BB15" s="82">
        <v>200</v>
      </c>
      <c r="BC15" s="70">
        <v>71</v>
      </c>
      <c r="BD15" s="209">
        <v>31</v>
      </c>
      <c r="BE15" s="70">
        <v>26</v>
      </c>
      <c r="BF15" s="209">
        <v>11</v>
      </c>
      <c r="BG15" s="70">
        <v>9</v>
      </c>
      <c r="BH15" s="209">
        <v>13</v>
      </c>
      <c r="BI15" s="70">
        <v>15</v>
      </c>
      <c r="BJ15" s="132" t="s">
        <v>29</v>
      </c>
      <c r="BK15" s="150">
        <f t="shared" si="88"/>
        <v>69.083333333333329</v>
      </c>
      <c r="BL15" s="376">
        <v>13</v>
      </c>
      <c r="BM15" s="83">
        <v>12</v>
      </c>
      <c r="BN15" s="378">
        <v>10</v>
      </c>
      <c r="BO15" s="83">
        <v>7.12</v>
      </c>
      <c r="BP15" s="82">
        <v>0.18</v>
      </c>
      <c r="BQ15" s="916">
        <v>0.17</v>
      </c>
      <c r="BR15" s="928">
        <v>0.37</v>
      </c>
      <c r="BS15" s="83">
        <v>0.48</v>
      </c>
      <c r="BT15" s="198">
        <v>0.24</v>
      </c>
      <c r="BU15" s="928">
        <v>0.31</v>
      </c>
      <c r="BV15" s="928">
        <v>0.17</v>
      </c>
      <c r="BW15" s="928">
        <v>0.25</v>
      </c>
      <c r="BX15" s="132" t="s">
        <v>29</v>
      </c>
      <c r="BY15" s="150">
        <f t="shared" si="89"/>
        <v>3.6908333333333334</v>
      </c>
      <c r="BZ15" s="928">
        <v>0.36</v>
      </c>
      <c r="CA15" s="83">
        <v>0.23</v>
      </c>
      <c r="CB15" s="378">
        <v>0.44</v>
      </c>
      <c r="CC15" s="83">
        <v>1.25</v>
      </c>
      <c r="CD15" s="82">
        <v>1.27</v>
      </c>
      <c r="CE15" s="916">
        <v>0.35</v>
      </c>
      <c r="CF15" s="928">
        <v>0.26</v>
      </c>
      <c r="CG15" s="916">
        <v>0.17</v>
      </c>
      <c r="CH15" s="198">
        <v>0.18</v>
      </c>
      <c r="CI15" s="928">
        <v>0.12</v>
      </c>
      <c r="CJ15" s="928">
        <v>0.09</v>
      </c>
      <c r="CK15" s="928"/>
      <c r="CL15" s="132" t="s">
        <v>29</v>
      </c>
      <c r="CM15" s="150">
        <f t="shared" si="90"/>
        <v>0.42909090909090908</v>
      </c>
      <c r="CN15" s="671">
        <f t="shared" si="91"/>
        <v>-3</v>
      </c>
      <c r="CO15" s="672">
        <f t="shared" si="92"/>
        <v>-0.25</v>
      </c>
      <c r="CP15" s="671">
        <f t="shared" si="93"/>
        <v>3</v>
      </c>
      <c r="CQ15" s="672">
        <f t="shared" si="94"/>
        <v>0.33333333333333331</v>
      </c>
      <c r="CR15" s="671">
        <f t="shared" si="95"/>
        <v>14</v>
      </c>
      <c r="CS15" s="672">
        <f t="shared" si="96"/>
        <v>1.1666666666666667</v>
      </c>
      <c r="CT15" s="671">
        <f t="shared" si="97"/>
        <v>380</v>
      </c>
      <c r="CU15" s="672">
        <f t="shared" si="98"/>
        <v>14.615384615384615</v>
      </c>
      <c r="CV15" s="671">
        <f t="shared" si="99"/>
        <v>-206</v>
      </c>
      <c r="CW15" s="672">
        <f t="shared" si="100"/>
        <v>-0.5073891625615764</v>
      </c>
      <c r="CX15" s="671">
        <f t="shared" si="101"/>
        <v>-129</v>
      </c>
      <c r="CY15" s="672">
        <f t="shared" si="102"/>
        <v>-0.64500000000000002</v>
      </c>
      <c r="CZ15" s="671">
        <f t="shared" si="103"/>
        <v>-40</v>
      </c>
      <c r="DA15" s="672">
        <f t="shared" si="104"/>
        <v>-0.56338028169014087</v>
      </c>
      <c r="DB15" s="671">
        <f t="shared" si="105"/>
        <v>-5</v>
      </c>
      <c r="DC15" s="672">
        <f t="shared" si="106"/>
        <v>-0.16129032258064516</v>
      </c>
      <c r="DD15" s="671">
        <f t="shared" si="107"/>
        <v>-15</v>
      </c>
      <c r="DE15" s="672">
        <f t="shared" si="108"/>
        <v>-0.57692307692307687</v>
      </c>
      <c r="DF15" s="671">
        <f t="shared" si="109"/>
        <v>-2</v>
      </c>
      <c r="DG15" s="109">
        <f t="shared" si="110"/>
        <v>-0.18181818181818182</v>
      </c>
      <c r="DH15" s="671">
        <f t="shared" si="111"/>
        <v>4</v>
      </c>
      <c r="DI15" s="672">
        <f t="shared" si="112"/>
        <v>0.44444444444444442</v>
      </c>
      <c r="DJ15" s="671">
        <f t="shared" si="113"/>
        <v>2</v>
      </c>
      <c r="DK15" s="672">
        <f t="shared" si="114"/>
        <v>0.15384615384615385</v>
      </c>
      <c r="DL15" s="671">
        <f t="shared" si="115"/>
        <v>-2</v>
      </c>
      <c r="DM15" s="672">
        <f t="shared" si="116"/>
        <v>-0.13333333333333333</v>
      </c>
      <c r="DN15" s="323">
        <f t="shared" si="117"/>
        <v>-1</v>
      </c>
      <c r="DO15" s="410">
        <f t="shared" si="118"/>
        <v>-7.6923076923076927E-2</v>
      </c>
      <c r="DP15" s="323">
        <f t="shared" si="119"/>
        <v>-2</v>
      </c>
      <c r="DQ15" s="410">
        <f t="shared" si="120"/>
        <v>-0.16666666666666666</v>
      </c>
      <c r="DR15" s="323">
        <f t="shared" si="121"/>
        <v>-2.88</v>
      </c>
      <c r="DS15" s="410">
        <f t="shared" si="122"/>
        <v>-0.28799999999999998</v>
      </c>
      <c r="DT15" s="323">
        <f t="shared" si="123"/>
        <v>-6.94</v>
      </c>
      <c r="DU15" s="410">
        <f t="shared" si="124"/>
        <v>-0.9747191011235955</v>
      </c>
      <c r="DV15" s="323">
        <f t="shared" si="125"/>
        <v>-9.9999999999999811E-3</v>
      </c>
      <c r="DW15" s="410">
        <f t="shared" si="126"/>
        <v>-5.5555555555555455E-2</v>
      </c>
      <c r="DX15" s="323">
        <f t="shared" si="127"/>
        <v>0.19999999999999998</v>
      </c>
      <c r="DY15" s="410">
        <f t="shared" si="128"/>
        <v>1.1764705882352939</v>
      </c>
      <c r="DZ15" s="323">
        <f t="shared" si="129"/>
        <v>0.10999999999999999</v>
      </c>
      <c r="EA15" s="410">
        <f t="shared" si="130"/>
        <v>0.29729729729729726</v>
      </c>
      <c r="EB15" s="323">
        <f t="shared" si="131"/>
        <v>-0.24</v>
      </c>
      <c r="EC15" s="410">
        <f t="shared" si="132"/>
        <v>-0.5</v>
      </c>
      <c r="ED15" s="323">
        <f t="shared" si="133"/>
        <v>7.0000000000000007E-2</v>
      </c>
      <c r="EE15" s="410">
        <f t="shared" si="134"/>
        <v>0.29166666666666669</v>
      </c>
      <c r="EF15" s="323">
        <f t="shared" si="135"/>
        <v>-0.13999999999999999</v>
      </c>
      <c r="EG15" s="410">
        <f t="shared" si="136"/>
        <v>-0.45161290322580638</v>
      </c>
      <c r="EH15" s="323">
        <f t="shared" si="137"/>
        <v>7.9999999999999988E-2</v>
      </c>
      <c r="EI15" s="410">
        <f t="shared" si="138"/>
        <v>0.47058823529411753</v>
      </c>
      <c r="EJ15" s="323">
        <f t="shared" si="139"/>
        <v>0.10999999999999999</v>
      </c>
      <c r="EK15" s="410">
        <f t="shared" si="140"/>
        <v>0.43999999999999995</v>
      </c>
      <c r="EL15" s="323">
        <f t="shared" si="141"/>
        <v>-0.12999999999999998</v>
      </c>
      <c r="EM15" s="410">
        <f t="shared" si="142"/>
        <v>-0.36111111111111105</v>
      </c>
      <c r="EN15" s="323">
        <f t="shared" si="143"/>
        <v>0.21</v>
      </c>
      <c r="EO15" s="410">
        <f t="shared" si="144"/>
        <v>0.91304347826086951</v>
      </c>
      <c r="EP15" s="323">
        <f t="shared" si="145"/>
        <v>0.81</v>
      </c>
      <c r="EQ15" s="410">
        <f t="shared" si="146"/>
        <v>1.8409090909090911</v>
      </c>
      <c r="ER15" s="323">
        <f t="shared" si="147"/>
        <v>2.0000000000000018E-2</v>
      </c>
      <c r="ES15" s="410">
        <f t="shared" si="148"/>
        <v>1.6000000000000014E-2</v>
      </c>
      <c r="ET15" s="323">
        <f t="shared" si="149"/>
        <v>-0.92</v>
      </c>
      <c r="EU15" s="410">
        <f t="shared" si="150"/>
        <v>-0.72440944881889768</v>
      </c>
      <c r="EV15" s="323">
        <f t="shared" si="151"/>
        <v>-8.9999999999999969E-2</v>
      </c>
      <c r="EW15" s="410">
        <f t="shared" si="152"/>
        <v>-0.25714285714285706</v>
      </c>
      <c r="EX15" s="323">
        <f t="shared" si="153"/>
        <v>-0.09</v>
      </c>
      <c r="EY15" s="410">
        <f t="shared" si="154"/>
        <v>-0.34615384615384615</v>
      </c>
      <c r="EZ15" s="323">
        <f t="shared" si="155"/>
        <v>9.9999999999999811E-3</v>
      </c>
      <c r="FA15" s="410">
        <f t="shared" si="156"/>
        <v>5.8823529411764594E-2</v>
      </c>
      <c r="FB15" s="323">
        <f t="shared" si="157"/>
        <v>-0.06</v>
      </c>
      <c r="FC15" s="410">
        <f t="shared" si="158"/>
        <v>-0.33333333333333331</v>
      </c>
      <c r="FD15" s="323">
        <f t="shared" si="159"/>
        <v>-0.03</v>
      </c>
      <c r="FE15" s="410">
        <f t="shared" si="160"/>
        <v>-0.25</v>
      </c>
      <c r="FF15" s="323">
        <f t="shared" si="161"/>
        <v>-0.09</v>
      </c>
      <c r="FG15" s="410">
        <f t="shared" si="162"/>
        <v>-1</v>
      </c>
      <c r="FH15" s="928">
        <f t="shared" si="163"/>
        <v>0.17</v>
      </c>
      <c r="FI15" s="935">
        <f t="shared" si="164"/>
        <v>0.09</v>
      </c>
      <c r="FJ15" s="673">
        <f>FI15-FH15</f>
        <v>-8.0000000000000016E-2</v>
      </c>
      <c r="FK15" s="109">
        <f t="shared" si="165"/>
        <v>-0.4705882352941177</v>
      </c>
      <c r="FL15" s="707"/>
      <c r="FM15" s="707"/>
      <c r="FN15" s="707"/>
      <c r="FO15" t="str">
        <f t="shared" si="166"/>
        <v>Average Speed of Answer (Seconds)</v>
      </c>
      <c r="FP15" s="272" t="e">
        <f>#REF!</f>
        <v>#REF!</v>
      </c>
      <c r="FQ15" s="272" t="e">
        <f>#REF!</f>
        <v>#REF!</v>
      </c>
      <c r="FR15" s="272" t="e">
        <f>#REF!</f>
        <v>#REF!</v>
      </c>
      <c r="FS15" s="272" t="e">
        <f>#REF!</f>
        <v>#REF!</v>
      </c>
      <c r="FT15" s="272" t="e">
        <f>#REF!</f>
        <v>#REF!</v>
      </c>
      <c r="FU15" s="272" t="e">
        <f>#REF!</f>
        <v>#REF!</v>
      </c>
      <c r="FV15" s="272" t="e">
        <f>#REF!</f>
        <v>#REF!</v>
      </c>
      <c r="FW15" s="272" t="e">
        <f>#REF!</f>
        <v>#REF!</v>
      </c>
      <c r="FX15" s="272" t="e">
        <f>#REF!</f>
        <v>#REF!</v>
      </c>
      <c r="FY15" s="272" t="e">
        <f>#REF!</f>
        <v>#REF!</v>
      </c>
      <c r="FZ15" s="272" t="e">
        <f>#REF!</f>
        <v>#REF!</v>
      </c>
      <c r="GA15" s="273">
        <f t="shared" si="167"/>
        <v>13</v>
      </c>
      <c r="GB15" s="273">
        <f t="shared" si="167"/>
        <v>13</v>
      </c>
      <c r="GC15" s="273">
        <f t="shared" si="167"/>
        <v>18</v>
      </c>
      <c r="GD15" s="273">
        <f t="shared" si="167"/>
        <v>80</v>
      </c>
      <c r="GE15" s="273">
        <f t="shared" si="167"/>
        <v>18</v>
      </c>
      <c r="GF15" s="273">
        <f t="shared" si="167"/>
        <v>15</v>
      </c>
      <c r="GG15" s="273">
        <f t="shared" si="167"/>
        <v>12</v>
      </c>
      <c r="GH15" s="273">
        <f t="shared" si="167"/>
        <v>9</v>
      </c>
      <c r="GI15" s="273">
        <f t="shared" si="167"/>
        <v>8</v>
      </c>
      <c r="GJ15" s="273">
        <f t="shared" si="167"/>
        <v>9</v>
      </c>
      <c r="GK15" s="273">
        <f t="shared" si="167"/>
        <v>22</v>
      </c>
      <c r="GL15" s="273">
        <f t="shared" si="167"/>
        <v>12</v>
      </c>
      <c r="GM15" s="273">
        <f t="shared" si="168"/>
        <v>9</v>
      </c>
      <c r="GN15" s="273">
        <f t="shared" si="168"/>
        <v>12</v>
      </c>
      <c r="GO15" s="273">
        <f t="shared" si="168"/>
        <v>26</v>
      </c>
      <c r="GP15" s="273">
        <f t="shared" si="168"/>
        <v>406</v>
      </c>
      <c r="GQ15" s="273">
        <f t="shared" si="168"/>
        <v>200</v>
      </c>
      <c r="GR15" s="273">
        <f t="shared" si="168"/>
        <v>71</v>
      </c>
      <c r="GS15" s="273">
        <f t="shared" si="168"/>
        <v>31</v>
      </c>
      <c r="GT15" s="273">
        <f t="shared" si="168"/>
        <v>26</v>
      </c>
      <c r="GU15" s="273">
        <f t="shared" si="168"/>
        <v>11</v>
      </c>
      <c r="GV15" s="273">
        <f t="shared" si="168"/>
        <v>9</v>
      </c>
      <c r="GW15" s="273">
        <f t="shared" si="168"/>
        <v>13</v>
      </c>
      <c r="GX15" s="273">
        <f t="shared" si="168"/>
        <v>15</v>
      </c>
      <c r="GY15" s="827">
        <f t="shared" si="169"/>
        <v>13</v>
      </c>
      <c r="GZ15" s="827">
        <f t="shared" si="169"/>
        <v>12</v>
      </c>
      <c r="HA15" s="827">
        <f t="shared" si="169"/>
        <v>10</v>
      </c>
      <c r="HB15" s="827">
        <f t="shared" si="169"/>
        <v>7.12</v>
      </c>
      <c r="HC15" s="827">
        <f t="shared" si="169"/>
        <v>0.18</v>
      </c>
      <c r="HD15" s="827">
        <f t="shared" si="169"/>
        <v>0.17</v>
      </c>
      <c r="HE15" s="827">
        <f t="shared" si="169"/>
        <v>0.37</v>
      </c>
      <c r="HF15" s="827">
        <f t="shared" si="169"/>
        <v>0.48</v>
      </c>
      <c r="HG15" s="827">
        <f t="shared" si="169"/>
        <v>0.24</v>
      </c>
      <c r="HH15" s="827">
        <f t="shared" si="169"/>
        <v>0.31</v>
      </c>
      <c r="HI15" s="827">
        <f t="shared" si="169"/>
        <v>0.17</v>
      </c>
      <c r="HJ15" s="827">
        <f t="shared" si="169"/>
        <v>0.25</v>
      </c>
      <c r="HK15" s="955">
        <f t="shared" si="170"/>
        <v>0.36</v>
      </c>
      <c r="HL15" s="955">
        <f t="shared" si="171"/>
        <v>0.23</v>
      </c>
      <c r="HM15" s="955">
        <f t="shared" si="171"/>
        <v>0.44</v>
      </c>
      <c r="HN15" s="955">
        <f t="shared" si="171"/>
        <v>1.25</v>
      </c>
      <c r="HO15" s="955">
        <f t="shared" si="171"/>
        <v>1.27</v>
      </c>
      <c r="HP15" s="955">
        <f t="shared" si="171"/>
        <v>0.35</v>
      </c>
      <c r="HQ15" s="955">
        <f t="shared" si="171"/>
        <v>0.26</v>
      </c>
      <c r="HR15" s="955">
        <f t="shared" si="171"/>
        <v>0.17</v>
      </c>
      <c r="HS15" s="955">
        <f t="shared" si="171"/>
        <v>0.18</v>
      </c>
      <c r="HT15" s="955">
        <f t="shared" si="171"/>
        <v>0.12</v>
      </c>
      <c r="HU15" s="955">
        <f t="shared" si="171"/>
        <v>0.09</v>
      </c>
      <c r="HV15" s="955">
        <f t="shared" si="171"/>
        <v>0</v>
      </c>
    </row>
    <row r="16" spans="1:230" x14ac:dyDescent="0.25">
      <c r="A16" s="802"/>
      <c r="B16" s="56">
        <v>2.4</v>
      </c>
      <c r="C16" s="13"/>
      <c r="D16" s="13"/>
      <c r="E16" s="1044" t="s">
        <v>31</v>
      </c>
      <c r="F16" s="1044"/>
      <c r="G16" s="1045"/>
      <c r="H16" s="379">
        <v>5.56</v>
      </c>
      <c r="I16" s="83">
        <v>8.06</v>
      </c>
      <c r="J16" s="198">
        <v>3.49</v>
      </c>
      <c r="K16" s="83">
        <v>7.19</v>
      </c>
      <c r="L16" s="198">
        <v>9.3800000000000008</v>
      </c>
      <c r="M16" s="83">
        <v>6.12</v>
      </c>
      <c r="N16" s="198">
        <v>8.17</v>
      </c>
      <c r="O16" s="83">
        <v>12.09</v>
      </c>
      <c r="P16" s="198">
        <v>10.17</v>
      </c>
      <c r="Q16" s="83">
        <v>6.01</v>
      </c>
      <c r="R16" s="198">
        <v>6.19</v>
      </c>
      <c r="S16" s="83">
        <v>7.42</v>
      </c>
      <c r="T16" s="132" t="s">
        <v>29</v>
      </c>
      <c r="U16" s="150">
        <v>7.4875000000000007</v>
      </c>
      <c r="V16" s="379">
        <v>8.43</v>
      </c>
      <c r="W16" s="83">
        <v>8.31</v>
      </c>
      <c r="X16" s="198">
        <v>7.23</v>
      </c>
      <c r="Y16" s="83">
        <v>10.5</v>
      </c>
      <c r="Z16" s="198">
        <v>10.37</v>
      </c>
      <c r="AA16" s="83">
        <v>8.57</v>
      </c>
      <c r="AB16" s="198">
        <v>6.41</v>
      </c>
      <c r="AC16" s="83">
        <v>5.54</v>
      </c>
      <c r="AD16" s="198">
        <v>4.53</v>
      </c>
      <c r="AE16" s="83">
        <v>9.2100000000000009</v>
      </c>
      <c r="AF16" s="198">
        <v>5.21</v>
      </c>
      <c r="AG16" s="83">
        <v>4.0199999999999996</v>
      </c>
      <c r="AH16" s="132" t="s">
        <v>29</v>
      </c>
      <c r="AI16" s="150">
        <v>7.360833333333332</v>
      </c>
      <c r="AJ16" s="379">
        <v>7.47</v>
      </c>
      <c r="AK16" s="83">
        <v>9.3000000000000007</v>
      </c>
      <c r="AL16" s="198">
        <v>10.01</v>
      </c>
      <c r="AM16" s="83">
        <v>105.27</v>
      </c>
      <c r="AN16" s="198">
        <v>10.1</v>
      </c>
      <c r="AO16" s="83">
        <v>10.130000000000001</v>
      </c>
      <c r="AP16" s="198">
        <v>8.02</v>
      </c>
      <c r="AQ16" s="83">
        <v>7.51</v>
      </c>
      <c r="AR16" s="198">
        <v>3.37</v>
      </c>
      <c r="AS16" s="83">
        <v>3.15</v>
      </c>
      <c r="AT16" s="198">
        <v>19.55</v>
      </c>
      <c r="AU16" s="83">
        <v>17.36</v>
      </c>
      <c r="AV16" s="132" t="s">
        <v>29</v>
      </c>
      <c r="AW16" s="150">
        <f t="shared" si="87"/>
        <v>17.603333333333335</v>
      </c>
      <c r="AX16" s="379">
        <v>9.0399999999999991</v>
      </c>
      <c r="AY16" s="83">
        <v>7.54</v>
      </c>
      <c r="AZ16" s="198">
        <v>15.5</v>
      </c>
      <c r="BA16" s="83">
        <v>187.57</v>
      </c>
      <c r="BB16" s="198">
        <v>160.01</v>
      </c>
      <c r="BC16" s="83">
        <v>89.58</v>
      </c>
      <c r="BD16" s="198">
        <v>23.35</v>
      </c>
      <c r="BE16" s="83">
        <v>12.26</v>
      </c>
      <c r="BF16" s="198">
        <v>16.5</v>
      </c>
      <c r="BG16" s="83">
        <v>11.14</v>
      </c>
      <c r="BH16" s="198">
        <v>7.42</v>
      </c>
      <c r="BI16" s="83">
        <v>11.55</v>
      </c>
      <c r="BJ16" s="132" t="s">
        <v>29</v>
      </c>
      <c r="BK16" s="150">
        <f t="shared" si="88"/>
        <v>45.954999999999984</v>
      </c>
      <c r="BL16" s="379">
        <v>11.26</v>
      </c>
      <c r="BM16" s="83">
        <v>9.0299999999999994</v>
      </c>
      <c r="BN16" s="198">
        <v>11.34</v>
      </c>
      <c r="BO16" s="83">
        <v>22.172999999999998</v>
      </c>
      <c r="BP16" s="198">
        <v>12.56</v>
      </c>
      <c r="BQ16" s="83">
        <v>11.5</v>
      </c>
      <c r="BR16" s="198">
        <v>44.29</v>
      </c>
      <c r="BS16" s="83">
        <v>35.36</v>
      </c>
      <c r="BT16" s="198">
        <v>30.22</v>
      </c>
      <c r="BU16" s="198">
        <v>10.53</v>
      </c>
      <c r="BV16" s="198">
        <v>6.25</v>
      </c>
      <c r="BW16" s="198">
        <v>13.11</v>
      </c>
      <c r="BX16" s="132" t="s">
        <v>29</v>
      </c>
      <c r="BY16" s="150">
        <f t="shared" si="89"/>
        <v>18.135249999999999</v>
      </c>
      <c r="BZ16" s="198">
        <v>18.559999999999999</v>
      </c>
      <c r="CA16" s="83">
        <v>9.4</v>
      </c>
      <c r="CB16" s="198">
        <v>21.33</v>
      </c>
      <c r="CC16" s="83">
        <v>35.19</v>
      </c>
      <c r="CD16" s="198">
        <v>39.049999999999997</v>
      </c>
      <c r="CE16" s="83">
        <v>32.11</v>
      </c>
      <c r="CF16" s="198">
        <v>16.149999999999999</v>
      </c>
      <c r="CG16" s="83">
        <v>10.08</v>
      </c>
      <c r="CH16" s="198">
        <v>14.54</v>
      </c>
      <c r="CI16" s="198">
        <v>7.55</v>
      </c>
      <c r="CJ16" s="198">
        <v>6</v>
      </c>
      <c r="CK16" s="198"/>
      <c r="CL16" s="132" t="s">
        <v>29</v>
      </c>
      <c r="CM16" s="150">
        <f t="shared" si="90"/>
        <v>19.08727272727273</v>
      </c>
      <c r="CN16" s="673">
        <f t="shared" si="91"/>
        <v>-8.32</v>
      </c>
      <c r="CO16" s="672">
        <f t="shared" si="92"/>
        <v>-0.47926267281105994</v>
      </c>
      <c r="CP16" s="673">
        <f t="shared" si="93"/>
        <v>-1.4999999999999991</v>
      </c>
      <c r="CQ16" s="672">
        <f t="shared" si="94"/>
        <v>-0.16592920353982293</v>
      </c>
      <c r="CR16" s="673">
        <f t="shared" si="95"/>
        <v>7.96</v>
      </c>
      <c r="CS16" s="672">
        <f t="shared" si="96"/>
        <v>1.0557029177718833</v>
      </c>
      <c r="CT16" s="673">
        <f t="shared" si="97"/>
        <v>172.07</v>
      </c>
      <c r="CU16" s="672">
        <f t="shared" si="98"/>
        <v>11.101290322580645</v>
      </c>
      <c r="CV16" s="673">
        <f t="shared" si="99"/>
        <v>-27.560000000000002</v>
      </c>
      <c r="CW16" s="672">
        <f t="shared" si="100"/>
        <v>-0.14693181212347392</v>
      </c>
      <c r="CX16" s="673">
        <f t="shared" si="101"/>
        <v>-70.429999999999993</v>
      </c>
      <c r="CY16" s="672">
        <f t="shared" si="102"/>
        <v>-0.44015999000062495</v>
      </c>
      <c r="CZ16" s="673">
        <f t="shared" si="103"/>
        <v>-66.22999999999999</v>
      </c>
      <c r="DA16" s="672">
        <f t="shared" si="104"/>
        <v>-0.73933913820049113</v>
      </c>
      <c r="DB16" s="673">
        <f t="shared" si="105"/>
        <v>-11.090000000000002</v>
      </c>
      <c r="DC16" s="672">
        <f t="shared" si="106"/>
        <v>-0.47494646680942187</v>
      </c>
      <c r="DD16" s="673">
        <f t="shared" si="107"/>
        <v>4.24</v>
      </c>
      <c r="DE16" s="672">
        <f t="shared" si="108"/>
        <v>0.34584013050570966</v>
      </c>
      <c r="DF16" s="673">
        <f t="shared" si="109"/>
        <v>-5.3599999999999994</v>
      </c>
      <c r="DG16" s="109">
        <f t="shared" si="110"/>
        <v>-0.32484848484848483</v>
      </c>
      <c r="DH16" s="673">
        <f t="shared" si="111"/>
        <v>-3.7200000000000006</v>
      </c>
      <c r="DI16" s="672">
        <f t="shared" si="112"/>
        <v>-0.33393177737881513</v>
      </c>
      <c r="DJ16" s="673">
        <f t="shared" si="113"/>
        <v>4.1300000000000008</v>
      </c>
      <c r="DK16" s="672">
        <f t="shared" si="114"/>
        <v>0.55660377358490576</v>
      </c>
      <c r="DL16" s="673">
        <f t="shared" si="115"/>
        <v>-0.29000000000000092</v>
      </c>
      <c r="DM16" s="672">
        <f t="shared" si="116"/>
        <v>-2.5108225108225187E-2</v>
      </c>
      <c r="DN16" s="324">
        <f t="shared" si="117"/>
        <v>-2.2300000000000004</v>
      </c>
      <c r="DO16" s="410">
        <f t="shared" si="118"/>
        <v>-0.19804618117229134</v>
      </c>
      <c r="DP16" s="324">
        <f t="shared" si="119"/>
        <v>2.3100000000000005</v>
      </c>
      <c r="DQ16" s="410">
        <f t="shared" si="120"/>
        <v>0.25581395348837216</v>
      </c>
      <c r="DR16" s="324">
        <f t="shared" si="121"/>
        <v>10.832999999999998</v>
      </c>
      <c r="DS16" s="410">
        <f t="shared" si="122"/>
        <v>0.95529100529100519</v>
      </c>
      <c r="DT16" s="324">
        <f t="shared" si="123"/>
        <v>-9.6129999999999978</v>
      </c>
      <c r="DU16" s="410">
        <f t="shared" si="124"/>
        <v>-0.43354530284580339</v>
      </c>
      <c r="DV16" s="324">
        <f t="shared" si="125"/>
        <v>-1.0600000000000005</v>
      </c>
      <c r="DW16" s="410">
        <f t="shared" si="126"/>
        <v>-8.4394904458598763E-2</v>
      </c>
      <c r="DX16" s="324">
        <f t="shared" si="127"/>
        <v>32.79</v>
      </c>
      <c r="DY16" s="410">
        <f t="shared" si="128"/>
        <v>2.8513043478260869</v>
      </c>
      <c r="DZ16" s="324">
        <f t="shared" si="129"/>
        <v>-8.93</v>
      </c>
      <c r="EA16" s="410">
        <f t="shared" si="130"/>
        <v>-0.20162564913072928</v>
      </c>
      <c r="EB16" s="324">
        <f t="shared" si="131"/>
        <v>-5.1400000000000006</v>
      </c>
      <c r="EC16" s="410">
        <f t="shared" si="132"/>
        <v>-0.14536199095022626</v>
      </c>
      <c r="ED16" s="324">
        <f t="shared" si="133"/>
        <v>-19.689999999999998</v>
      </c>
      <c r="EE16" s="410">
        <f t="shared" si="134"/>
        <v>-0.65155526141628051</v>
      </c>
      <c r="EF16" s="324">
        <f t="shared" si="135"/>
        <v>-4.2799999999999994</v>
      </c>
      <c r="EG16" s="410">
        <f t="shared" si="136"/>
        <v>-0.40645773979107308</v>
      </c>
      <c r="EH16" s="324">
        <f t="shared" si="137"/>
        <v>6.8599999999999994</v>
      </c>
      <c r="EI16" s="410">
        <f t="shared" si="138"/>
        <v>1.0975999999999999</v>
      </c>
      <c r="EJ16" s="324">
        <f t="shared" si="139"/>
        <v>5.4499999999999993</v>
      </c>
      <c r="EK16" s="410">
        <f t="shared" si="140"/>
        <v>0.4157131960335621</v>
      </c>
      <c r="EL16" s="324">
        <f t="shared" si="141"/>
        <v>-9.1599999999999984</v>
      </c>
      <c r="EM16" s="410">
        <f t="shared" si="142"/>
        <v>-0.49353448275862066</v>
      </c>
      <c r="EN16" s="324">
        <f t="shared" si="143"/>
        <v>11.929999999999998</v>
      </c>
      <c r="EO16" s="410">
        <f t="shared" si="144"/>
        <v>1.2691489361702124</v>
      </c>
      <c r="EP16" s="324">
        <f t="shared" si="145"/>
        <v>13.86</v>
      </c>
      <c r="EQ16" s="410">
        <f t="shared" si="146"/>
        <v>0.64978902953586504</v>
      </c>
      <c r="ER16" s="324">
        <f t="shared" si="147"/>
        <v>3.8599999999999994</v>
      </c>
      <c r="ES16" s="410">
        <f t="shared" si="148"/>
        <v>0.1096902529127593</v>
      </c>
      <c r="ET16" s="324">
        <f t="shared" si="149"/>
        <v>-6.9399999999999977</v>
      </c>
      <c r="EU16" s="410">
        <f t="shared" si="150"/>
        <v>-0.17772087067861711</v>
      </c>
      <c r="EV16" s="324">
        <f t="shared" si="151"/>
        <v>-15.96</v>
      </c>
      <c r="EW16" s="410">
        <f t="shared" si="152"/>
        <v>-0.49704142011834324</v>
      </c>
      <c r="EX16" s="324">
        <f t="shared" si="153"/>
        <v>-6.0699999999999985</v>
      </c>
      <c r="EY16" s="410">
        <f t="shared" si="154"/>
        <v>-0.37585139318885441</v>
      </c>
      <c r="EZ16" s="324">
        <f t="shared" si="155"/>
        <v>4.4599999999999991</v>
      </c>
      <c r="FA16" s="410">
        <f t="shared" si="156"/>
        <v>0.44246031746031739</v>
      </c>
      <c r="FB16" s="324">
        <f t="shared" si="157"/>
        <v>-6.9899999999999993</v>
      </c>
      <c r="FC16" s="410">
        <f t="shared" si="158"/>
        <v>-0.48074277854195324</v>
      </c>
      <c r="FD16" s="324">
        <f t="shared" si="159"/>
        <v>-1.5499999999999998</v>
      </c>
      <c r="FE16" s="410">
        <f t="shared" si="160"/>
        <v>-0.20529801324503311</v>
      </c>
      <c r="FF16" s="324">
        <f t="shared" si="161"/>
        <v>-6</v>
      </c>
      <c r="FG16" s="410">
        <f t="shared" si="162"/>
        <v>-1</v>
      </c>
      <c r="FH16" s="198">
        <f t="shared" si="163"/>
        <v>6.25</v>
      </c>
      <c r="FI16" s="722">
        <f t="shared" si="164"/>
        <v>6</v>
      </c>
      <c r="FJ16" s="673">
        <f>FI16-FH16</f>
        <v>-0.25</v>
      </c>
      <c r="FK16" s="109">
        <f t="shared" si="165"/>
        <v>-0.04</v>
      </c>
      <c r="FL16" s="707"/>
      <c r="FM16" s="707"/>
      <c r="FN16" s="707"/>
      <c r="FO16" t="str">
        <f t="shared" si="166"/>
        <v>Maximum Wait Time (Minutes)</v>
      </c>
      <c r="FP16" s="272" t="e">
        <f>#REF!</f>
        <v>#REF!</v>
      </c>
      <c r="FQ16" s="272" t="e">
        <f>#REF!</f>
        <v>#REF!</v>
      </c>
      <c r="FR16" s="272" t="e">
        <f>#REF!</f>
        <v>#REF!</v>
      </c>
      <c r="FS16" s="272" t="e">
        <f>#REF!</f>
        <v>#REF!</v>
      </c>
      <c r="FT16" s="272" t="e">
        <f>#REF!</f>
        <v>#REF!</v>
      </c>
      <c r="FU16" s="272" t="e">
        <f>#REF!</f>
        <v>#REF!</v>
      </c>
      <c r="FV16" s="272" t="e">
        <f>#REF!</f>
        <v>#REF!</v>
      </c>
      <c r="FW16" s="272" t="e">
        <f>#REF!</f>
        <v>#REF!</v>
      </c>
      <c r="FX16" s="272" t="e">
        <f>#REF!</f>
        <v>#REF!</v>
      </c>
      <c r="FY16" s="272" t="e">
        <f>#REF!</f>
        <v>#REF!</v>
      </c>
      <c r="FZ16" s="272" t="e">
        <f>#REF!</f>
        <v>#REF!</v>
      </c>
      <c r="GA16" s="273">
        <f t="shared" si="167"/>
        <v>7.47</v>
      </c>
      <c r="GB16" s="273">
        <f t="shared" si="167"/>
        <v>9.3000000000000007</v>
      </c>
      <c r="GC16" s="273">
        <f t="shared" si="167"/>
        <v>10.01</v>
      </c>
      <c r="GD16" s="273">
        <f t="shared" si="167"/>
        <v>105.27</v>
      </c>
      <c r="GE16" s="273">
        <f t="shared" si="167"/>
        <v>10.1</v>
      </c>
      <c r="GF16" s="273">
        <f t="shared" si="167"/>
        <v>10.130000000000001</v>
      </c>
      <c r="GG16" s="273">
        <f t="shared" si="167"/>
        <v>8.02</v>
      </c>
      <c r="GH16" s="273">
        <f t="shared" si="167"/>
        <v>7.51</v>
      </c>
      <c r="GI16" s="273">
        <f t="shared" si="167"/>
        <v>3.37</v>
      </c>
      <c r="GJ16" s="273">
        <f t="shared" si="167"/>
        <v>3.15</v>
      </c>
      <c r="GK16" s="273">
        <f t="shared" si="167"/>
        <v>19.55</v>
      </c>
      <c r="GL16" s="273">
        <f t="shared" si="167"/>
        <v>17.36</v>
      </c>
      <c r="GM16" s="273">
        <f t="shared" si="168"/>
        <v>9.0399999999999991</v>
      </c>
      <c r="GN16" s="273">
        <f t="shared" si="168"/>
        <v>7.54</v>
      </c>
      <c r="GO16" s="273">
        <f t="shared" si="168"/>
        <v>15.5</v>
      </c>
      <c r="GP16" s="273">
        <f t="shared" si="168"/>
        <v>187.57</v>
      </c>
      <c r="GQ16" s="273">
        <f t="shared" si="168"/>
        <v>160.01</v>
      </c>
      <c r="GR16" s="273">
        <f t="shared" si="168"/>
        <v>89.58</v>
      </c>
      <c r="GS16" s="273">
        <f t="shared" si="168"/>
        <v>23.35</v>
      </c>
      <c r="GT16" s="273">
        <f t="shared" si="168"/>
        <v>12.26</v>
      </c>
      <c r="GU16" s="273">
        <f t="shared" si="168"/>
        <v>16.5</v>
      </c>
      <c r="GV16" s="273">
        <f t="shared" si="168"/>
        <v>11.14</v>
      </c>
      <c r="GW16" s="273">
        <f t="shared" si="168"/>
        <v>7.42</v>
      </c>
      <c r="GX16" s="273">
        <f t="shared" si="168"/>
        <v>11.55</v>
      </c>
      <c r="GY16" s="827">
        <f t="shared" si="169"/>
        <v>11.26</v>
      </c>
      <c r="GZ16" s="827">
        <f t="shared" si="169"/>
        <v>9.0299999999999994</v>
      </c>
      <c r="HA16" s="827">
        <f t="shared" si="169"/>
        <v>11.34</v>
      </c>
      <c r="HB16" s="827">
        <f t="shared" si="169"/>
        <v>22.172999999999998</v>
      </c>
      <c r="HC16" s="827">
        <f t="shared" si="169"/>
        <v>12.56</v>
      </c>
      <c r="HD16" s="827">
        <f t="shared" si="169"/>
        <v>11.5</v>
      </c>
      <c r="HE16" s="827">
        <f t="shared" si="169"/>
        <v>44.29</v>
      </c>
      <c r="HF16" s="827">
        <f t="shared" si="169"/>
        <v>35.36</v>
      </c>
      <c r="HG16" s="827">
        <f t="shared" si="169"/>
        <v>30.22</v>
      </c>
      <c r="HH16" s="827">
        <f t="shared" si="169"/>
        <v>10.53</v>
      </c>
      <c r="HI16" s="827">
        <f t="shared" si="169"/>
        <v>6.25</v>
      </c>
      <c r="HJ16" s="827">
        <f t="shared" si="169"/>
        <v>13.11</v>
      </c>
      <c r="HK16" s="955">
        <f t="shared" si="170"/>
        <v>18.559999999999999</v>
      </c>
      <c r="HL16" s="955">
        <f t="shared" si="171"/>
        <v>9.4</v>
      </c>
      <c r="HM16" s="955">
        <f t="shared" si="171"/>
        <v>21.33</v>
      </c>
      <c r="HN16" s="955">
        <f t="shared" si="171"/>
        <v>35.19</v>
      </c>
      <c r="HO16" s="955">
        <f t="shared" si="171"/>
        <v>39.049999999999997</v>
      </c>
      <c r="HP16" s="955">
        <f t="shared" si="171"/>
        <v>32.11</v>
      </c>
      <c r="HQ16" s="955">
        <f t="shared" si="171"/>
        <v>16.149999999999999</v>
      </c>
      <c r="HR16" s="955">
        <f t="shared" si="171"/>
        <v>10.08</v>
      </c>
      <c r="HS16" s="955">
        <f t="shared" si="171"/>
        <v>14.54</v>
      </c>
      <c r="HT16" s="955">
        <f t="shared" si="171"/>
        <v>7.55</v>
      </c>
      <c r="HU16" s="955">
        <f t="shared" si="171"/>
        <v>6</v>
      </c>
      <c r="HV16" s="955">
        <f t="shared" si="171"/>
        <v>0</v>
      </c>
    </row>
    <row r="17" spans="1:230" x14ac:dyDescent="0.25">
      <c r="A17" s="802"/>
      <c r="B17" s="56">
        <v>2.5</v>
      </c>
      <c r="C17" s="13"/>
      <c r="D17" s="13"/>
      <c r="E17" s="1044" t="s">
        <v>3</v>
      </c>
      <c r="F17" s="1044"/>
      <c r="G17" s="1045"/>
      <c r="H17" s="378">
        <v>10.07</v>
      </c>
      <c r="I17" s="83">
        <v>10.220000000000001</v>
      </c>
      <c r="J17" s="82">
        <v>10.29</v>
      </c>
      <c r="K17" s="83">
        <v>11.12</v>
      </c>
      <c r="L17" s="82">
        <v>10.220000000000001</v>
      </c>
      <c r="M17" s="83">
        <v>10.32</v>
      </c>
      <c r="N17" s="82">
        <v>10.11</v>
      </c>
      <c r="O17" s="83">
        <v>9.3800000000000008</v>
      </c>
      <c r="P17" s="82">
        <v>8.44</v>
      </c>
      <c r="Q17" s="83">
        <v>8.57</v>
      </c>
      <c r="R17" s="82">
        <v>8.5</v>
      </c>
      <c r="S17" s="83">
        <v>9.35</v>
      </c>
      <c r="T17" s="133" t="s">
        <v>29</v>
      </c>
      <c r="U17" s="150">
        <v>9.7158333333333307</v>
      </c>
      <c r="V17" s="378">
        <v>9.49</v>
      </c>
      <c r="W17" s="83">
        <v>9.42</v>
      </c>
      <c r="X17" s="82">
        <v>9.49</v>
      </c>
      <c r="Y17" s="83">
        <v>9.49</v>
      </c>
      <c r="Z17" s="82">
        <v>9.1999999999999993</v>
      </c>
      <c r="AA17" s="83">
        <v>9.36</v>
      </c>
      <c r="AB17" s="82">
        <v>10.01</v>
      </c>
      <c r="AC17" s="83">
        <v>9.57</v>
      </c>
      <c r="AD17" s="82">
        <v>9.5299999999999994</v>
      </c>
      <c r="AE17" s="83">
        <v>9.3800000000000008</v>
      </c>
      <c r="AF17" s="90">
        <v>9.4499999999999993</v>
      </c>
      <c r="AG17" s="83">
        <v>9.57</v>
      </c>
      <c r="AH17" s="133" t="s">
        <v>29</v>
      </c>
      <c r="AI17" s="150">
        <v>9.4966666666666679</v>
      </c>
      <c r="AJ17" s="378">
        <v>9.33</v>
      </c>
      <c r="AK17" s="83">
        <v>9.42</v>
      </c>
      <c r="AL17" s="82">
        <v>10.24</v>
      </c>
      <c r="AM17" s="83">
        <v>11.29</v>
      </c>
      <c r="AN17" s="82">
        <v>10.3</v>
      </c>
      <c r="AO17" s="83">
        <v>10.06</v>
      </c>
      <c r="AP17" s="179">
        <v>9.41</v>
      </c>
      <c r="AQ17" s="83">
        <v>9.06</v>
      </c>
      <c r="AR17" s="179">
        <v>9.2899999999999991</v>
      </c>
      <c r="AS17" s="83">
        <v>9.49</v>
      </c>
      <c r="AT17" s="179">
        <v>10.130000000000001</v>
      </c>
      <c r="AU17" s="83">
        <v>9.42</v>
      </c>
      <c r="AV17" s="133" t="s">
        <v>29</v>
      </c>
      <c r="AW17" s="150">
        <f t="shared" si="87"/>
        <v>9.7866666666666671</v>
      </c>
      <c r="AX17" s="378">
        <v>4.18</v>
      </c>
      <c r="AY17" s="83">
        <v>4.32</v>
      </c>
      <c r="AZ17" s="82">
        <v>6.04</v>
      </c>
      <c r="BA17" s="83">
        <v>7.36</v>
      </c>
      <c r="BB17" s="82">
        <v>3.28</v>
      </c>
      <c r="BC17" s="83">
        <v>5.01</v>
      </c>
      <c r="BD17" s="179">
        <v>5.01</v>
      </c>
      <c r="BE17" s="83">
        <v>5.1100000000000003</v>
      </c>
      <c r="BF17" s="179">
        <v>5.07</v>
      </c>
      <c r="BG17" s="83">
        <v>5.14</v>
      </c>
      <c r="BH17" s="179">
        <v>5.0199999999999996</v>
      </c>
      <c r="BI17" s="83">
        <v>5.2</v>
      </c>
      <c r="BJ17" s="133" t="s">
        <v>29</v>
      </c>
      <c r="BK17" s="150">
        <f t="shared" si="88"/>
        <v>5.0616666666666665</v>
      </c>
      <c r="BL17" s="378">
        <v>5.05</v>
      </c>
      <c r="BM17" s="83">
        <v>5.08</v>
      </c>
      <c r="BN17" s="82">
        <v>5.0599999999999996</v>
      </c>
      <c r="BO17" s="83">
        <v>5.38</v>
      </c>
      <c r="BP17" s="82">
        <v>5.0199999999999996</v>
      </c>
      <c r="BQ17" s="83">
        <v>5.03</v>
      </c>
      <c r="BR17" s="179">
        <v>5.01</v>
      </c>
      <c r="BS17" s="83">
        <v>4.45</v>
      </c>
      <c r="BT17" s="179">
        <v>4.1900000000000004</v>
      </c>
      <c r="BU17" s="179">
        <v>4.1500000000000004</v>
      </c>
      <c r="BV17" s="179">
        <v>4.21</v>
      </c>
      <c r="BW17" s="179">
        <v>4.1399999999999997</v>
      </c>
      <c r="BX17" s="133" t="s">
        <v>29</v>
      </c>
      <c r="BY17" s="150">
        <f t="shared" si="89"/>
        <v>4.730833333333333</v>
      </c>
      <c r="BZ17" s="179">
        <v>4.1500000000000004</v>
      </c>
      <c r="CA17" s="83">
        <v>4.21</v>
      </c>
      <c r="CB17" s="82">
        <v>4.18</v>
      </c>
      <c r="CC17" s="83">
        <v>4.5599999999999996</v>
      </c>
      <c r="CD17" s="82">
        <v>5.0199999999999996</v>
      </c>
      <c r="CE17" s="83">
        <v>4.5199999999999996</v>
      </c>
      <c r="CF17" s="179">
        <v>4.47</v>
      </c>
      <c r="CG17" s="83">
        <v>4.3600000000000003</v>
      </c>
      <c r="CH17" s="179">
        <v>4.28</v>
      </c>
      <c r="CI17" s="179">
        <v>4.4000000000000004</v>
      </c>
      <c r="CJ17" s="179">
        <v>4.18</v>
      </c>
      <c r="CK17" s="179"/>
      <c r="CL17" s="133" t="s">
        <v>29</v>
      </c>
      <c r="CM17" s="150">
        <f t="shared" si="90"/>
        <v>4.3936363636363636</v>
      </c>
      <c r="CN17" s="673">
        <f t="shared" si="91"/>
        <v>-5.24</v>
      </c>
      <c r="CO17" s="672">
        <f t="shared" si="92"/>
        <v>-0.5562632696390658</v>
      </c>
      <c r="CP17" s="673">
        <f t="shared" si="93"/>
        <v>0.14000000000000057</v>
      </c>
      <c r="CQ17" s="672">
        <f t="shared" si="94"/>
        <v>3.3492822966507317E-2</v>
      </c>
      <c r="CR17" s="673">
        <f t="shared" si="95"/>
        <v>1.7199999999999998</v>
      </c>
      <c r="CS17" s="672">
        <f t="shared" si="96"/>
        <v>0.39814814814814808</v>
      </c>
      <c r="CT17" s="673">
        <f t="shared" si="97"/>
        <v>1.3200000000000003</v>
      </c>
      <c r="CU17" s="672">
        <f t="shared" si="98"/>
        <v>0.21854304635761593</v>
      </c>
      <c r="CV17" s="673">
        <f t="shared" si="99"/>
        <v>-4.08</v>
      </c>
      <c r="CW17" s="672">
        <f t="shared" si="100"/>
        <v>-0.55434782608695654</v>
      </c>
      <c r="CX17" s="673">
        <f t="shared" si="101"/>
        <v>1.73</v>
      </c>
      <c r="CY17" s="672">
        <f t="shared" si="102"/>
        <v>0.52743902439024393</v>
      </c>
      <c r="CZ17" s="673">
        <f t="shared" si="103"/>
        <v>0</v>
      </c>
      <c r="DA17" s="672">
        <f t="shared" si="104"/>
        <v>0</v>
      </c>
      <c r="DB17" s="673">
        <f t="shared" si="105"/>
        <v>0.10000000000000053</v>
      </c>
      <c r="DC17" s="672">
        <f t="shared" si="106"/>
        <v>1.9960079840319469E-2</v>
      </c>
      <c r="DD17" s="673">
        <f t="shared" si="107"/>
        <v>-4.0000000000000036E-2</v>
      </c>
      <c r="DE17" s="672">
        <f t="shared" si="108"/>
        <v>-7.8277886497064644E-3</v>
      </c>
      <c r="DF17" s="673">
        <f t="shared" si="109"/>
        <v>6.9999999999999396E-2</v>
      </c>
      <c r="DG17" s="109">
        <f t="shared" si="110"/>
        <v>1.3806706114398302E-2</v>
      </c>
      <c r="DH17" s="673">
        <f t="shared" si="111"/>
        <v>-0.12000000000000011</v>
      </c>
      <c r="DI17" s="672">
        <f t="shared" si="112"/>
        <v>-2.3346303501945546E-2</v>
      </c>
      <c r="DJ17" s="673">
        <f t="shared" si="113"/>
        <v>0.1800000000000006</v>
      </c>
      <c r="DK17" s="672">
        <f t="shared" si="114"/>
        <v>3.5856573705179404E-2</v>
      </c>
      <c r="DL17" s="673">
        <f t="shared" si="115"/>
        <v>-0.15000000000000036</v>
      </c>
      <c r="DM17" s="672">
        <f t="shared" si="116"/>
        <v>-2.8846153846153914E-2</v>
      </c>
      <c r="DN17" s="324">
        <f t="shared" si="117"/>
        <v>3.0000000000000249E-2</v>
      </c>
      <c r="DO17" s="410">
        <f t="shared" si="118"/>
        <v>5.9405940594059901E-3</v>
      </c>
      <c r="DP17" s="324">
        <f t="shared" si="119"/>
        <v>-2.0000000000000462E-2</v>
      </c>
      <c r="DQ17" s="410">
        <f t="shared" si="120"/>
        <v>-3.937007874015839E-3</v>
      </c>
      <c r="DR17" s="324">
        <f t="shared" si="121"/>
        <v>0.32000000000000028</v>
      </c>
      <c r="DS17" s="410">
        <f t="shared" si="122"/>
        <v>6.3241106719367654E-2</v>
      </c>
      <c r="DT17" s="324">
        <f t="shared" si="123"/>
        <v>-0.36000000000000032</v>
      </c>
      <c r="DU17" s="410">
        <f t="shared" si="124"/>
        <v>-6.6914498141264003E-2</v>
      </c>
      <c r="DV17" s="324">
        <f t="shared" si="125"/>
        <v>1.0000000000000675E-2</v>
      </c>
      <c r="DW17" s="410">
        <f t="shared" si="126"/>
        <v>1.992031872510095E-3</v>
      </c>
      <c r="DX17" s="324">
        <f t="shared" si="127"/>
        <v>-2.0000000000000462E-2</v>
      </c>
      <c r="DY17" s="410">
        <f t="shared" si="128"/>
        <v>-3.976143141153173E-3</v>
      </c>
      <c r="DZ17" s="324">
        <f t="shared" si="129"/>
        <v>-0.55999999999999961</v>
      </c>
      <c r="EA17" s="410">
        <f t="shared" si="130"/>
        <v>-0.11177644710578835</v>
      </c>
      <c r="EB17" s="324">
        <f t="shared" si="131"/>
        <v>-0.25999999999999979</v>
      </c>
      <c r="EC17" s="410">
        <f t="shared" si="132"/>
        <v>-5.8426966292134778E-2</v>
      </c>
      <c r="ED17" s="324">
        <f t="shared" si="133"/>
        <v>-4.0000000000000036E-2</v>
      </c>
      <c r="EE17" s="410">
        <f t="shared" si="134"/>
        <v>-9.5465393794749477E-3</v>
      </c>
      <c r="EF17" s="324">
        <f t="shared" si="135"/>
        <v>5.9999999999999609E-2</v>
      </c>
      <c r="EG17" s="410">
        <f t="shared" si="136"/>
        <v>1.445783132530111E-2</v>
      </c>
      <c r="EH17" s="324">
        <f t="shared" si="137"/>
        <v>-7.0000000000000284E-2</v>
      </c>
      <c r="EI17" s="410">
        <f t="shared" si="138"/>
        <v>-1.6627078384798169E-2</v>
      </c>
      <c r="EJ17" s="324">
        <f t="shared" si="139"/>
        <v>1.0000000000000675E-2</v>
      </c>
      <c r="EK17" s="410">
        <f t="shared" si="140"/>
        <v>2.415458937198231E-3</v>
      </c>
      <c r="EL17" s="324">
        <f t="shared" si="141"/>
        <v>5.9999999999999609E-2</v>
      </c>
      <c r="EM17" s="410">
        <f t="shared" si="142"/>
        <v>1.445783132530111E-2</v>
      </c>
      <c r="EN17" s="324">
        <f t="shared" si="143"/>
        <v>-3.0000000000000249E-2</v>
      </c>
      <c r="EO17" s="410">
        <f t="shared" si="144"/>
        <v>-7.1258907363421021E-3</v>
      </c>
      <c r="EP17" s="324">
        <f t="shared" si="145"/>
        <v>0.37999999999999989</v>
      </c>
      <c r="EQ17" s="410">
        <f t="shared" si="146"/>
        <v>9.0909090909090884E-2</v>
      </c>
      <c r="ER17" s="324">
        <f t="shared" si="147"/>
        <v>0.45999999999999996</v>
      </c>
      <c r="ES17" s="410">
        <f t="shared" si="148"/>
        <v>0.10087719298245613</v>
      </c>
      <c r="ET17" s="324">
        <f t="shared" si="149"/>
        <v>-0.5</v>
      </c>
      <c r="EU17" s="410">
        <f t="shared" si="150"/>
        <v>-9.9601593625498017E-2</v>
      </c>
      <c r="EV17" s="324">
        <f t="shared" si="151"/>
        <v>-4.9999999999999822E-2</v>
      </c>
      <c r="EW17" s="410">
        <f t="shared" si="152"/>
        <v>-1.1061946902654829E-2</v>
      </c>
      <c r="EX17" s="324">
        <f t="shared" si="153"/>
        <v>-0.10999999999999943</v>
      </c>
      <c r="EY17" s="410">
        <f t="shared" si="154"/>
        <v>-2.4608501118568108E-2</v>
      </c>
      <c r="EZ17" s="324">
        <f t="shared" si="155"/>
        <v>-8.0000000000000071E-2</v>
      </c>
      <c r="FA17" s="410">
        <f t="shared" si="156"/>
        <v>-1.8348623853211024E-2</v>
      </c>
      <c r="FB17" s="324">
        <f t="shared" si="157"/>
        <v>0.12000000000000011</v>
      </c>
      <c r="FC17" s="410">
        <f t="shared" si="158"/>
        <v>2.8037383177570117E-2</v>
      </c>
      <c r="FD17" s="324">
        <f t="shared" si="159"/>
        <v>-0.22000000000000064</v>
      </c>
      <c r="FE17" s="410">
        <f t="shared" si="160"/>
        <v>-5.0000000000000142E-2</v>
      </c>
      <c r="FF17" s="324">
        <f t="shared" si="161"/>
        <v>-4.18</v>
      </c>
      <c r="FG17" s="410">
        <f t="shared" si="162"/>
        <v>-1</v>
      </c>
      <c r="FH17" s="198">
        <f t="shared" si="163"/>
        <v>4.21</v>
      </c>
      <c r="FI17" s="722">
        <f t="shared" si="164"/>
        <v>4.18</v>
      </c>
      <c r="FJ17" s="673">
        <f>FI17-FH17</f>
        <v>-3.0000000000000249E-2</v>
      </c>
      <c r="FK17" s="109">
        <f t="shared" si="165"/>
        <v>-7.1258907363421021E-3</v>
      </c>
      <c r="FL17" s="707"/>
      <c r="FM17" s="707"/>
      <c r="FN17" s="707"/>
      <c r="FO17" s="84" t="str">
        <f t="shared" si="166"/>
        <v>Average Call Length (Minutes)</v>
      </c>
      <c r="FP17" s="272" t="e">
        <f>#REF!</f>
        <v>#REF!</v>
      </c>
      <c r="FQ17" s="272" t="e">
        <f>#REF!</f>
        <v>#REF!</v>
      </c>
      <c r="FR17" s="272" t="e">
        <f>#REF!</f>
        <v>#REF!</v>
      </c>
      <c r="FS17" s="272" t="e">
        <f>#REF!</f>
        <v>#REF!</v>
      </c>
      <c r="FT17" s="272" t="e">
        <f>#REF!</f>
        <v>#REF!</v>
      </c>
      <c r="FU17" s="272" t="e">
        <f>#REF!</f>
        <v>#REF!</v>
      </c>
      <c r="FV17" s="272" t="e">
        <f>#REF!</f>
        <v>#REF!</v>
      </c>
      <c r="FW17" s="272" t="e">
        <f>#REF!</f>
        <v>#REF!</v>
      </c>
      <c r="FX17" s="272" t="e">
        <f>#REF!</f>
        <v>#REF!</v>
      </c>
      <c r="FY17" s="272" t="e">
        <f>#REF!</f>
        <v>#REF!</v>
      </c>
      <c r="FZ17" s="272" t="e">
        <f>#REF!</f>
        <v>#REF!</v>
      </c>
      <c r="GA17" s="273">
        <f t="shared" si="167"/>
        <v>9.33</v>
      </c>
      <c r="GB17" s="273">
        <f t="shared" si="167"/>
        <v>9.42</v>
      </c>
      <c r="GC17" s="273">
        <f t="shared" si="167"/>
        <v>10.24</v>
      </c>
      <c r="GD17" s="273">
        <f t="shared" si="167"/>
        <v>11.29</v>
      </c>
      <c r="GE17" s="273">
        <f t="shared" si="167"/>
        <v>10.3</v>
      </c>
      <c r="GF17" s="273">
        <f t="shared" si="167"/>
        <v>10.06</v>
      </c>
      <c r="GG17" s="273">
        <f t="shared" si="167"/>
        <v>9.41</v>
      </c>
      <c r="GH17" s="273">
        <f t="shared" si="167"/>
        <v>9.06</v>
      </c>
      <c r="GI17" s="273">
        <f t="shared" si="167"/>
        <v>9.2899999999999991</v>
      </c>
      <c r="GJ17" s="273">
        <f t="shared" si="167"/>
        <v>9.49</v>
      </c>
      <c r="GK17" s="273">
        <f t="shared" si="167"/>
        <v>10.130000000000001</v>
      </c>
      <c r="GL17" s="273">
        <f t="shared" si="167"/>
        <v>9.42</v>
      </c>
      <c r="GM17" s="273">
        <f t="shared" si="168"/>
        <v>4.18</v>
      </c>
      <c r="GN17" s="273">
        <f t="shared" si="168"/>
        <v>4.32</v>
      </c>
      <c r="GO17" s="273">
        <f t="shared" si="168"/>
        <v>6.04</v>
      </c>
      <c r="GP17" s="273">
        <f t="shared" si="168"/>
        <v>7.36</v>
      </c>
      <c r="GQ17" s="273">
        <f t="shared" si="168"/>
        <v>3.28</v>
      </c>
      <c r="GR17" s="273">
        <f t="shared" si="168"/>
        <v>5.01</v>
      </c>
      <c r="GS17" s="273">
        <f t="shared" si="168"/>
        <v>5.01</v>
      </c>
      <c r="GT17" s="273">
        <f t="shared" si="168"/>
        <v>5.1100000000000003</v>
      </c>
      <c r="GU17" s="273">
        <f t="shared" si="168"/>
        <v>5.07</v>
      </c>
      <c r="GV17" s="273">
        <f t="shared" si="168"/>
        <v>5.14</v>
      </c>
      <c r="GW17" s="273">
        <f t="shared" si="168"/>
        <v>5.0199999999999996</v>
      </c>
      <c r="GX17" s="273">
        <f t="shared" si="168"/>
        <v>5.2</v>
      </c>
      <c r="GY17" s="827">
        <f t="shared" si="169"/>
        <v>5.05</v>
      </c>
      <c r="GZ17" s="827">
        <f t="shared" si="169"/>
        <v>5.08</v>
      </c>
      <c r="HA17" s="827">
        <f t="shared" si="169"/>
        <v>5.0599999999999996</v>
      </c>
      <c r="HB17" s="827">
        <f t="shared" si="169"/>
        <v>5.38</v>
      </c>
      <c r="HC17" s="827">
        <f t="shared" si="169"/>
        <v>5.0199999999999996</v>
      </c>
      <c r="HD17" s="827">
        <f t="shared" si="169"/>
        <v>5.03</v>
      </c>
      <c r="HE17" s="827">
        <f t="shared" si="169"/>
        <v>5.01</v>
      </c>
      <c r="HF17" s="827">
        <f t="shared" si="169"/>
        <v>4.45</v>
      </c>
      <c r="HG17" s="827">
        <f t="shared" si="169"/>
        <v>4.1900000000000004</v>
      </c>
      <c r="HH17" s="827">
        <f t="shared" si="169"/>
        <v>4.1500000000000004</v>
      </c>
      <c r="HI17" s="827">
        <f t="shared" si="169"/>
        <v>4.21</v>
      </c>
      <c r="HJ17" s="827">
        <f t="shared" si="169"/>
        <v>4.1399999999999997</v>
      </c>
      <c r="HK17" s="955">
        <f t="shared" si="170"/>
        <v>4.1500000000000004</v>
      </c>
      <c r="HL17" s="955">
        <f t="shared" si="171"/>
        <v>4.21</v>
      </c>
      <c r="HM17" s="955">
        <f t="shared" si="171"/>
        <v>4.18</v>
      </c>
      <c r="HN17" s="955">
        <f t="shared" si="171"/>
        <v>4.5599999999999996</v>
      </c>
      <c r="HO17" s="955">
        <f t="shared" si="171"/>
        <v>5.0199999999999996</v>
      </c>
      <c r="HP17" s="955">
        <f t="shared" si="171"/>
        <v>4.5199999999999996</v>
      </c>
      <c r="HQ17" s="955">
        <f t="shared" si="171"/>
        <v>4.47</v>
      </c>
      <c r="HR17" s="955">
        <f t="shared" si="171"/>
        <v>4.3600000000000003</v>
      </c>
      <c r="HS17" s="955">
        <f t="shared" si="171"/>
        <v>4.28</v>
      </c>
      <c r="HT17" s="955">
        <f t="shared" si="171"/>
        <v>4.4000000000000004</v>
      </c>
      <c r="HU17" s="955">
        <f t="shared" si="171"/>
        <v>4.18</v>
      </c>
      <c r="HV17" s="955">
        <f t="shared" si="171"/>
        <v>0</v>
      </c>
    </row>
    <row r="18" spans="1:230" ht="15.75" customHeight="1" x14ac:dyDescent="0.25">
      <c r="A18" s="802"/>
      <c r="B18" s="56">
        <v>2.6</v>
      </c>
      <c r="C18" s="13"/>
      <c r="D18" s="452"/>
      <c r="E18" s="1046" t="s">
        <v>19</v>
      </c>
      <c r="F18" s="1046"/>
      <c r="G18" s="1047"/>
      <c r="H18" s="380">
        <v>0.67168831168831167</v>
      </c>
      <c r="I18" s="102">
        <v>0.71528359877060632</v>
      </c>
      <c r="J18" s="105">
        <v>0.69344490934449099</v>
      </c>
      <c r="K18" s="102">
        <v>0.74340909090909091</v>
      </c>
      <c r="L18" s="105">
        <v>0.73908078789608911</v>
      </c>
      <c r="M18" s="102">
        <v>0.75112642459581236</v>
      </c>
      <c r="N18" s="105">
        <v>0.76629795245940224</v>
      </c>
      <c r="O18" s="102">
        <v>0.66477419354838707</v>
      </c>
      <c r="P18" s="105">
        <v>0.66474488325165759</v>
      </c>
      <c r="Q18" s="102">
        <v>0.69195097714474996</v>
      </c>
      <c r="R18" s="105">
        <v>0.78849491693528395</v>
      </c>
      <c r="S18" s="102">
        <v>0.74604819901528896</v>
      </c>
      <c r="T18" s="132" t="s">
        <v>29</v>
      </c>
      <c r="U18" s="151">
        <v>0.71969535379659766</v>
      </c>
      <c r="V18" s="380">
        <f>V6/V23</f>
        <v>0.74158975885680267</v>
      </c>
      <c r="W18" s="102">
        <f>W6/W23</f>
        <v>0.70794392523364491</v>
      </c>
      <c r="X18" s="105">
        <f>X6/X23</f>
        <v>0.7512388503468781</v>
      </c>
      <c r="Y18" s="102">
        <f>Y6/Y23</f>
        <v>0.79733611909114654</v>
      </c>
      <c r="Z18" s="105">
        <v>0.76564580559254325</v>
      </c>
      <c r="AA18" s="102">
        <v>0.76584899649569926</v>
      </c>
      <c r="AB18" s="105">
        <v>0.79011366640232616</v>
      </c>
      <c r="AC18" s="102">
        <v>0.7066591739252599</v>
      </c>
      <c r="AD18" s="105">
        <v>0.75357793390580274</v>
      </c>
      <c r="AE18" s="102">
        <v>0.76300761421319796</v>
      </c>
      <c r="AF18" s="105">
        <v>0.76412187606983906</v>
      </c>
      <c r="AG18" s="102">
        <v>0.79098067287043661</v>
      </c>
      <c r="AH18" s="132" t="s">
        <v>29</v>
      </c>
      <c r="AI18" s="151">
        <v>0.75817203275029799</v>
      </c>
      <c r="AJ18" s="380">
        <f t="shared" ref="AJ18:AU18" si="186">AJ6/AJ23</f>
        <v>0.77232704402515728</v>
      </c>
      <c r="AK18" s="102">
        <f t="shared" si="186"/>
        <v>0.77253478523895946</v>
      </c>
      <c r="AL18" s="105">
        <f t="shared" si="186"/>
        <v>0.77591973244147161</v>
      </c>
      <c r="AM18" s="102">
        <f t="shared" si="186"/>
        <v>0.62030618139803584</v>
      </c>
      <c r="AN18" s="630">
        <f t="shared" si="186"/>
        <v>0.6971653101319113</v>
      </c>
      <c r="AO18" s="628">
        <f t="shared" si="186"/>
        <v>0.78608159067535144</v>
      </c>
      <c r="AP18" s="630">
        <f t="shared" si="186"/>
        <v>0.80538999740865513</v>
      </c>
      <c r="AQ18" s="628">
        <f t="shared" si="186"/>
        <v>0.75041276829939463</v>
      </c>
      <c r="AR18" s="630">
        <f t="shared" si="186"/>
        <v>0.7453598176489743</v>
      </c>
      <c r="AS18" s="628">
        <f t="shared" si="186"/>
        <v>0.7677880321524263</v>
      </c>
      <c r="AT18" s="630">
        <f t="shared" si="186"/>
        <v>0.84904935663529868</v>
      </c>
      <c r="AU18" s="628">
        <f t="shared" si="186"/>
        <v>0.84341342170671085</v>
      </c>
      <c r="AV18" s="132" t="s">
        <v>29</v>
      </c>
      <c r="AW18" s="151">
        <f t="shared" ref="AW18:BH18" si="187">AW6/AW23</f>
        <v>0.75769875584576019</v>
      </c>
      <c r="AX18" s="380">
        <f t="shared" si="187"/>
        <v>0.75583530028848678</v>
      </c>
      <c r="AY18" s="102">
        <f t="shared" si="187"/>
        <v>0.80518763796909487</v>
      </c>
      <c r="AZ18" s="105">
        <f t="shared" si="187"/>
        <v>0.88291354663036081</v>
      </c>
      <c r="BA18" s="102">
        <f t="shared" si="187"/>
        <v>0.75817538012913976</v>
      </c>
      <c r="BB18" s="630">
        <f t="shared" si="187"/>
        <v>0.73613921489275602</v>
      </c>
      <c r="BC18" s="628">
        <f t="shared" si="187"/>
        <v>0.81668978270920023</v>
      </c>
      <c r="BD18" s="630">
        <f t="shared" si="187"/>
        <v>0.87134842329270656</v>
      </c>
      <c r="BE18" s="628">
        <f t="shared" si="187"/>
        <v>0.74945054945054945</v>
      </c>
      <c r="BF18" s="630">
        <f t="shared" si="187"/>
        <v>0.79167838065785778</v>
      </c>
      <c r="BG18" s="628">
        <f t="shared" si="187"/>
        <v>0.78853465925709276</v>
      </c>
      <c r="BH18" s="630">
        <f t="shared" si="187"/>
        <v>0.80824427480916028</v>
      </c>
      <c r="BI18" s="628">
        <f t="shared" ref="BI18" si="188">BI6/BI23</f>
        <v>0.77518528685149601</v>
      </c>
      <c r="BJ18" s="132" t="s">
        <v>29</v>
      </c>
      <c r="BK18" s="151">
        <f t="shared" ref="BK18" si="189">BK6/BK23</f>
        <v>0.79294980998558506</v>
      </c>
      <c r="BL18" s="380">
        <f t="shared" ref="BL18:BM18" si="190">BL6/BL23</f>
        <v>0.8029530201342282</v>
      </c>
      <c r="BM18" s="102">
        <f t="shared" si="190"/>
        <v>0.80376193149915776</v>
      </c>
      <c r="BN18" s="105">
        <f t="shared" ref="BN18:BO18" si="191">BN6/BN23</f>
        <v>0.8103843217103589</v>
      </c>
      <c r="BO18" s="102">
        <f t="shared" si="191"/>
        <v>0.79752969121140138</v>
      </c>
      <c r="BP18" s="211">
        <f t="shared" ref="BP18:BQ18" si="192">BP6/BP23</f>
        <v>0.77758670106047578</v>
      </c>
      <c r="BQ18" s="628">
        <f t="shared" si="192"/>
        <v>0.79762889440308793</v>
      </c>
      <c r="BR18" s="630">
        <f t="shared" ref="BR18" si="193">BR6/BR23</f>
        <v>0.79673721340388004</v>
      </c>
      <c r="BS18" s="628">
        <f t="shared" ref="BS18:BT18" si="194">BS6/BS23</f>
        <v>0.82875511396843948</v>
      </c>
      <c r="BT18" s="630">
        <f t="shared" si="194"/>
        <v>0.79397373165078544</v>
      </c>
      <c r="BU18" s="630">
        <f t="shared" ref="BU18:BV18" si="195">BU6/BU23</f>
        <v>0.87698686938493431</v>
      </c>
      <c r="BV18" s="630">
        <f t="shared" si="195"/>
        <v>0.81928094177537381</v>
      </c>
      <c r="BW18" s="630">
        <f t="shared" ref="BW18" si="196">BW6/BW23</f>
        <v>0.81280627245998038</v>
      </c>
      <c r="BX18" s="132" t="s">
        <v>29</v>
      </c>
      <c r="BY18" s="151">
        <f t="shared" si="89"/>
        <v>0.80986539188850848</v>
      </c>
      <c r="BZ18" s="630">
        <f t="shared" ref="BZ18:CA18" si="197">BZ6/BZ23</f>
        <v>0.80508191240387827</v>
      </c>
      <c r="CA18" s="102">
        <f t="shared" si="197"/>
        <v>0.80260006842285325</v>
      </c>
      <c r="CB18" s="105">
        <f t="shared" ref="CB18:CC18" si="198">CB6/CB23</f>
        <v>0.82493040519641203</v>
      </c>
      <c r="CC18" s="102">
        <f t="shared" si="198"/>
        <v>0.79093333333333338</v>
      </c>
      <c r="CD18" s="211">
        <f t="shared" ref="CD18:CE18" si="199">CD6/CD23</f>
        <v>0.82323381613952118</v>
      </c>
      <c r="CE18" s="628">
        <f t="shared" si="199"/>
        <v>0.80509841884478861</v>
      </c>
      <c r="CF18" s="630">
        <f t="shared" ref="CF18:CG18" si="200">CF6/CF23</f>
        <v>0.78941141674060933</v>
      </c>
      <c r="CG18" s="628">
        <f t="shared" si="200"/>
        <v>0.72947430596574125</v>
      </c>
      <c r="CH18" s="630">
        <f t="shared" ref="CH18:CI18" si="201">CH6/CH23</f>
        <v>0.77548428072403941</v>
      </c>
      <c r="CI18" s="630">
        <f t="shared" si="201"/>
        <v>0.78251445086705207</v>
      </c>
      <c r="CJ18" s="630">
        <f t="shared" ref="CJ18" si="202">CJ6/CJ23</f>
        <v>0.82499059089198346</v>
      </c>
      <c r="CK18" s="630"/>
      <c r="CL18" s="132" t="s">
        <v>29</v>
      </c>
      <c r="CM18" s="151">
        <f t="shared" si="90"/>
        <v>0.79579572723001923</v>
      </c>
      <c r="CN18" s="674">
        <f t="shared" si="91"/>
        <v>-8.7578121418224075E-2</v>
      </c>
      <c r="CO18" s="672">
        <f t="shared" si="92"/>
        <v>-0.10383771370510457</v>
      </c>
      <c r="CP18" s="674">
        <f t="shared" si="93"/>
        <v>4.9352337680608094E-2</v>
      </c>
      <c r="CQ18" s="672">
        <f t="shared" si="94"/>
        <v>6.5295094925801059E-2</v>
      </c>
      <c r="CR18" s="674">
        <f t="shared" si="95"/>
        <v>7.7725908661265941E-2</v>
      </c>
      <c r="CS18" s="672">
        <f t="shared" si="96"/>
        <v>9.653142323112672E-2</v>
      </c>
      <c r="CT18" s="674">
        <f t="shared" si="97"/>
        <v>-0.12473816650122105</v>
      </c>
      <c r="CU18" s="672">
        <f t="shared" si="98"/>
        <v>-0.14128015928318713</v>
      </c>
      <c r="CV18" s="674">
        <f t="shared" si="99"/>
        <v>-2.2036165236383742E-2</v>
      </c>
      <c r="CW18" s="672">
        <f t="shared" si="100"/>
        <v>-2.9064733324142403E-2</v>
      </c>
      <c r="CX18" s="674">
        <f t="shared" si="101"/>
        <v>8.0550567816444207E-2</v>
      </c>
      <c r="CY18" s="672">
        <f t="shared" si="102"/>
        <v>0.10942300883696186</v>
      </c>
      <c r="CZ18" s="674">
        <f t="shared" si="103"/>
        <v>5.4658640583506335E-2</v>
      </c>
      <c r="DA18" s="672">
        <f t="shared" si="104"/>
        <v>6.6927053259056998E-2</v>
      </c>
      <c r="DB18" s="674">
        <f t="shared" si="105"/>
        <v>-0.12189787384215711</v>
      </c>
      <c r="DC18" s="672">
        <f t="shared" si="106"/>
        <v>-0.13989567271094808</v>
      </c>
      <c r="DD18" s="674">
        <f t="shared" si="107"/>
        <v>4.2227831207308331E-2</v>
      </c>
      <c r="DE18" s="672">
        <f t="shared" si="108"/>
        <v>5.6345053370455395E-2</v>
      </c>
      <c r="DF18" s="674">
        <f t="shared" si="109"/>
        <v>-3.1437214007650205E-3</v>
      </c>
      <c r="DG18" s="109">
        <f t="shared" si="110"/>
        <v>-3.97095774947485E-3</v>
      </c>
      <c r="DH18" s="674">
        <f t="shared" si="111"/>
        <v>1.9709615552067516E-2</v>
      </c>
      <c r="DI18" s="672">
        <f t="shared" si="112"/>
        <v>2.4995243164880873E-2</v>
      </c>
      <c r="DJ18" s="674">
        <f t="shared" si="113"/>
        <v>-3.3058987957664265E-2</v>
      </c>
      <c r="DK18" s="672">
        <f t="shared" si="114"/>
        <v>-4.0902223483698708E-2</v>
      </c>
      <c r="DL18" s="674">
        <f t="shared" si="115"/>
        <v>2.7767733282732188E-2</v>
      </c>
      <c r="DM18" s="672">
        <f t="shared" si="116"/>
        <v>3.5820769245394249E-2</v>
      </c>
      <c r="DN18" s="404">
        <f t="shared" si="117"/>
        <v>8.0891136492955429E-4</v>
      </c>
      <c r="DO18" s="410">
        <f t="shared" si="118"/>
        <v>1.0074205397400835E-3</v>
      </c>
      <c r="DP18" s="404">
        <f t="shared" si="119"/>
        <v>6.6223902112011457E-3</v>
      </c>
      <c r="DQ18" s="410">
        <f t="shared" si="120"/>
        <v>8.2392434272785479E-3</v>
      </c>
      <c r="DR18" s="404">
        <f t="shared" si="121"/>
        <v>-1.285463049895752E-2</v>
      </c>
      <c r="DS18" s="410">
        <f t="shared" si="122"/>
        <v>-1.5862387949247516E-2</v>
      </c>
      <c r="DT18" s="404">
        <f t="shared" si="123"/>
        <v>-1.9942990150925599E-2</v>
      </c>
      <c r="DU18" s="410">
        <f t="shared" si="124"/>
        <v>-2.5005953221168924E-2</v>
      </c>
      <c r="DV18" s="404">
        <f t="shared" si="125"/>
        <v>2.0042193342612147E-2</v>
      </c>
      <c r="DW18" s="410">
        <f t="shared" si="126"/>
        <v>2.5774866410753328E-2</v>
      </c>
      <c r="DX18" s="404">
        <f t="shared" si="127"/>
        <v>-8.916809992078889E-4</v>
      </c>
      <c r="DY18" s="410">
        <f t="shared" si="128"/>
        <v>-1.1179146160134855E-3</v>
      </c>
      <c r="DZ18" s="404">
        <f t="shared" si="129"/>
        <v>3.2017900564559443E-2</v>
      </c>
      <c r="EA18" s="410">
        <f t="shared" si="130"/>
        <v>4.0186274753968354E-2</v>
      </c>
      <c r="EB18" s="404">
        <f t="shared" si="131"/>
        <v>-3.4781382317654042E-2</v>
      </c>
      <c r="EC18" s="410">
        <f t="shared" si="132"/>
        <v>-4.1968226477789895E-2</v>
      </c>
      <c r="ED18" s="404">
        <f t="shared" si="133"/>
        <v>8.3013137734148867E-2</v>
      </c>
      <c r="EE18" s="410">
        <f t="shared" si="134"/>
        <v>0.10455401032166722</v>
      </c>
      <c r="EF18" s="404">
        <f t="shared" si="135"/>
        <v>-5.7705927609560503E-2</v>
      </c>
      <c r="EG18" s="410">
        <f t="shared" si="136"/>
        <v>-6.5800218479932268E-2</v>
      </c>
      <c r="EH18" s="404">
        <f t="shared" si="137"/>
        <v>-6.4746693153934221E-3</v>
      </c>
      <c r="EI18" s="410">
        <f t="shared" si="138"/>
        <v>-7.9028682168083599E-3</v>
      </c>
      <c r="EJ18" s="404">
        <f t="shared" si="139"/>
        <v>-7.7243600561021086E-3</v>
      </c>
      <c r="EK18" s="410">
        <f t="shared" si="140"/>
        <v>-9.5033224002124411E-3</v>
      </c>
      <c r="EL18" s="404">
        <f t="shared" si="141"/>
        <v>-2.4818439810250226E-3</v>
      </c>
      <c r="EM18" s="410">
        <f t="shared" si="142"/>
        <v>-3.0827223202848186E-3</v>
      </c>
      <c r="EN18" s="404">
        <f t="shared" si="143"/>
        <v>2.2330336773558779E-2</v>
      </c>
      <c r="EO18" s="410">
        <f t="shared" si="144"/>
        <v>2.782249547702997E-2</v>
      </c>
      <c r="EP18" s="404">
        <f t="shared" si="145"/>
        <v>-3.3997071863078654E-2</v>
      </c>
      <c r="EQ18" s="410">
        <f t="shared" si="146"/>
        <v>-4.1212048493938239E-2</v>
      </c>
      <c r="ER18" s="404">
        <f t="shared" si="147"/>
        <v>3.2300482806187802E-2</v>
      </c>
      <c r="ES18" s="410">
        <f t="shared" si="148"/>
        <v>4.0838439151451196E-2</v>
      </c>
      <c r="ET18" s="404">
        <f t="shared" si="149"/>
        <v>-1.8135397294732569E-2</v>
      </c>
      <c r="EU18" s="410">
        <f t="shared" si="150"/>
        <v>-2.2029461058556653E-2</v>
      </c>
      <c r="EV18" s="404">
        <f t="shared" si="151"/>
        <v>-1.5687002104179282E-2</v>
      </c>
      <c r="EW18" s="410">
        <f t="shared" si="152"/>
        <v>-1.948457696226517E-2</v>
      </c>
      <c r="EX18" s="404">
        <f t="shared" si="153"/>
        <v>-5.9937110774868074E-2</v>
      </c>
      <c r="EY18" s="410">
        <f t="shared" si="154"/>
        <v>-7.5926328785998101E-2</v>
      </c>
      <c r="EZ18" s="404">
        <f t="shared" si="155"/>
        <v>4.6009974758298156E-2</v>
      </c>
      <c r="FA18" s="410">
        <f t="shared" si="156"/>
        <v>6.30727832111731E-2</v>
      </c>
      <c r="FB18" s="404">
        <f t="shared" si="157"/>
        <v>7.0301701430126595E-3</v>
      </c>
      <c r="FC18" s="410">
        <f t="shared" si="158"/>
        <v>9.065522432574474E-3</v>
      </c>
      <c r="FD18" s="404">
        <f t="shared" si="159"/>
        <v>4.2476140024931386E-2</v>
      </c>
      <c r="FE18" s="410">
        <f t="shared" si="160"/>
        <v>5.4281604611731336E-2</v>
      </c>
      <c r="FF18" s="404">
        <f t="shared" si="161"/>
        <v>-0.82499059089198346</v>
      </c>
      <c r="FG18" s="410">
        <f t="shared" si="162"/>
        <v>-1</v>
      </c>
      <c r="FH18" s="211">
        <f t="shared" si="163"/>
        <v>0.81928094177537381</v>
      </c>
      <c r="FI18" s="723">
        <f t="shared" si="164"/>
        <v>0.82499059089198346</v>
      </c>
      <c r="FJ18" s="674">
        <f>(FI18-FH18)*100</f>
        <v>0.57096491166096497</v>
      </c>
      <c r="FK18" s="109">
        <f>IF(ISERROR((FJ18/FH18)/100),0,(FJ18/FH18)/100)</f>
        <v>6.9690979314579148E-3</v>
      </c>
      <c r="FL18" s="707"/>
      <c r="FM18" s="707"/>
      <c r="FN18" s="707"/>
      <c r="FO18" s="470" t="str">
        <f t="shared" si="166"/>
        <v xml:space="preserve">First Call Resolution </v>
      </c>
      <c r="FP18" s="274" t="e">
        <f>#REF!</f>
        <v>#REF!</v>
      </c>
      <c r="FQ18" s="274" t="e">
        <f>#REF!</f>
        <v>#REF!</v>
      </c>
      <c r="FR18" s="274" t="e">
        <f>#REF!</f>
        <v>#REF!</v>
      </c>
      <c r="FS18" s="274" t="e">
        <f>#REF!</f>
        <v>#REF!</v>
      </c>
      <c r="FT18" s="274" t="e">
        <f>#REF!</f>
        <v>#REF!</v>
      </c>
      <c r="FU18" s="274" t="e">
        <f>#REF!</f>
        <v>#REF!</v>
      </c>
      <c r="FV18" s="274" t="e">
        <f>#REF!</f>
        <v>#REF!</v>
      </c>
      <c r="FW18" s="274" t="e">
        <f>#REF!</f>
        <v>#REF!</v>
      </c>
      <c r="FX18" s="274" t="e">
        <f>#REF!</f>
        <v>#REF!</v>
      </c>
      <c r="FY18" s="274" t="e">
        <f>#REF!</f>
        <v>#REF!</v>
      </c>
      <c r="FZ18" s="274" t="e">
        <f>#REF!</f>
        <v>#REF!</v>
      </c>
      <c r="GA18" s="275">
        <f t="shared" si="167"/>
        <v>0.77232704402515728</v>
      </c>
      <c r="GB18" s="275">
        <f t="shared" si="167"/>
        <v>0.77253478523895946</v>
      </c>
      <c r="GC18" s="275">
        <f t="shared" si="167"/>
        <v>0.77591973244147161</v>
      </c>
      <c r="GD18" s="275">
        <f t="shared" si="167"/>
        <v>0.62030618139803584</v>
      </c>
      <c r="GE18" s="275">
        <f t="shared" si="167"/>
        <v>0.6971653101319113</v>
      </c>
      <c r="GF18" s="275">
        <f t="shared" si="167"/>
        <v>0.78608159067535144</v>
      </c>
      <c r="GG18" s="275">
        <f t="shared" si="167"/>
        <v>0.80538999740865513</v>
      </c>
      <c r="GH18" s="275">
        <f t="shared" si="167"/>
        <v>0.75041276829939463</v>
      </c>
      <c r="GI18" s="275">
        <f t="shared" si="167"/>
        <v>0.7453598176489743</v>
      </c>
      <c r="GJ18" s="275">
        <f t="shared" si="167"/>
        <v>0.7677880321524263</v>
      </c>
      <c r="GK18" s="275">
        <f t="shared" si="167"/>
        <v>0.84904935663529868</v>
      </c>
      <c r="GL18" s="275">
        <f t="shared" si="167"/>
        <v>0.84341342170671085</v>
      </c>
      <c r="GM18" s="275">
        <f t="shared" si="168"/>
        <v>0.75583530028848678</v>
      </c>
      <c r="GN18" s="275">
        <f t="shared" si="168"/>
        <v>0.80518763796909487</v>
      </c>
      <c r="GO18" s="275">
        <f t="shared" si="168"/>
        <v>0.88291354663036081</v>
      </c>
      <c r="GP18" s="275">
        <f t="shared" si="168"/>
        <v>0.75817538012913976</v>
      </c>
      <c r="GQ18" s="275">
        <f t="shared" si="168"/>
        <v>0.73613921489275602</v>
      </c>
      <c r="GR18" s="275">
        <f t="shared" si="168"/>
        <v>0.81668978270920023</v>
      </c>
      <c r="GS18" s="275">
        <f t="shared" si="168"/>
        <v>0.87134842329270656</v>
      </c>
      <c r="GT18" s="275">
        <f t="shared" si="168"/>
        <v>0.74945054945054945</v>
      </c>
      <c r="GU18" s="275">
        <f t="shared" si="168"/>
        <v>0.79167838065785778</v>
      </c>
      <c r="GV18" s="275">
        <f t="shared" si="168"/>
        <v>0.78853465925709276</v>
      </c>
      <c r="GW18" s="275">
        <f t="shared" si="168"/>
        <v>0.80824427480916028</v>
      </c>
      <c r="GX18" s="275">
        <f t="shared" si="168"/>
        <v>0.77518528685149601</v>
      </c>
      <c r="GY18" s="828">
        <f t="shared" si="169"/>
        <v>0.8029530201342282</v>
      </c>
      <c r="GZ18" s="828">
        <f t="shared" si="169"/>
        <v>0.80376193149915776</v>
      </c>
      <c r="HA18" s="828">
        <f t="shared" si="169"/>
        <v>0.8103843217103589</v>
      </c>
      <c r="HB18" s="828">
        <f t="shared" si="169"/>
        <v>0.79752969121140138</v>
      </c>
      <c r="HC18" s="828">
        <f t="shared" si="169"/>
        <v>0.77758670106047578</v>
      </c>
      <c r="HD18" s="828">
        <f t="shared" si="169"/>
        <v>0.79762889440308793</v>
      </c>
      <c r="HE18" s="828">
        <f t="shared" si="169"/>
        <v>0.79673721340388004</v>
      </c>
      <c r="HF18" s="828">
        <f t="shared" si="169"/>
        <v>0.82875511396843948</v>
      </c>
      <c r="HG18" s="828">
        <f t="shared" si="169"/>
        <v>0.79397373165078544</v>
      </c>
      <c r="HH18" s="828">
        <f t="shared" si="169"/>
        <v>0.87698686938493431</v>
      </c>
      <c r="HI18" s="828">
        <f t="shared" si="169"/>
        <v>0.81928094177537381</v>
      </c>
      <c r="HJ18" s="828">
        <f t="shared" si="169"/>
        <v>0.81280627245998038</v>
      </c>
      <c r="HK18" s="956">
        <f t="shared" si="170"/>
        <v>0.80508191240387827</v>
      </c>
      <c r="HL18" s="956">
        <f t="shared" si="171"/>
        <v>0.80260006842285325</v>
      </c>
      <c r="HM18" s="956">
        <f t="shared" si="171"/>
        <v>0.82493040519641203</v>
      </c>
      <c r="HN18" s="956">
        <f t="shared" si="171"/>
        <v>0.79093333333333338</v>
      </c>
      <c r="HO18" s="956">
        <f t="shared" si="171"/>
        <v>0.82323381613952118</v>
      </c>
      <c r="HP18" s="956">
        <f t="shared" si="171"/>
        <v>0.80509841884478861</v>
      </c>
      <c r="HQ18" s="956">
        <f t="shared" si="171"/>
        <v>0.78941141674060933</v>
      </c>
      <c r="HR18" s="956">
        <f t="shared" si="171"/>
        <v>0.72947430596574125</v>
      </c>
      <c r="HS18" s="956">
        <f t="shared" si="171"/>
        <v>0.77548428072403941</v>
      </c>
      <c r="HT18" s="956">
        <f t="shared" si="171"/>
        <v>0.78251445086705207</v>
      </c>
      <c r="HU18" s="956">
        <f t="shared" si="171"/>
        <v>0.82499059089198346</v>
      </c>
      <c r="HV18" s="956">
        <f t="shared" si="171"/>
        <v>0</v>
      </c>
    </row>
    <row r="19" spans="1:230" s="2" customFormat="1" ht="15.75" customHeight="1" x14ac:dyDescent="0.25">
      <c r="A19" s="802"/>
      <c r="B19" s="56">
        <v>2.7</v>
      </c>
      <c r="C19" s="13"/>
      <c r="D19" s="452"/>
      <c r="E19" s="1046" t="s">
        <v>20</v>
      </c>
      <c r="F19" s="1046"/>
      <c r="G19" s="1047"/>
      <c r="H19" s="380">
        <v>1.3996554694229113E-2</v>
      </c>
      <c r="I19" s="102">
        <v>1.3295346628679962E-2</v>
      </c>
      <c r="J19" s="105">
        <v>8.3194675540765387E-3</v>
      </c>
      <c r="K19" s="102">
        <v>1.9692423105776444E-2</v>
      </c>
      <c r="L19" s="105">
        <v>1.6993776926759217E-2</v>
      </c>
      <c r="M19" s="102">
        <v>1.1811023622047244E-2</v>
      </c>
      <c r="N19" s="105">
        <v>2.1307109198934644E-2</v>
      </c>
      <c r="O19" s="102">
        <v>2.013565069944892E-2</v>
      </c>
      <c r="P19" s="105">
        <v>1.1907654921020656E-2</v>
      </c>
      <c r="Q19" s="102">
        <v>1.2842465753424657E-2</v>
      </c>
      <c r="R19" s="105">
        <v>1.3414106447425357E-2</v>
      </c>
      <c r="S19" s="102">
        <v>2.1361815754339118E-2</v>
      </c>
      <c r="T19" s="132" t="s">
        <v>29</v>
      </c>
      <c r="U19" s="151">
        <v>1.5423116275513489E-2</v>
      </c>
      <c r="V19" s="380">
        <f>V7/V13</f>
        <v>2.1082042164084328E-2</v>
      </c>
      <c r="W19" s="102">
        <f>W7/W13</f>
        <v>1.1113917655973731E-2</v>
      </c>
      <c r="X19" s="105">
        <f>X7/X13</f>
        <v>1.3047260075384169E-2</v>
      </c>
      <c r="Y19" s="102">
        <f>Y7/Y13</f>
        <v>1.9439944457301551E-2</v>
      </c>
      <c r="Z19" s="105">
        <v>1.3034854066307736E-2</v>
      </c>
      <c r="AA19" s="102">
        <v>1.2595837897042717E-2</v>
      </c>
      <c r="AB19" s="105">
        <v>1.0834485938220378E-2</v>
      </c>
      <c r="AC19" s="102">
        <v>9.8280098280098278E-3</v>
      </c>
      <c r="AD19" s="105">
        <v>1.3080739738385205E-2</v>
      </c>
      <c r="AE19" s="102">
        <v>1.2791991101223582E-2</v>
      </c>
      <c r="AF19" s="105">
        <v>8.587503701510216E-3</v>
      </c>
      <c r="AG19" s="102">
        <v>1.0261194029850746E-2</v>
      </c>
      <c r="AH19" s="132" t="s">
        <v>29</v>
      </c>
      <c r="AI19" s="151">
        <v>1.2974815054441181E-2</v>
      </c>
      <c r="AJ19" s="380">
        <f t="shared" ref="AJ19:AU19" si="203">AJ7/AJ13</f>
        <v>1.7881332972094283E-2</v>
      </c>
      <c r="AK19" s="102">
        <f t="shared" si="203"/>
        <v>2.0605112154407929E-2</v>
      </c>
      <c r="AL19" s="105">
        <f t="shared" si="203"/>
        <v>2.4009978172747116E-2</v>
      </c>
      <c r="AM19" s="102">
        <f t="shared" si="203"/>
        <v>8.9240030097817905E-2</v>
      </c>
      <c r="AN19" s="630">
        <f t="shared" si="203"/>
        <v>2.3567220139260846E-2</v>
      </c>
      <c r="AO19" s="628">
        <f t="shared" si="203"/>
        <v>1.5764425936942297E-2</v>
      </c>
      <c r="AP19" s="630">
        <f t="shared" si="203"/>
        <v>1.4973508408200876E-2</v>
      </c>
      <c r="AQ19" s="628">
        <f t="shared" si="203"/>
        <v>1.3006134969325154E-2</v>
      </c>
      <c r="AR19" s="630">
        <f t="shared" si="203"/>
        <v>1.1714285714285714E-2</v>
      </c>
      <c r="AS19" s="628">
        <f t="shared" si="203"/>
        <v>1.8234672304439745E-2</v>
      </c>
      <c r="AT19" s="630">
        <f t="shared" si="203"/>
        <v>2.8174037089871613E-2</v>
      </c>
      <c r="AU19" s="628">
        <f t="shared" si="203"/>
        <v>2.3225806451612905E-2</v>
      </c>
      <c r="AV19" s="132" t="s">
        <v>29</v>
      </c>
      <c r="AW19" s="151">
        <f t="shared" si="87"/>
        <v>2.5033045367583866E-2</v>
      </c>
      <c r="AX19" s="380">
        <f t="shared" ref="AX19:BH19" si="204">AX7/AX13</f>
        <v>1.7012351433232348E-2</v>
      </c>
      <c r="AY19" s="102">
        <f t="shared" si="204"/>
        <v>2.0692974013474495E-2</v>
      </c>
      <c r="AZ19" s="105">
        <f t="shared" si="204"/>
        <v>3.5356400075628666E-2</v>
      </c>
      <c r="BA19" s="102">
        <f t="shared" si="204"/>
        <v>0.28982229402261711</v>
      </c>
      <c r="BB19" s="630">
        <f t="shared" si="204"/>
        <v>0.13950598104707163</v>
      </c>
      <c r="BC19" s="628">
        <f t="shared" si="204"/>
        <v>7.3247815579103925E-2</v>
      </c>
      <c r="BD19" s="630">
        <f t="shared" si="204"/>
        <v>3.8233801387244123E-2</v>
      </c>
      <c r="BE19" s="628">
        <f t="shared" si="204"/>
        <v>3.4939759036144581E-2</v>
      </c>
      <c r="BF19" s="630">
        <f t="shared" si="204"/>
        <v>1.9662921348314606E-2</v>
      </c>
      <c r="BG19" s="628">
        <f t="shared" si="204"/>
        <v>1.1329916374426759E-2</v>
      </c>
      <c r="BH19" s="630">
        <f t="shared" si="204"/>
        <v>1.3869232946504387E-2</v>
      </c>
      <c r="BI19" s="628">
        <f t="shared" ref="BI19" si="205">BI7/BI13</f>
        <v>2.0665593129361247E-2</v>
      </c>
      <c r="BJ19" s="132" t="s">
        <v>29</v>
      </c>
      <c r="BK19" s="151">
        <f t="shared" si="88"/>
        <v>5.9528253366093652E-2</v>
      </c>
      <c r="BL19" s="380">
        <f t="shared" ref="BL19:BM19" si="206">BL7/BL13</f>
        <v>1.7495626093476629E-2</v>
      </c>
      <c r="BM19" s="102">
        <f t="shared" si="206"/>
        <v>1.9154030327214685E-2</v>
      </c>
      <c r="BN19" s="105">
        <f t="shared" ref="BN19:BO19" si="207">BN7/BN13</f>
        <v>2.0853080568720379E-2</v>
      </c>
      <c r="BO19" s="102">
        <f t="shared" si="207"/>
        <v>0.38479421387980023</v>
      </c>
      <c r="BP19" s="211">
        <f t="shared" ref="BP19:BQ19" si="208">BP7/BP13</f>
        <v>1.7473118279569891E-2</v>
      </c>
      <c r="BQ19" s="628">
        <f t="shared" si="208"/>
        <v>1.6853932584269662E-2</v>
      </c>
      <c r="BR19" s="630">
        <f t="shared" ref="BR19" si="209">BR7/BR13</f>
        <v>5.2189562087582485E-2</v>
      </c>
      <c r="BS19" s="628">
        <f t="shared" ref="BS19:BT19" si="210">BS7/BS13</f>
        <v>6.8947906026557718E-2</v>
      </c>
      <c r="BT19" s="630">
        <f t="shared" si="210"/>
        <v>3.0954631379962193E-2</v>
      </c>
      <c r="BU19" s="630">
        <f t="shared" ref="BU19:BV19" si="211">BU7/BU13</f>
        <v>3.3077853973376363E-2</v>
      </c>
      <c r="BV19" s="630">
        <f t="shared" si="211"/>
        <v>2.1670943826632448E-2</v>
      </c>
      <c r="BW19" s="630">
        <f t="shared" ref="BW19" si="212">BW7/BW13</f>
        <v>2.8977272727272727E-2</v>
      </c>
      <c r="BX19" s="132" t="s">
        <v>29</v>
      </c>
      <c r="BY19" s="151">
        <f t="shared" si="89"/>
        <v>5.9370180979536287E-2</v>
      </c>
      <c r="BZ19" s="630">
        <f t="shared" ref="BZ19:CA19" si="213">BZ7/BZ13</f>
        <v>4.3634190077704721E-2</v>
      </c>
      <c r="CA19" s="102">
        <f t="shared" si="213"/>
        <v>4.1104899704044726E-2</v>
      </c>
      <c r="CB19" s="105">
        <f t="shared" ref="CB19:CC19" si="214">CB7/CB13</f>
        <v>5.4513481828839389E-2</v>
      </c>
      <c r="CC19" s="102">
        <f t="shared" si="214"/>
        <v>0.11200200451014783</v>
      </c>
      <c r="CD19" s="211">
        <f t="shared" ref="CD19:CE19" si="215">CD7/CD13</f>
        <v>8.8586956521739132E-2</v>
      </c>
      <c r="CE19" s="628">
        <f t="shared" si="215"/>
        <v>4.738154613466334E-2</v>
      </c>
      <c r="CF19" s="630">
        <f t="shared" ref="CF19:CG19" si="216">CF7/CF13</f>
        <v>3.2319912352780061E-2</v>
      </c>
      <c r="CG19" s="628">
        <f t="shared" si="216"/>
        <v>2.4205748865355523E-2</v>
      </c>
      <c r="CH19" s="630">
        <f t="shared" ref="CH19:CI19" si="217">CH7/CH13</f>
        <v>3.1955922865013774E-2</v>
      </c>
      <c r="CI19" s="630">
        <f t="shared" si="217"/>
        <v>2.5769956002514142E-2</v>
      </c>
      <c r="CJ19" s="630">
        <f t="shared" ref="CJ19" si="218">CJ7/CJ13</f>
        <v>1.8756169792694965E-2</v>
      </c>
      <c r="CK19" s="630"/>
      <c r="CL19" s="132" t="s">
        <v>29</v>
      </c>
      <c r="CM19" s="151">
        <f t="shared" si="90"/>
        <v>4.7293708059590697E-2</v>
      </c>
      <c r="CN19" s="674">
        <f t="shared" si="91"/>
        <v>-6.2134550183805572E-3</v>
      </c>
      <c r="CO19" s="672">
        <f t="shared" si="92"/>
        <v>-0.26752375773582954</v>
      </c>
      <c r="CP19" s="674">
        <f t="shared" si="93"/>
        <v>3.6806225802421474E-3</v>
      </c>
      <c r="CQ19" s="672">
        <f t="shared" si="94"/>
        <v>0.21635002043587745</v>
      </c>
      <c r="CR19" s="674">
        <f t="shared" si="95"/>
        <v>1.4663426062154171E-2</v>
      </c>
      <c r="CS19" s="672">
        <f t="shared" si="96"/>
        <v>0.70861858970131086</v>
      </c>
      <c r="CT19" s="674">
        <f t="shared" si="97"/>
        <v>0.25446589394698843</v>
      </c>
      <c r="CU19" s="672">
        <f t="shared" si="98"/>
        <v>7.1971663801370145</v>
      </c>
      <c r="CV19" s="674">
        <f t="shared" si="99"/>
        <v>-0.15031631297554549</v>
      </c>
      <c r="CW19" s="672">
        <f t="shared" si="100"/>
        <v>-0.51864993161573392</v>
      </c>
      <c r="CX19" s="674">
        <f t="shared" si="101"/>
        <v>-6.62581654679677E-2</v>
      </c>
      <c r="CY19" s="672">
        <f t="shared" si="102"/>
        <v>-0.47494856471860586</v>
      </c>
      <c r="CZ19" s="674">
        <f t="shared" si="103"/>
        <v>-3.5014014191859802E-2</v>
      </c>
      <c r="DA19" s="672">
        <f t="shared" si="104"/>
        <v>-0.47802127496957836</v>
      </c>
      <c r="DB19" s="674">
        <f t="shared" si="105"/>
        <v>-3.2940423510995423E-3</v>
      </c>
      <c r="DC19" s="672">
        <f t="shared" si="106"/>
        <v>-8.6155240430749527E-2</v>
      </c>
      <c r="DD19" s="674">
        <f t="shared" si="107"/>
        <v>-1.5276837687829975E-2</v>
      </c>
      <c r="DE19" s="672">
        <f t="shared" si="108"/>
        <v>-0.43723363037582341</v>
      </c>
      <c r="DF19" s="674">
        <f t="shared" si="109"/>
        <v>-8.3330049738878469E-3</v>
      </c>
      <c r="DG19" s="109">
        <f t="shared" si="110"/>
        <v>-0.42379282438629623</v>
      </c>
      <c r="DH19" s="674">
        <f t="shared" si="111"/>
        <v>2.5393165720776281E-3</v>
      </c>
      <c r="DI19" s="672">
        <f t="shared" si="112"/>
        <v>0.22412491744504209</v>
      </c>
      <c r="DJ19" s="674">
        <f t="shared" si="113"/>
        <v>6.7963601828568594E-3</v>
      </c>
      <c r="DK19" s="672">
        <f t="shared" si="114"/>
        <v>0.49003143930680171</v>
      </c>
      <c r="DL19" s="674">
        <f t="shared" si="115"/>
        <v>-3.1699670358846174E-3</v>
      </c>
      <c r="DM19" s="672">
        <f t="shared" si="116"/>
        <v>-0.15339346981436472</v>
      </c>
      <c r="DN19" s="404">
        <f t="shared" si="117"/>
        <v>1.6584042337380554E-3</v>
      </c>
      <c r="DO19" s="410">
        <f t="shared" si="118"/>
        <v>9.4789647702656576E-2</v>
      </c>
      <c r="DP19" s="404">
        <f t="shared" si="119"/>
        <v>1.6990502415056945E-3</v>
      </c>
      <c r="DQ19" s="410">
        <f t="shared" si="120"/>
        <v>8.8704581358609799E-2</v>
      </c>
      <c r="DR19" s="404">
        <f t="shared" si="121"/>
        <v>0.36394113331107986</v>
      </c>
      <c r="DS19" s="410">
        <f t="shared" si="122"/>
        <v>17.452631620144967</v>
      </c>
      <c r="DT19" s="404">
        <f t="shared" si="123"/>
        <v>-0.36732109560023035</v>
      </c>
      <c r="DU19" s="410">
        <f t="shared" si="124"/>
        <v>-0.95459100566146238</v>
      </c>
      <c r="DV19" s="404">
        <f t="shared" si="125"/>
        <v>-6.1918569530022838E-4</v>
      </c>
      <c r="DW19" s="410">
        <f t="shared" si="126"/>
        <v>-3.5436473638720767E-2</v>
      </c>
      <c r="DX19" s="404">
        <f t="shared" si="127"/>
        <v>3.5335629503312822E-2</v>
      </c>
      <c r="DY19" s="410">
        <f t="shared" si="128"/>
        <v>2.0965806838632277</v>
      </c>
      <c r="DZ19" s="404">
        <f t="shared" si="129"/>
        <v>1.6758343938975233E-2</v>
      </c>
      <c r="EA19" s="410">
        <f t="shared" si="130"/>
        <v>0.32110527984220361</v>
      </c>
      <c r="EB19" s="404">
        <f t="shared" si="131"/>
        <v>-3.7993274646595521E-2</v>
      </c>
      <c r="EC19" s="410">
        <f t="shared" si="132"/>
        <v>-0.55104319820765946</v>
      </c>
      <c r="ED19" s="404">
        <f t="shared" si="133"/>
        <v>2.1232225934141695E-3</v>
      </c>
      <c r="EE19" s="410">
        <f t="shared" si="134"/>
        <v>6.8591435231517298E-2</v>
      </c>
      <c r="EF19" s="404">
        <f t="shared" si="135"/>
        <v>-1.1406910146743915E-2</v>
      </c>
      <c r="EG19" s="410">
        <f t="shared" si="136"/>
        <v>-0.34485036894851417</v>
      </c>
      <c r="EH19" s="404">
        <f t="shared" si="137"/>
        <v>7.3063289006402785E-3</v>
      </c>
      <c r="EI19" s="410">
        <f t="shared" si="138"/>
        <v>0.3371486244019139</v>
      </c>
      <c r="EJ19" s="404">
        <f t="shared" si="139"/>
        <v>1.4656917350431994E-2</v>
      </c>
      <c r="EK19" s="410">
        <f t="shared" si="140"/>
        <v>0.50580734385804527</v>
      </c>
      <c r="EL19" s="404">
        <f t="shared" si="141"/>
        <v>-2.5292903736599953E-3</v>
      </c>
      <c r="EM19" s="410">
        <f t="shared" si="142"/>
        <v>-5.7965791714153045E-2</v>
      </c>
      <c r="EN19" s="404">
        <f t="shared" si="143"/>
        <v>1.3408582124794663E-2</v>
      </c>
      <c r="EO19" s="410">
        <f t="shared" si="144"/>
        <v>0.32620398593200456</v>
      </c>
      <c r="EP19" s="404">
        <f t="shared" si="145"/>
        <v>5.748852268130844E-2</v>
      </c>
      <c r="EQ19" s="410">
        <f t="shared" si="146"/>
        <v>1.0545744053151849</v>
      </c>
      <c r="ER19" s="404">
        <f t="shared" si="147"/>
        <v>-2.3415047988408696E-2</v>
      </c>
      <c r="ES19" s="410">
        <f t="shared" si="148"/>
        <v>-0.20905918684952821</v>
      </c>
      <c r="ET19" s="404">
        <f t="shared" si="149"/>
        <v>-4.1205410387075793E-2</v>
      </c>
      <c r="EU19" s="410">
        <f t="shared" si="150"/>
        <v>-0.46514082890932185</v>
      </c>
      <c r="EV19" s="404">
        <f t="shared" si="151"/>
        <v>-1.5061633781883278E-2</v>
      </c>
      <c r="EW19" s="410">
        <f t="shared" si="152"/>
        <v>-0.31787974455448392</v>
      </c>
      <c r="EX19" s="404">
        <f t="shared" si="153"/>
        <v>-8.1141634874245389E-3</v>
      </c>
      <c r="EY19" s="410">
        <f t="shared" si="154"/>
        <v>-0.25105771942870331</v>
      </c>
      <c r="EZ19" s="404">
        <f t="shared" si="155"/>
        <v>7.7501739996582511E-3</v>
      </c>
      <c r="FA19" s="410">
        <f t="shared" si="156"/>
        <v>0.32017906336088148</v>
      </c>
      <c r="FB19" s="404">
        <f t="shared" si="157"/>
        <v>-6.1859668624996318E-3</v>
      </c>
      <c r="FC19" s="410">
        <f t="shared" si="158"/>
        <v>-0.19357810095580744</v>
      </c>
      <c r="FD19" s="404">
        <f t="shared" si="159"/>
        <v>-7.0137862098191769E-3</v>
      </c>
      <c r="FE19" s="410">
        <f t="shared" si="160"/>
        <v>-0.27216911853225145</v>
      </c>
      <c r="FF19" s="404">
        <f t="shared" si="161"/>
        <v>-1.8756169792694965E-2</v>
      </c>
      <c r="FG19" s="410">
        <f t="shared" si="162"/>
        <v>-1</v>
      </c>
      <c r="FH19" s="211">
        <f t="shared" si="163"/>
        <v>2.1670943826632448E-2</v>
      </c>
      <c r="FI19" s="723">
        <f t="shared" si="164"/>
        <v>1.8756169792694965E-2</v>
      </c>
      <c r="FJ19" s="674">
        <f>(FI19-FH19)*100</f>
        <v>-0.29147740339374834</v>
      </c>
      <c r="FK19" s="109">
        <f>IF(ISERROR((FJ19/FH19)/100),0,(FJ19/FH19)/100)</f>
        <v>-0.13450148075024676</v>
      </c>
      <c r="FL19" s="707"/>
      <c r="FM19" s="707"/>
      <c r="FN19" s="707"/>
      <c r="FO19" s="2" t="str">
        <f t="shared" si="166"/>
        <v xml:space="preserve">Calls Abandoned </v>
      </c>
      <c r="FP19" s="274" t="e">
        <f>#REF!</f>
        <v>#REF!</v>
      </c>
      <c r="FQ19" s="274" t="e">
        <f>#REF!</f>
        <v>#REF!</v>
      </c>
      <c r="FR19" s="274" t="e">
        <f>#REF!</f>
        <v>#REF!</v>
      </c>
      <c r="FS19" s="274" t="e">
        <f>#REF!</f>
        <v>#REF!</v>
      </c>
      <c r="FT19" s="274" t="e">
        <f>#REF!</f>
        <v>#REF!</v>
      </c>
      <c r="FU19" s="274" t="e">
        <f>#REF!</f>
        <v>#REF!</v>
      </c>
      <c r="FV19" s="274" t="e">
        <f>#REF!</f>
        <v>#REF!</v>
      </c>
      <c r="FW19" s="274" t="e">
        <f>#REF!</f>
        <v>#REF!</v>
      </c>
      <c r="FX19" s="274" t="e">
        <f>#REF!</f>
        <v>#REF!</v>
      </c>
      <c r="FY19" s="274" t="e">
        <f>#REF!</f>
        <v>#REF!</v>
      </c>
      <c r="FZ19" s="274" t="e">
        <f>#REF!</f>
        <v>#REF!</v>
      </c>
      <c r="GA19" s="275">
        <f t="shared" si="167"/>
        <v>1.7881332972094283E-2</v>
      </c>
      <c r="GB19" s="275">
        <f t="shared" si="167"/>
        <v>2.0605112154407929E-2</v>
      </c>
      <c r="GC19" s="275">
        <f t="shared" si="167"/>
        <v>2.4009978172747116E-2</v>
      </c>
      <c r="GD19" s="275">
        <f t="shared" si="167"/>
        <v>8.9240030097817905E-2</v>
      </c>
      <c r="GE19" s="275">
        <f t="shared" si="167"/>
        <v>2.3567220139260846E-2</v>
      </c>
      <c r="GF19" s="275">
        <f t="shared" si="167"/>
        <v>1.5764425936942297E-2</v>
      </c>
      <c r="GG19" s="275">
        <f t="shared" si="167"/>
        <v>1.4973508408200876E-2</v>
      </c>
      <c r="GH19" s="275">
        <f t="shared" si="167"/>
        <v>1.3006134969325154E-2</v>
      </c>
      <c r="GI19" s="275">
        <f t="shared" si="167"/>
        <v>1.1714285714285714E-2</v>
      </c>
      <c r="GJ19" s="275">
        <f t="shared" si="167"/>
        <v>1.8234672304439745E-2</v>
      </c>
      <c r="GK19" s="275">
        <f t="shared" si="167"/>
        <v>2.8174037089871613E-2</v>
      </c>
      <c r="GL19" s="275">
        <f t="shared" si="167"/>
        <v>2.3225806451612905E-2</v>
      </c>
      <c r="GM19" s="275">
        <f t="shared" si="168"/>
        <v>1.7012351433232348E-2</v>
      </c>
      <c r="GN19" s="275">
        <f t="shared" si="168"/>
        <v>2.0692974013474495E-2</v>
      </c>
      <c r="GO19" s="275">
        <f t="shared" si="168"/>
        <v>3.5356400075628666E-2</v>
      </c>
      <c r="GP19" s="275">
        <f t="shared" si="168"/>
        <v>0.28982229402261711</v>
      </c>
      <c r="GQ19" s="275">
        <f t="shared" si="168"/>
        <v>0.13950598104707163</v>
      </c>
      <c r="GR19" s="275">
        <f t="shared" si="168"/>
        <v>7.3247815579103925E-2</v>
      </c>
      <c r="GS19" s="275">
        <f t="shared" si="168"/>
        <v>3.8233801387244123E-2</v>
      </c>
      <c r="GT19" s="275">
        <f t="shared" si="168"/>
        <v>3.4939759036144581E-2</v>
      </c>
      <c r="GU19" s="275">
        <f t="shared" si="168"/>
        <v>1.9662921348314606E-2</v>
      </c>
      <c r="GV19" s="275">
        <f t="shared" si="168"/>
        <v>1.1329916374426759E-2</v>
      </c>
      <c r="GW19" s="275">
        <f t="shared" si="168"/>
        <v>1.3869232946504387E-2</v>
      </c>
      <c r="GX19" s="275">
        <f t="shared" si="168"/>
        <v>2.0665593129361247E-2</v>
      </c>
      <c r="GY19" s="828">
        <f t="shared" si="169"/>
        <v>1.7495626093476629E-2</v>
      </c>
      <c r="GZ19" s="828">
        <f t="shared" si="169"/>
        <v>1.9154030327214685E-2</v>
      </c>
      <c r="HA19" s="828">
        <f t="shared" si="169"/>
        <v>2.0853080568720379E-2</v>
      </c>
      <c r="HB19" s="828">
        <f t="shared" si="169"/>
        <v>0.38479421387980023</v>
      </c>
      <c r="HC19" s="828">
        <f t="shared" si="169"/>
        <v>1.7473118279569891E-2</v>
      </c>
      <c r="HD19" s="828">
        <f t="shared" si="169"/>
        <v>1.6853932584269662E-2</v>
      </c>
      <c r="HE19" s="828">
        <f t="shared" si="169"/>
        <v>5.2189562087582485E-2</v>
      </c>
      <c r="HF19" s="828">
        <f t="shared" si="169"/>
        <v>6.8947906026557718E-2</v>
      </c>
      <c r="HG19" s="828">
        <f t="shared" si="169"/>
        <v>3.0954631379962193E-2</v>
      </c>
      <c r="HH19" s="828">
        <f t="shared" si="169"/>
        <v>3.3077853973376363E-2</v>
      </c>
      <c r="HI19" s="828">
        <f t="shared" si="169"/>
        <v>2.1670943826632448E-2</v>
      </c>
      <c r="HJ19" s="828">
        <f t="shared" si="169"/>
        <v>2.8977272727272727E-2</v>
      </c>
      <c r="HK19" s="956">
        <f t="shared" si="170"/>
        <v>4.3634190077704721E-2</v>
      </c>
      <c r="HL19" s="956">
        <f t="shared" si="171"/>
        <v>4.1104899704044726E-2</v>
      </c>
      <c r="HM19" s="956">
        <f t="shared" si="171"/>
        <v>5.4513481828839389E-2</v>
      </c>
      <c r="HN19" s="956">
        <f t="shared" si="171"/>
        <v>0.11200200451014783</v>
      </c>
      <c r="HO19" s="956">
        <f t="shared" si="171"/>
        <v>8.8586956521739132E-2</v>
      </c>
      <c r="HP19" s="956">
        <f t="shared" si="171"/>
        <v>4.738154613466334E-2</v>
      </c>
      <c r="HQ19" s="956">
        <f t="shared" si="171"/>
        <v>3.2319912352780061E-2</v>
      </c>
      <c r="HR19" s="956">
        <f t="shared" si="171"/>
        <v>2.4205748865355523E-2</v>
      </c>
      <c r="HS19" s="956">
        <f t="shared" si="171"/>
        <v>3.1955922865013774E-2</v>
      </c>
      <c r="HT19" s="956">
        <f t="shared" si="171"/>
        <v>2.5769956002514142E-2</v>
      </c>
      <c r="HU19" s="956">
        <f t="shared" si="171"/>
        <v>1.8756169792694965E-2</v>
      </c>
      <c r="HV19" s="956">
        <f t="shared" si="171"/>
        <v>0</v>
      </c>
    </row>
    <row r="20" spans="1:230" s="1" customFormat="1" ht="15.75" thickBot="1" x14ac:dyDescent="0.3">
      <c r="A20" s="803"/>
      <c r="B20" s="57">
        <v>2.8</v>
      </c>
      <c r="C20" s="14"/>
      <c r="D20" s="453"/>
      <c r="E20" s="1035" t="s">
        <v>166</v>
      </c>
      <c r="F20" s="1035"/>
      <c r="G20" s="1036"/>
      <c r="H20" s="381">
        <v>3.665380152960955E-2</v>
      </c>
      <c r="I20" s="202">
        <v>3.3233128979572514E-2</v>
      </c>
      <c r="J20" s="200">
        <v>3.3168293413645751E-2</v>
      </c>
      <c r="K20" s="202">
        <v>4.2126220649116711E-2</v>
      </c>
      <c r="L20" s="200">
        <v>3.2911890976407107E-2</v>
      </c>
      <c r="M20" s="202">
        <v>3.406974909263058E-2</v>
      </c>
      <c r="N20" s="200">
        <v>3.858040548551555E-2</v>
      </c>
      <c r="O20" s="202">
        <v>3.7489372184125423E-2</v>
      </c>
      <c r="P20" s="200">
        <v>2.634712902730113E-2</v>
      </c>
      <c r="Q20" s="202">
        <v>2.7622741462491721E-2</v>
      </c>
      <c r="R20" s="200">
        <v>3.6627308027577465E-2</v>
      </c>
      <c r="S20" s="202">
        <v>3.5897149156089499E-2</v>
      </c>
      <c r="T20" s="201" t="s">
        <v>29</v>
      </c>
      <c r="U20" s="199">
        <v>3.4560599165340246E-2</v>
      </c>
      <c r="V20" s="381">
        <f t="shared" ref="V20:Y20" si="219">V13/V11</f>
        <v>3.1294214902309908E-2</v>
      </c>
      <c r="W20" s="202">
        <f t="shared" si="219"/>
        <v>2.5042221983263016E-2</v>
      </c>
      <c r="X20" s="200">
        <f t="shared" si="219"/>
        <v>2.7029568733787354E-2</v>
      </c>
      <c r="Y20" s="202">
        <f t="shared" si="219"/>
        <v>3.3989899784465809E-2</v>
      </c>
      <c r="Z20" s="200">
        <v>2.7719739219228653E-2</v>
      </c>
      <c r="AA20" s="202">
        <v>2.8759981729693972E-2</v>
      </c>
      <c r="AB20" s="200">
        <v>2.7221385542168675E-2</v>
      </c>
      <c r="AC20" s="202">
        <v>3.2084381134068571E-2</v>
      </c>
      <c r="AD20" s="200">
        <v>3.5664301915930702E-2</v>
      </c>
      <c r="AE20" s="202">
        <v>2.8936992033475498E-2</v>
      </c>
      <c r="AF20" s="200">
        <v>3.3384740099254601E-2</v>
      </c>
      <c r="AG20" s="202">
        <v>2.9930200093066541E-2</v>
      </c>
      <c r="AH20" s="201" t="s">
        <v>29</v>
      </c>
      <c r="AI20" s="199">
        <v>3.0088135597559438E-2</v>
      </c>
      <c r="AJ20" s="381">
        <f t="shared" ref="AJ20:AO20" si="220">AJ13/AJ11</f>
        <v>3.3088597835928608E-2</v>
      </c>
      <c r="AK20" s="202">
        <f t="shared" si="220"/>
        <v>2.8423370326713077E-2</v>
      </c>
      <c r="AL20" s="200">
        <f t="shared" si="220"/>
        <v>2.8790735254511177E-2</v>
      </c>
      <c r="AM20" s="202">
        <f t="shared" si="220"/>
        <v>5.9614056178061668E-2</v>
      </c>
      <c r="AN20" s="631">
        <f t="shared" si="220"/>
        <v>3.3549871065707074E-2</v>
      </c>
      <c r="AO20" s="629">
        <f t="shared" si="220"/>
        <v>3.0259391932028874E-2</v>
      </c>
      <c r="AP20" s="631">
        <f t="shared" ref="AP20:AU20" si="221">AP13/AP11</f>
        <v>3.9101062871554675E-2</v>
      </c>
      <c r="AQ20" s="629">
        <f t="shared" si="221"/>
        <v>3.0752860204666888E-2</v>
      </c>
      <c r="AR20" s="631">
        <f t="shared" si="221"/>
        <v>3.1547447360830691E-2</v>
      </c>
      <c r="AS20" s="629">
        <f t="shared" si="221"/>
        <v>3.3993316324697258E-2</v>
      </c>
      <c r="AT20" s="631">
        <f t="shared" si="221"/>
        <v>5.0249545263120164E-2</v>
      </c>
      <c r="AU20" s="629">
        <f t="shared" si="221"/>
        <v>3.4464050659930981E-2</v>
      </c>
      <c r="AV20" s="201" t="s">
        <v>29</v>
      </c>
      <c r="AW20" s="199">
        <f t="shared" si="87"/>
        <v>3.6152858773145925E-2</v>
      </c>
      <c r="AX20" s="381">
        <f t="shared" ref="AX20:BC20" si="222">AX13/AX11</f>
        <v>3.8176496232172882E-2</v>
      </c>
      <c r="AY20" s="202">
        <f t="shared" si="222"/>
        <v>3.1051306381357262E-2</v>
      </c>
      <c r="AZ20" s="200">
        <f t="shared" si="222"/>
        <v>4.7770873225188769E-2</v>
      </c>
      <c r="BA20" s="202">
        <f t="shared" si="222"/>
        <v>0.1398541359770811</v>
      </c>
      <c r="BB20" s="631">
        <f t="shared" si="222"/>
        <v>5.8454944196732625E-2</v>
      </c>
      <c r="BC20" s="629">
        <f t="shared" si="222"/>
        <v>4.8991748182960815E-2</v>
      </c>
      <c r="BD20" s="631">
        <f t="shared" ref="BD20:BI20" si="223">BD13/BD11</f>
        <v>4.7952428854203852E-2</v>
      </c>
      <c r="BE20" s="629">
        <f t="shared" si="223"/>
        <v>3.788570385247398E-2</v>
      </c>
      <c r="BF20" s="631">
        <f t="shared" si="223"/>
        <v>3.5672967433386472E-2</v>
      </c>
      <c r="BG20" s="629">
        <f t="shared" si="223"/>
        <v>3.3561178760581234E-2</v>
      </c>
      <c r="BH20" s="631">
        <f t="shared" si="223"/>
        <v>3.1742181252976114E-2</v>
      </c>
      <c r="BI20" s="629">
        <f t="shared" si="223"/>
        <v>2.7356225633796614E-2</v>
      </c>
      <c r="BJ20" s="201" t="s">
        <v>29</v>
      </c>
      <c r="BK20" s="199">
        <f t="shared" si="88"/>
        <v>4.8205849165242648E-2</v>
      </c>
      <c r="BL20" s="381">
        <f t="shared" ref="BL20:BM20" si="224">BL13/BL11</f>
        <v>3.5147671170300612E-2</v>
      </c>
      <c r="BM20" s="202">
        <f t="shared" si="224"/>
        <v>3.2569705581645209E-2</v>
      </c>
      <c r="BN20" s="200">
        <f t="shared" ref="BN20:BO20" si="225">BN13/BN11</f>
        <v>3.6418554476806905E-2</v>
      </c>
      <c r="BO20" s="202">
        <f t="shared" si="225"/>
        <v>9.9605488850771876E-2</v>
      </c>
      <c r="BP20" s="212">
        <f t="shared" ref="BP20:BQ20" si="226">BP13/BP11</f>
        <v>3.1669277395627596E-2</v>
      </c>
      <c r="BQ20" s="629">
        <f t="shared" si="226"/>
        <v>3.3386476601331705E-2</v>
      </c>
      <c r="BR20" s="631">
        <f t="shared" ref="BR20" si="227">BR13/BR11</f>
        <v>3.5078243913388089E-2</v>
      </c>
      <c r="BS20" s="629">
        <f t="shared" ref="BS20:BT20" si="228">BS13/BS11</f>
        <v>3.3455216484981037E-2</v>
      </c>
      <c r="BT20" s="631">
        <f t="shared" si="228"/>
        <v>3.6025912778472988E-2</v>
      </c>
      <c r="BU20" s="631">
        <f t="shared" ref="BU20:BV20" si="229">BU13/BU11</f>
        <v>4.1667717183941376E-2</v>
      </c>
      <c r="BV20" s="631">
        <f t="shared" si="229"/>
        <v>2.9264995493841584E-2</v>
      </c>
      <c r="BW20" s="631">
        <f t="shared" ref="BW20" si="230">BW13/BW11</f>
        <v>2.9058728350421847E-2</v>
      </c>
      <c r="BX20" s="201" t="s">
        <v>29</v>
      </c>
      <c r="BY20" s="199">
        <f t="shared" si="89"/>
        <v>3.9445665690127564E-2</v>
      </c>
      <c r="BZ20" s="631">
        <f t="shared" ref="BZ20:CA20" si="231">BZ13/BZ11</f>
        <v>2.2514248033535866E-2</v>
      </c>
      <c r="CA20" s="202">
        <f t="shared" si="231"/>
        <v>2.5094693062443784E-2</v>
      </c>
      <c r="CB20" s="200">
        <f t="shared" ref="CB20:CC20" si="232">CB13/CB11</f>
        <v>2.8278977249181551E-2</v>
      </c>
      <c r="CC20" s="202">
        <f t="shared" si="232"/>
        <v>3.3058604265893562E-2</v>
      </c>
      <c r="CD20" s="212">
        <f t="shared" ref="CD20:CE20" si="233">CD13/CD11</f>
        <v>3.0543474652235982E-2</v>
      </c>
      <c r="CE20" s="629">
        <f t="shared" si="233"/>
        <v>2.4562716940039475E-2</v>
      </c>
      <c r="CF20" s="631">
        <f t="shared" ref="CF20:CG20" si="234">CF13/CF11</f>
        <v>2.9761079909029403E-2</v>
      </c>
      <c r="CG20" s="629">
        <f t="shared" si="234"/>
        <v>3.3436469864180147E-2</v>
      </c>
      <c r="CH20" s="631">
        <f t="shared" ref="CH20:CI20" si="235">CH13/CH11</f>
        <v>3.0764536879306401E-2</v>
      </c>
      <c r="CI20" s="631">
        <f t="shared" si="235"/>
        <v>2.6831715728849577E-2</v>
      </c>
      <c r="CJ20" s="631">
        <f t="shared" ref="CJ20" si="236">CJ13/CJ11</f>
        <v>2.5573919482967552E-2</v>
      </c>
      <c r="CK20" s="631"/>
      <c r="CL20" s="201" t="s">
        <v>29</v>
      </c>
      <c r="CM20" s="199">
        <f t="shared" si="90"/>
        <v>2.8220039642514846E-2</v>
      </c>
      <c r="CN20" s="675">
        <f t="shared" si="91"/>
        <v>3.7124455722419014E-3</v>
      </c>
      <c r="CO20" s="676">
        <f t="shared" si="92"/>
        <v>0.10771936267370076</v>
      </c>
      <c r="CP20" s="675">
        <f t="shared" si="93"/>
        <v>-7.1251898508156199E-3</v>
      </c>
      <c r="CQ20" s="676">
        <f t="shared" si="94"/>
        <v>-0.18663812958327311</v>
      </c>
      <c r="CR20" s="675">
        <f t="shared" si="95"/>
        <v>1.6719566843831506E-2</v>
      </c>
      <c r="CS20" s="676">
        <f t="shared" si="96"/>
        <v>0.53844970767058231</v>
      </c>
      <c r="CT20" s="675">
        <f t="shared" si="97"/>
        <v>9.2083262751892325E-2</v>
      </c>
      <c r="CU20" s="676">
        <f t="shared" si="98"/>
        <v>1.9276026694722086</v>
      </c>
      <c r="CV20" s="675">
        <f t="shared" si="99"/>
        <v>-8.1399191780348476E-2</v>
      </c>
      <c r="CW20" s="676">
        <f t="shared" si="100"/>
        <v>-0.5820292064418312</v>
      </c>
      <c r="CX20" s="675">
        <f t="shared" si="101"/>
        <v>-9.4631960137718102E-3</v>
      </c>
      <c r="CY20" s="676">
        <f t="shared" si="102"/>
        <v>-0.16188871863298709</v>
      </c>
      <c r="CZ20" s="675">
        <f t="shared" si="103"/>
        <v>-1.039319328756963E-3</v>
      </c>
      <c r="DA20" s="676">
        <f t="shared" si="104"/>
        <v>-2.1214171106440232E-2</v>
      </c>
      <c r="DB20" s="675">
        <f t="shared" si="105"/>
        <v>-1.0066725001729872E-2</v>
      </c>
      <c r="DC20" s="676">
        <f t="shared" si="106"/>
        <v>-0.20993149340437112</v>
      </c>
      <c r="DD20" s="675">
        <f t="shared" si="107"/>
        <v>-2.2127364190875076E-3</v>
      </c>
      <c r="DE20" s="676">
        <f t="shared" si="108"/>
        <v>-5.8405577673938697E-2</v>
      </c>
      <c r="DF20" s="675">
        <f t="shared" si="109"/>
        <v>-2.1117886728052385E-3</v>
      </c>
      <c r="DG20" s="110">
        <f t="shared" si="110"/>
        <v>-5.919857036700589E-2</v>
      </c>
      <c r="DH20" s="675">
        <f t="shared" si="111"/>
        <v>-1.8189975076051204E-3</v>
      </c>
      <c r="DI20" s="676">
        <f t="shared" si="112"/>
        <v>-5.419945230712802E-2</v>
      </c>
      <c r="DJ20" s="675">
        <f t="shared" si="113"/>
        <v>-4.3859556191794997E-3</v>
      </c>
      <c r="DK20" s="676">
        <f t="shared" si="114"/>
        <v>-0.13817436124583521</v>
      </c>
      <c r="DL20" s="675">
        <f t="shared" si="115"/>
        <v>7.7914455365039985E-3</v>
      </c>
      <c r="DM20" s="676">
        <f t="shared" si="116"/>
        <v>0.28481434686217233</v>
      </c>
      <c r="DN20" s="326">
        <f t="shared" si="117"/>
        <v>-2.5779655886554037E-3</v>
      </c>
      <c r="DO20" s="411">
        <f t="shared" si="118"/>
        <v>-7.3346697030492181E-2</v>
      </c>
      <c r="DP20" s="326">
        <f t="shared" si="119"/>
        <v>3.8488488951616967E-3</v>
      </c>
      <c r="DQ20" s="411">
        <f t="shared" si="120"/>
        <v>0.11817266464117905</v>
      </c>
      <c r="DR20" s="326">
        <f t="shared" si="121"/>
        <v>6.318693437396497E-2</v>
      </c>
      <c r="DS20" s="411">
        <f t="shared" si="122"/>
        <v>1.7350203840244527</v>
      </c>
      <c r="DT20" s="326">
        <f t="shared" si="123"/>
        <v>-6.793621145514428E-2</v>
      </c>
      <c r="DU20" s="411">
        <f t="shared" si="124"/>
        <v>-0.68205288924313956</v>
      </c>
      <c r="DV20" s="326">
        <f t="shared" si="125"/>
        <v>1.7171992057041091E-3</v>
      </c>
      <c r="DW20" s="411">
        <f t="shared" si="126"/>
        <v>5.4222872983555777E-2</v>
      </c>
      <c r="DX20" s="326">
        <f t="shared" si="127"/>
        <v>1.6917673120563845E-3</v>
      </c>
      <c r="DY20" s="411">
        <f t="shared" si="128"/>
        <v>5.0672232720385478E-2</v>
      </c>
      <c r="DZ20" s="326">
        <f t="shared" si="129"/>
        <v>-1.623027428407052E-3</v>
      </c>
      <c r="EA20" s="411">
        <f t="shared" si="130"/>
        <v>-4.6268776521837272E-2</v>
      </c>
      <c r="EB20" s="326">
        <f t="shared" si="131"/>
        <v>2.5706962934919503E-3</v>
      </c>
      <c r="EC20" s="411">
        <f t="shared" si="132"/>
        <v>7.6839924041322713E-2</v>
      </c>
      <c r="ED20" s="326">
        <f t="shared" si="133"/>
        <v>5.6418044054683883E-3</v>
      </c>
      <c r="EE20" s="411">
        <f t="shared" si="134"/>
        <v>0.15660406552806638</v>
      </c>
      <c r="EF20" s="326">
        <f t="shared" si="135"/>
        <v>-1.2402721690099792E-2</v>
      </c>
      <c r="EG20" s="411">
        <f t="shared" si="136"/>
        <v>-0.2976578158901339</v>
      </c>
      <c r="EH20" s="326">
        <f t="shared" si="137"/>
        <v>-2.0626714341973745E-4</v>
      </c>
      <c r="EI20" s="411">
        <f t="shared" si="138"/>
        <v>-7.0482547473189779E-3</v>
      </c>
      <c r="EJ20" s="326">
        <f t="shared" si="139"/>
        <v>-6.5444803168859811E-3</v>
      </c>
      <c r="EK20" s="411">
        <f t="shared" si="140"/>
        <v>-0.22521564735956434</v>
      </c>
      <c r="EL20" s="326">
        <f t="shared" si="141"/>
        <v>2.5804450289079184E-3</v>
      </c>
      <c r="EM20" s="411">
        <f t="shared" si="142"/>
        <v>0.11461386696389962</v>
      </c>
      <c r="EN20" s="326">
        <f t="shared" si="143"/>
        <v>3.1842841867377666E-3</v>
      </c>
      <c r="EO20" s="411">
        <f t="shared" si="144"/>
        <v>0.12689074055674754</v>
      </c>
      <c r="EP20" s="326">
        <f t="shared" si="145"/>
        <v>4.7796270167120118E-3</v>
      </c>
      <c r="EQ20" s="411">
        <f t="shared" si="146"/>
        <v>0.16901696884565878</v>
      </c>
      <c r="ER20" s="326">
        <f t="shared" si="147"/>
        <v>-2.515129613657581E-3</v>
      </c>
      <c r="ES20" s="411">
        <f t="shared" si="148"/>
        <v>-7.6080937762167733E-2</v>
      </c>
      <c r="ET20" s="326">
        <f t="shared" si="149"/>
        <v>-5.9807577121965064E-3</v>
      </c>
      <c r="EU20" s="411">
        <f t="shared" si="150"/>
        <v>-0.19581130766203367</v>
      </c>
      <c r="EV20" s="326">
        <f t="shared" si="151"/>
        <v>5.198362968989928E-3</v>
      </c>
      <c r="EW20" s="411">
        <f t="shared" si="152"/>
        <v>0.21163631782590472</v>
      </c>
      <c r="EX20" s="326">
        <f t="shared" si="153"/>
        <v>3.6753899551507443E-3</v>
      </c>
      <c r="EY20" s="411">
        <f t="shared" si="154"/>
        <v>0.1234965252062525</v>
      </c>
      <c r="EZ20" s="326">
        <f t="shared" si="155"/>
        <v>-2.6719329848737469E-3</v>
      </c>
      <c r="FA20" s="411">
        <f t="shared" si="156"/>
        <v>-7.9910738057193578E-2</v>
      </c>
      <c r="FB20" s="326">
        <f t="shared" si="157"/>
        <v>-3.9328211504568236E-3</v>
      </c>
      <c r="FC20" s="411">
        <f t="shared" si="158"/>
        <v>-0.12783618898232837</v>
      </c>
      <c r="FD20" s="326">
        <f t="shared" si="159"/>
        <v>-1.2577962458820251E-3</v>
      </c>
      <c r="FE20" s="411">
        <f t="shared" si="160"/>
        <v>-4.6877220174542815E-2</v>
      </c>
      <c r="FF20" s="326">
        <f t="shared" si="161"/>
        <v>-2.5573919482967552E-2</v>
      </c>
      <c r="FG20" s="411">
        <f t="shared" si="162"/>
        <v>-1</v>
      </c>
      <c r="FH20" s="212">
        <f t="shared" si="163"/>
        <v>2.9264995493841584E-2</v>
      </c>
      <c r="FI20" s="724">
        <f t="shared" si="164"/>
        <v>2.5573919482967552E-2</v>
      </c>
      <c r="FJ20" s="675">
        <f>FI20-FH20</f>
        <v>-3.6910760108740323E-3</v>
      </c>
      <c r="FK20" s="110">
        <f t="shared" ref="FK20" si="237">IF(ISERROR(FJ20/FH20),0,FJ20/FH20)</f>
        <v>-0.12612597229515271</v>
      </c>
      <c r="FL20" s="708"/>
      <c r="FM20" s="708"/>
      <c r="FN20" s="708"/>
      <c r="FO20" s="1" t="str">
        <f t="shared" si="166"/>
        <v>Average Calls per Payroll Processed</v>
      </c>
      <c r="FP20" s="276" t="e">
        <f>#REF!</f>
        <v>#REF!</v>
      </c>
      <c r="FQ20" s="276" t="e">
        <f>#REF!</f>
        <v>#REF!</v>
      </c>
      <c r="FR20" s="276" t="e">
        <f>#REF!</f>
        <v>#REF!</v>
      </c>
      <c r="FS20" s="276" t="e">
        <f>#REF!</f>
        <v>#REF!</v>
      </c>
      <c r="FT20" s="276" t="e">
        <f>#REF!</f>
        <v>#REF!</v>
      </c>
      <c r="FU20" s="276" t="e">
        <f>#REF!</f>
        <v>#REF!</v>
      </c>
      <c r="FV20" s="276" t="e">
        <f>#REF!</f>
        <v>#REF!</v>
      </c>
      <c r="FW20" s="276" t="e">
        <f>#REF!</f>
        <v>#REF!</v>
      </c>
      <c r="FX20" s="276" t="e">
        <f>#REF!</f>
        <v>#REF!</v>
      </c>
      <c r="FY20" s="276" t="e">
        <f>#REF!</f>
        <v>#REF!</v>
      </c>
      <c r="FZ20" s="276" t="e">
        <f>#REF!</f>
        <v>#REF!</v>
      </c>
      <c r="GA20" s="277">
        <f t="shared" si="167"/>
        <v>3.3088597835928608E-2</v>
      </c>
      <c r="GB20" s="277">
        <f t="shared" si="167"/>
        <v>2.8423370326713077E-2</v>
      </c>
      <c r="GC20" s="277">
        <f t="shared" si="167"/>
        <v>2.8790735254511177E-2</v>
      </c>
      <c r="GD20" s="277">
        <f t="shared" si="167"/>
        <v>5.9614056178061668E-2</v>
      </c>
      <c r="GE20" s="277">
        <f t="shared" si="167"/>
        <v>3.3549871065707074E-2</v>
      </c>
      <c r="GF20" s="277">
        <f t="shared" si="167"/>
        <v>3.0259391932028874E-2</v>
      </c>
      <c r="GG20" s="277">
        <f t="shared" si="167"/>
        <v>3.9101062871554675E-2</v>
      </c>
      <c r="GH20" s="277">
        <f t="shared" si="167"/>
        <v>3.0752860204666888E-2</v>
      </c>
      <c r="GI20" s="277">
        <f t="shared" si="167"/>
        <v>3.1547447360830691E-2</v>
      </c>
      <c r="GJ20" s="277">
        <f t="shared" si="167"/>
        <v>3.3993316324697258E-2</v>
      </c>
      <c r="GK20" s="277">
        <f t="shared" si="167"/>
        <v>5.0249545263120164E-2</v>
      </c>
      <c r="GL20" s="277">
        <f t="shared" si="167"/>
        <v>3.4464050659930981E-2</v>
      </c>
      <c r="GM20" s="277">
        <f t="shared" si="168"/>
        <v>3.8176496232172882E-2</v>
      </c>
      <c r="GN20" s="277">
        <f t="shared" si="168"/>
        <v>3.1051306381357262E-2</v>
      </c>
      <c r="GO20" s="277">
        <f t="shared" si="168"/>
        <v>4.7770873225188769E-2</v>
      </c>
      <c r="GP20" s="277">
        <f t="shared" si="168"/>
        <v>0.1398541359770811</v>
      </c>
      <c r="GQ20" s="277">
        <f t="shared" si="168"/>
        <v>5.8454944196732625E-2</v>
      </c>
      <c r="GR20" s="277">
        <f t="shared" si="168"/>
        <v>4.8991748182960815E-2</v>
      </c>
      <c r="GS20" s="277">
        <f t="shared" si="168"/>
        <v>4.7952428854203852E-2</v>
      </c>
      <c r="GT20" s="277">
        <f t="shared" si="168"/>
        <v>3.788570385247398E-2</v>
      </c>
      <c r="GU20" s="277">
        <f t="shared" si="168"/>
        <v>3.5672967433386472E-2</v>
      </c>
      <c r="GV20" s="277">
        <f t="shared" si="168"/>
        <v>3.3561178760581234E-2</v>
      </c>
      <c r="GW20" s="277">
        <f t="shared" si="168"/>
        <v>3.1742181252976114E-2</v>
      </c>
      <c r="GX20" s="277">
        <f t="shared" si="168"/>
        <v>2.7356225633796614E-2</v>
      </c>
      <c r="GY20" s="829">
        <f t="shared" si="169"/>
        <v>3.5147671170300612E-2</v>
      </c>
      <c r="GZ20" s="829">
        <f t="shared" si="169"/>
        <v>3.2569705581645209E-2</v>
      </c>
      <c r="HA20" s="829">
        <f t="shared" si="169"/>
        <v>3.6418554476806905E-2</v>
      </c>
      <c r="HB20" s="829">
        <f t="shared" si="169"/>
        <v>9.9605488850771876E-2</v>
      </c>
      <c r="HC20" s="829">
        <f t="shared" si="169"/>
        <v>3.1669277395627596E-2</v>
      </c>
      <c r="HD20" s="829">
        <f t="shared" si="169"/>
        <v>3.3386476601331705E-2</v>
      </c>
      <c r="HE20" s="829">
        <f t="shared" si="169"/>
        <v>3.5078243913388089E-2</v>
      </c>
      <c r="HF20" s="829">
        <f t="shared" si="169"/>
        <v>3.3455216484981037E-2</v>
      </c>
      <c r="HG20" s="829">
        <f t="shared" si="169"/>
        <v>3.6025912778472988E-2</v>
      </c>
      <c r="HH20" s="829">
        <f t="shared" si="169"/>
        <v>4.1667717183941376E-2</v>
      </c>
      <c r="HI20" s="829">
        <f t="shared" si="169"/>
        <v>2.9264995493841584E-2</v>
      </c>
      <c r="HJ20" s="829">
        <f t="shared" si="169"/>
        <v>2.9058728350421847E-2</v>
      </c>
      <c r="HK20" s="957">
        <f t="shared" si="170"/>
        <v>2.2514248033535866E-2</v>
      </c>
      <c r="HL20" s="957">
        <f t="shared" si="171"/>
        <v>2.5094693062443784E-2</v>
      </c>
      <c r="HM20" s="957">
        <f t="shared" si="171"/>
        <v>2.8278977249181551E-2</v>
      </c>
      <c r="HN20" s="957">
        <f t="shared" si="171"/>
        <v>3.3058604265893562E-2</v>
      </c>
      <c r="HO20" s="957">
        <f t="shared" si="171"/>
        <v>3.0543474652235982E-2</v>
      </c>
      <c r="HP20" s="957">
        <f t="shared" si="171"/>
        <v>2.4562716940039475E-2</v>
      </c>
      <c r="HQ20" s="957">
        <f t="shared" si="171"/>
        <v>2.9761079909029403E-2</v>
      </c>
      <c r="HR20" s="957">
        <f t="shared" si="171"/>
        <v>3.3436469864180147E-2</v>
      </c>
      <c r="HS20" s="957">
        <f t="shared" si="171"/>
        <v>3.0764536879306401E-2</v>
      </c>
      <c r="HT20" s="957">
        <f t="shared" si="171"/>
        <v>2.6831715728849577E-2</v>
      </c>
      <c r="HU20" s="957">
        <f t="shared" si="171"/>
        <v>2.5573919482967552E-2</v>
      </c>
      <c r="HV20" s="957">
        <f t="shared" si="171"/>
        <v>0</v>
      </c>
    </row>
    <row r="21" spans="1:230" ht="15.75" customHeight="1" x14ac:dyDescent="0.25">
      <c r="A21" s="801">
        <v>3</v>
      </c>
      <c r="B21" s="5" t="s">
        <v>92</v>
      </c>
      <c r="C21" s="103"/>
      <c r="D21" s="454"/>
      <c r="E21" s="315"/>
      <c r="F21" s="315"/>
      <c r="G21" s="315"/>
      <c r="H21" s="382"/>
      <c r="I21" s="66"/>
      <c r="J21" s="18"/>
      <c r="K21" s="66"/>
      <c r="L21" s="18"/>
      <c r="M21" s="66"/>
      <c r="N21" s="18"/>
      <c r="O21" s="66"/>
      <c r="P21" s="18"/>
      <c r="Q21" s="66"/>
      <c r="R21" s="18"/>
      <c r="S21" s="66"/>
      <c r="T21" s="129"/>
      <c r="U21" s="149"/>
      <c r="V21" s="382"/>
      <c r="W21" s="66"/>
      <c r="X21" s="18"/>
      <c r="Y21" s="66"/>
      <c r="Z21" s="18"/>
      <c r="AA21" s="66"/>
      <c r="AB21" s="18"/>
      <c r="AC21" s="66"/>
      <c r="AD21" s="18"/>
      <c r="AE21" s="66"/>
      <c r="AF21" s="18"/>
      <c r="AG21" s="66"/>
      <c r="AH21" s="129"/>
      <c r="AI21" s="149"/>
      <c r="AJ21" s="382"/>
      <c r="AK21" s="66"/>
      <c r="AL21" s="18"/>
      <c r="AM21" s="66"/>
      <c r="AN21" s="18"/>
      <c r="AO21" s="66"/>
      <c r="AP21" s="632"/>
      <c r="AQ21" s="66"/>
      <c r="AR21" s="632"/>
      <c r="AS21" s="66"/>
      <c r="AT21" s="632"/>
      <c r="AU21" s="66"/>
      <c r="AV21" s="129"/>
      <c r="AW21" s="149"/>
      <c r="AX21" s="382"/>
      <c r="AY21" s="66"/>
      <c r="AZ21" s="18"/>
      <c r="BA21" s="66"/>
      <c r="BB21" s="18"/>
      <c r="BC21" s="66"/>
      <c r="BD21" s="632"/>
      <c r="BE21" s="66"/>
      <c r="BF21" s="632"/>
      <c r="BG21" s="66"/>
      <c r="BH21" s="632"/>
      <c r="BI21" s="66"/>
      <c r="BJ21" s="129"/>
      <c r="BK21" s="149"/>
      <c r="BL21" s="382"/>
      <c r="BM21" s="66"/>
      <c r="BN21" s="18"/>
      <c r="BO21" s="66"/>
      <c r="BP21" s="18"/>
      <c r="BQ21" s="66"/>
      <c r="BR21" s="632"/>
      <c r="BS21" s="66"/>
      <c r="BT21" s="632"/>
      <c r="BU21" s="632"/>
      <c r="BV21" s="632"/>
      <c r="BW21" s="632"/>
      <c r="BX21" s="129"/>
      <c r="BY21" s="149"/>
      <c r="BZ21" s="632"/>
      <c r="CA21" s="66"/>
      <c r="CB21" s="18"/>
      <c r="CC21" s="66"/>
      <c r="CD21" s="18"/>
      <c r="CE21" s="66"/>
      <c r="CF21" s="632"/>
      <c r="CG21" s="66"/>
      <c r="CH21" s="632"/>
      <c r="CI21" s="632"/>
      <c r="CJ21" s="632"/>
      <c r="CK21" s="632"/>
      <c r="CL21" s="129"/>
      <c r="CM21" s="149"/>
      <c r="CN21" s="118"/>
      <c r="CO21" s="672"/>
      <c r="CP21" s="118"/>
      <c r="CQ21" s="672"/>
      <c r="CR21" s="118"/>
      <c r="CS21" s="672"/>
      <c r="CT21" s="118"/>
      <c r="CU21" s="672"/>
      <c r="CV21" s="118"/>
      <c r="CW21" s="672"/>
      <c r="CX21" s="118"/>
      <c r="CY21" s="672"/>
      <c r="CZ21" s="118"/>
      <c r="DA21" s="672"/>
      <c r="DB21" s="118"/>
      <c r="DC21" s="672"/>
      <c r="DD21" s="118"/>
      <c r="DE21" s="672"/>
      <c r="DF21" s="118"/>
      <c r="DG21" s="109"/>
      <c r="DH21" s="118"/>
      <c r="DI21" s="672"/>
      <c r="DJ21" s="118"/>
      <c r="DK21" s="672"/>
      <c r="DL21" s="118"/>
      <c r="DM21" s="672"/>
      <c r="DN21" s="327"/>
      <c r="DO21" s="410"/>
      <c r="DP21" s="327"/>
      <c r="DQ21" s="410"/>
      <c r="DR21" s="327"/>
      <c r="DS21" s="410"/>
      <c r="DT21" s="327"/>
      <c r="DU21" s="410"/>
      <c r="DV21" s="327"/>
      <c r="DW21" s="410"/>
      <c r="DX21" s="327"/>
      <c r="DY21" s="410"/>
      <c r="DZ21" s="327"/>
      <c r="EA21" s="410"/>
      <c r="EB21" s="327"/>
      <c r="EC21" s="410"/>
      <c r="ED21" s="327"/>
      <c r="EE21" s="410"/>
      <c r="EF21" s="327"/>
      <c r="EG21" s="410"/>
      <c r="EH21" s="327"/>
      <c r="EI21" s="410"/>
      <c r="EJ21" s="327"/>
      <c r="EK21" s="410"/>
      <c r="EL21" s="327"/>
      <c r="EM21" s="410"/>
      <c r="EN21" s="327"/>
      <c r="EO21" s="410"/>
      <c r="EP21" s="327"/>
      <c r="EQ21" s="410"/>
      <c r="ER21" s="327"/>
      <c r="ES21" s="410"/>
      <c r="ET21" s="327"/>
      <c r="EU21" s="410"/>
      <c r="EV21" s="327"/>
      <c r="EW21" s="410"/>
      <c r="EX21" s="327"/>
      <c r="EY21" s="410"/>
      <c r="EZ21" s="327"/>
      <c r="FA21" s="410"/>
      <c r="FB21" s="327"/>
      <c r="FC21" s="410"/>
      <c r="FD21" s="327"/>
      <c r="FE21" s="410"/>
      <c r="FF21" s="327"/>
      <c r="FG21" s="410"/>
      <c r="FH21" s="75"/>
      <c r="FI21" s="725"/>
      <c r="FJ21" s="111"/>
      <c r="FK21" s="109"/>
      <c r="FL21" s="707"/>
      <c r="FM21" s="707"/>
      <c r="FN21" s="707"/>
      <c r="FP21" s="268"/>
      <c r="FQ21" s="268"/>
      <c r="FR21" s="268"/>
      <c r="FS21" s="268"/>
      <c r="FT21" s="268"/>
      <c r="FU21" s="268"/>
      <c r="FV21" s="268"/>
      <c r="FW21" s="268"/>
      <c r="FX21" s="268"/>
      <c r="FY21" s="268"/>
      <c r="FZ21" s="268"/>
      <c r="GA21" s="269"/>
      <c r="GB21" s="269"/>
      <c r="GC21" s="269"/>
      <c r="GD21" s="269"/>
      <c r="GE21" s="269"/>
      <c r="GF21" s="269"/>
      <c r="GG21" s="269"/>
      <c r="GH21" s="269"/>
      <c r="GI21" s="269"/>
      <c r="GJ21" s="269"/>
      <c r="GK21" s="269"/>
      <c r="GL21" s="269"/>
      <c r="GM21" s="269"/>
      <c r="GN21" s="269"/>
      <c r="GO21" s="269"/>
      <c r="GP21" s="269"/>
      <c r="GQ21" s="269"/>
      <c r="GR21" s="269"/>
      <c r="GS21" s="269"/>
      <c r="GT21" s="269"/>
      <c r="GU21" s="269"/>
      <c r="GV21" s="269"/>
      <c r="GW21" s="269"/>
      <c r="GX21" s="269"/>
      <c r="GY21" s="825"/>
      <c r="GZ21" s="825"/>
      <c r="HA21" s="825"/>
      <c r="HB21" s="825"/>
      <c r="HC21" s="825"/>
      <c r="HD21" s="825"/>
      <c r="HE21" s="825"/>
      <c r="HF21" s="825"/>
      <c r="HG21" s="825"/>
      <c r="HH21" s="825"/>
      <c r="HI21" s="825"/>
      <c r="HJ21" s="825"/>
      <c r="HK21" s="953"/>
      <c r="HL21" s="953"/>
      <c r="HM21" s="953"/>
      <c r="HN21" s="953"/>
      <c r="HO21" s="953"/>
      <c r="HP21" s="953"/>
      <c r="HQ21" s="953"/>
      <c r="HR21" s="953"/>
      <c r="HS21" s="953"/>
      <c r="HT21" s="953"/>
      <c r="HU21" s="953"/>
      <c r="HV21" s="953"/>
    </row>
    <row r="22" spans="1:230" x14ac:dyDescent="0.25">
      <c r="A22" s="802"/>
      <c r="B22" s="56">
        <v>3.1</v>
      </c>
      <c r="C22" s="7"/>
      <c r="D22" s="1046" t="s">
        <v>59</v>
      </c>
      <c r="E22" s="1046"/>
      <c r="F22" s="1046"/>
      <c r="G22" s="1047"/>
      <c r="H22" s="383">
        <v>7315</v>
      </c>
      <c r="I22" s="70">
        <v>7174</v>
      </c>
      <c r="J22" s="33">
        <v>7151</v>
      </c>
      <c r="K22" s="70">
        <v>11183</v>
      </c>
      <c r="L22" s="33">
        <v>7336</v>
      </c>
      <c r="M22" s="70">
        <v>6470</v>
      </c>
      <c r="N22" s="33">
        <v>7189</v>
      </c>
      <c r="O22" s="70">
        <v>7501</v>
      </c>
      <c r="P22" s="33">
        <v>7037</v>
      </c>
      <c r="Q22" s="70">
        <v>5915</v>
      </c>
      <c r="R22" s="33">
        <v>7750</v>
      </c>
      <c r="S22" s="70">
        <v>8679</v>
      </c>
      <c r="T22" s="130">
        <v>90700</v>
      </c>
      <c r="U22" s="163">
        <v>7558.333333333333</v>
      </c>
      <c r="V22" s="383">
        <f t="shared" ref="V22:Y22" si="238">SUM(V23:V27)</f>
        <v>6832</v>
      </c>
      <c r="W22" s="70">
        <f t="shared" si="238"/>
        <v>6811</v>
      </c>
      <c r="X22" s="33">
        <f t="shared" si="238"/>
        <v>5779</v>
      </c>
      <c r="Y22" s="70">
        <f t="shared" si="238"/>
        <v>7279</v>
      </c>
      <c r="Z22" s="33">
        <v>6036</v>
      </c>
      <c r="AA22" s="70">
        <v>5730</v>
      </c>
      <c r="AB22" s="33">
        <v>6885</v>
      </c>
      <c r="AC22" s="70">
        <v>6840</v>
      </c>
      <c r="AD22" s="33">
        <v>6934</v>
      </c>
      <c r="AE22" s="70">
        <v>6265</v>
      </c>
      <c r="AF22" s="33">
        <v>6143</v>
      </c>
      <c r="AG22" s="70">
        <v>5995</v>
      </c>
      <c r="AH22" s="130">
        <v>77529</v>
      </c>
      <c r="AI22" s="163">
        <v>6460.75</v>
      </c>
      <c r="AJ22" s="383">
        <f t="shared" ref="AJ22:AS22" si="239">SUM(AJ23:AJ27)</f>
        <v>6768</v>
      </c>
      <c r="AK22" s="70">
        <f t="shared" si="239"/>
        <v>6949</v>
      </c>
      <c r="AL22" s="33">
        <f t="shared" si="239"/>
        <v>5345</v>
      </c>
      <c r="AM22" s="70">
        <f t="shared" si="239"/>
        <v>9088</v>
      </c>
      <c r="AN22" s="33">
        <f t="shared" si="239"/>
        <v>6219</v>
      </c>
      <c r="AO22" s="70">
        <f t="shared" si="239"/>
        <v>5518</v>
      </c>
      <c r="AP22" s="633">
        <f t="shared" si="239"/>
        <v>7380</v>
      </c>
      <c r="AQ22" s="70">
        <f t="shared" si="239"/>
        <v>6960</v>
      </c>
      <c r="AR22" s="633">
        <f t="shared" si="239"/>
        <v>6079</v>
      </c>
      <c r="AS22" s="70">
        <f t="shared" si="239"/>
        <v>6613</v>
      </c>
      <c r="AT22" s="633">
        <f>SUM(AT23:AT27)</f>
        <v>8313</v>
      </c>
      <c r="AU22" s="70">
        <f>SUM(AU23:AU27)</f>
        <v>6310</v>
      </c>
      <c r="AV22" s="130">
        <f t="shared" ref="AV22:AV28" si="240">SUM(AJ22:AU22)</f>
        <v>81542</v>
      </c>
      <c r="AW22" s="163">
        <f t="shared" ref="AW22:AW30" si="241">SUM(AJ22:AU22)/$AV$4</f>
        <v>6795.166666666667</v>
      </c>
      <c r="AX22" s="383">
        <f t="shared" ref="AX22:BC22" si="242">SUM(AX23:AX27)</f>
        <v>7221</v>
      </c>
      <c r="AY22" s="77">
        <f t="shared" si="242"/>
        <v>6954</v>
      </c>
      <c r="AZ22" s="33">
        <f t="shared" si="242"/>
        <v>7492</v>
      </c>
      <c r="BA22" s="184">
        <f t="shared" si="242"/>
        <v>13806</v>
      </c>
      <c r="BB22" s="33">
        <f t="shared" si="242"/>
        <v>8718</v>
      </c>
      <c r="BC22" s="70">
        <f t="shared" si="242"/>
        <v>7584</v>
      </c>
      <c r="BD22" s="633">
        <f t="shared" ref="BD22:BI22" si="243">SUM(BD23:BD27)</f>
        <v>8400</v>
      </c>
      <c r="BE22" s="70">
        <f t="shared" si="243"/>
        <v>6710</v>
      </c>
      <c r="BF22" s="633">
        <f t="shared" si="243"/>
        <v>6732</v>
      </c>
      <c r="BG22" s="70">
        <f t="shared" si="243"/>
        <v>6700</v>
      </c>
      <c r="BH22" s="633">
        <f t="shared" si="243"/>
        <v>6663</v>
      </c>
      <c r="BI22" s="184">
        <f t="shared" si="243"/>
        <v>7110</v>
      </c>
      <c r="BJ22" s="130">
        <f t="shared" ref="BJ22:BJ28" si="244">SUM(AX22:BI22)</f>
        <v>94090</v>
      </c>
      <c r="BK22" s="163">
        <f t="shared" ref="BK22:BK30" si="245">SUM(AX22:BI22)/$BJ$4</f>
        <v>7840.833333333333</v>
      </c>
      <c r="BL22" s="383">
        <f t="shared" ref="BL22:BP22" si="246">SUM(BL23:BL27)</f>
        <v>7534</v>
      </c>
      <c r="BM22" s="77">
        <f t="shared" ref="BM22:BN22" si="247">SUM(BM23:BM27)</f>
        <v>6935</v>
      </c>
      <c r="BN22" s="33">
        <f t="shared" si="247"/>
        <v>7341</v>
      </c>
      <c r="BO22" s="184">
        <f t="shared" si="246"/>
        <v>14182</v>
      </c>
      <c r="BP22" s="33">
        <f t="shared" si="246"/>
        <v>7075</v>
      </c>
      <c r="BQ22" s="70">
        <f t="shared" ref="BQ22:BR22" si="248">SUM(BQ23:BQ27)</f>
        <v>6975</v>
      </c>
      <c r="BR22" s="633">
        <f t="shared" si="248"/>
        <v>8839</v>
      </c>
      <c r="BS22" s="70">
        <f t="shared" ref="BS22:BT22" si="249">SUM(BS23:BS27)</f>
        <v>7077</v>
      </c>
      <c r="BT22" s="633">
        <f t="shared" si="249"/>
        <v>8034</v>
      </c>
      <c r="BU22" s="633">
        <f t="shared" ref="BU22" si="250">SUM(BU23:BU27)</f>
        <v>8445</v>
      </c>
      <c r="BV22" s="633">
        <f t="shared" ref="BV22:BW22" si="251">SUM(BV23:BV27)</f>
        <v>6607</v>
      </c>
      <c r="BW22" s="633">
        <f t="shared" si="251"/>
        <v>7352</v>
      </c>
      <c r="BX22" s="130">
        <f t="shared" ref="BX22:BX28" si="252">SUM(BL22:BW22)</f>
        <v>96396</v>
      </c>
      <c r="BY22" s="163">
        <f t="shared" ref="BY22:BY30" si="253">SUM(BL22:BW22)/$BX$4</f>
        <v>8033</v>
      </c>
      <c r="BZ22" s="633">
        <f t="shared" ref="BZ22:CA22" si="254">SUM(BZ23:BZ27)</f>
        <v>7541</v>
      </c>
      <c r="CA22" s="77">
        <f t="shared" si="254"/>
        <v>7048</v>
      </c>
      <c r="CB22" s="33">
        <f t="shared" ref="CB22:CC22" si="255">SUM(CB23:CB27)</f>
        <v>6782</v>
      </c>
      <c r="CC22" s="184">
        <f t="shared" si="255"/>
        <v>7289</v>
      </c>
      <c r="CD22" s="33">
        <f t="shared" ref="CD22:CE22" si="256">SUM(CD23:CD27)</f>
        <v>7028</v>
      </c>
      <c r="CE22" s="70">
        <f t="shared" si="256"/>
        <v>7247</v>
      </c>
      <c r="CF22" s="633">
        <f t="shared" ref="CF22:CG22" si="257">SUM(CF23:CF27)</f>
        <v>6883</v>
      </c>
      <c r="CG22" s="70">
        <f t="shared" si="257"/>
        <v>7569</v>
      </c>
      <c r="CH22" s="633">
        <f t="shared" ref="CH22:CI22" si="258">SUM(CH23:CH27)</f>
        <v>7006</v>
      </c>
      <c r="CI22" s="633">
        <f t="shared" si="258"/>
        <v>6358</v>
      </c>
      <c r="CJ22" s="633">
        <f t="shared" ref="CJ22" si="259">SUM(CJ23:CJ27)</f>
        <v>5948</v>
      </c>
      <c r="CK22" s="633"/>
      <c r="CL22" s="130">
        <f t="shared" ref="CL22:CL28" si="260">SUM(BZ22:CK22)</f>
        <v>76699</v>
      </c>
      <c r="CM22" s="163">
        <f t="shared" ref="CM22:CM30" si="261">SUM(BZ22:CK22)/$CL$4</f>
        <v>6972.636363636364</v>
      </c>
      <c r="CN22" s="671">
        <f t="shared" ref="CN22:CN30" si="262">AX22-AU22</f>
        <v>911</v>
      </c>
      <c r="CO22" s="672">
        <f t="shared" ref="CO22:CO30" si="263">CN22/AU22</f>
        <v>0.14437400950871632</v>
      </c>
      <c r="CP22" s="671">
        <f t="shared" ref="CP22:CP30" si="264">AY22-AX22</f>
        <v>-267</v>
      </c>
      <c r="CQ22" s="672">
        <f t="shared" ref="CQ22:CQ30" si="265">CP22/AX22</f>
        <v>-3.6975488159534692E-2</v>
      </c>
      <c r="CR22" s="671">
        <f t="shared" ref="CR22:CR30" si="266">AZ22-AY22</f>
        <v>538</v>
      </c>
      <c r="CS22" s="672">
        <f t="shared" ref="CS22:CS30" si="267">CR22/AY22</f>
        <v>7.736554501006615E-2</v>
      </c>
      <c r="CT22" s="671">
        <f t="shared" ref="CT22:CT30" si="268">BA22-AZ22</f>
        <v>6314</v>
      </c>
      <c r="CU22" s="672">
        <f t="shared" ref="CU22:CU30" si="269">CT22/AZ22</f>
        <v>0.84276561665776828</v>
      </c>
      <c r="CV22" s="671">
        <f t="shared" ref="CV22:CV30" si="270">BB22-BA22</f>
        <v>-5088</v>
      </c>
      <c r="CW22" s="672">
        <f t="shared" ref="CW22:CW30" si="271">CV22/BA22</f>
        <v>-0.36853541938287698</v>
      </c>
      <c r="CX22" s="671">
        <f t="shared" ref="CX22:CX30" si="272">BC22-BB22</f>
        <v>-1134</v>
      </c>
      <c r="CY22" s="672">
        <f t="shared" ref="CY22:CY30" si="273">CX22/BB22</f>
        <v>-0.13007570543702685</v>
      </c>
      <c r="CZ22" s="671">
        <f t="shared" ref="CZ22:CZ30" si="274">BD22-BC22</f>
        <v>816</v>
      </c>
      <c r="DA22" s="672">
        <f t="shared" ref="DA22:DA30" si="275">CZ22/BC22</f>
        <v>0.10759493670886076</v>
      </c>
      <c r="DB22" s="671">
        <f t="shared" ref="DB22:DB30" si="276">BE22-BD22</f>
        <v>-1690</v>
      </c>
      <c r="DC22" s="672">
        <f t="shared" ref="DC22:DC30" si="277">DB22/BD22</f>
        <v>-0.2011904761904762</v>
      </c>
      <c r="DD22" s="671">
        <f t="shared" ref="DD22:DD30" si="278">BF22-BE22</f>
        <v>22</v>
      </c>
      <c r="DE22" s="672">
        <f t="shared" ref="DE22:DE30" si="279">DD22/BE22</f>
        <v>3.2786885245901639E-3</v>
      </c>
      <c r="DF22" s="671">
        <f t="shared" ref="DF22:DF30" si="280">BG22-BF22</f>
        <v>-32</v>
      </c>
      <c r="DG22" s="109">
        <f t="shared" ref="DG22:DG30" si="281">DF22/BF22</f>
        <v>-4.7534165181224008E-3</v>
      </c>
      <c r="DH22" s="671">
        <f t="shared" ref="DH22:DH30" si="282">BH22-BG22</f>
        <v>-37</v>
      </c>
      <c r="DI22" s="672">
        <f t="shared" ref="DI22:DI30" si="283">DH22/BG22</f>
        <v>-5.5223880597014925E-3</v>
      </c>
      <c r="DJ22" s="671">
        <f t="shared" ref="DJ22:DJ30" si="284">BI22-BH22</f>
        <v>447</v>
      </c>
      <c r="DK22" s="672">
        <f t="shared" ref="DK22:DK30" si="285">DJ22/BH22</f>
        <v>6.7086897793786585E-2</v>
      </c>
      <c r="DL22" s="671">
        <f t="shared" ref="DL22:DL30" si="286">BL22-BI22</f>
        <v>424</v>
      </c>
      <c r="DM22" s="672">
        <f t="shared" ref="DM22:DM30" si="287">DL22/BI22</f>
        <v>5.9634317862165963E-2</v>
      </c>
      <c r="DN22" s="323">
        <f t="shared" ref="DN22:DN30" si="288">BM22-BL22</f>
        <v>-599</v>
      </c>
      <c r="DO22" s="410">
        <f t="shared" ref="DO22:DO30" si="289">DN22/BL22</f>
        <v>-7.9506238385983544E-2</v>
      </c>
      <c r="DP22" s="323">
        <f t="shared" ref="DP22:DP30" si="290">BN22-BM22</f>
        <v>406</v>
      </c>
      <c r="DQ22" s="410">
        <f t="shared" ref="DQ22:DQ30" si="291">DP22/BM22</f>
        <v>5.8543619322278299E-2</v>
      </c>
      <c r="DR22" s="323">
        <f t="shared" ref="DR22:DR30" si="292">BO22-BN22</f>
        <v>6841</v>
      </c>
      <c r="DS22" s="410">
        <f t="shared" ref="DS22:DS30" si="293">DR22/BN22</f>
        <v>0.93188938836670754</v>
      </c>
      <c r="DT22" s="323">
        <f t="shared" ref="DT22:DT30" si="294">BP22-BO22</f>
        <v>-7107</v>
      </c>
      <c r="DU22" s="410">
        <f t="shared" ref="DU22:DU30" si="295">DT22/BO22</f>
        <v>-0.50112819066422221</v>
      </c>
      <c r="DV22" s="323">
        <f t="shared" ref="DV22:DV30" si="296">BQ22-BP22</f>
        <v>-100</v>
      </c>
      <c r="DW22" s="410">
        <f t="shared" ref="DW22:DW30" si="297">DV22/BP22</f>
        <v>-1.4134275618374558E-2</v>
      </c>
      <c r="DX22" s="323">
        <f t="shared" ref="DX22:DX30" si="298">BR22-BQ22</f>
        <v>1864</v>
      </c>
      <c r="DY22" s="410">
        <f t="shared" ref="DY22:DY30" si="299">DX22/BQ22</f>
        <v>0.26724014336917562</v>
      </c>
      <c r="DZ22" s="323">
        <f t="shared" ref="DZ22:DZ30" si="300">BS22-BR22</f>
        <v>-1762</v>
      </c>
      <c r="EA22" s="410">
        <f t="shared" ref="EA22:EA30" si="301">DZ22/BR22</f>
        <v>-0.19934381717388844</v>
      </c>
      <c r="EB22" s="323">
        <f t="shared" ref="EB22:EB30" si="302">BT22-BS22</f>
        <v>957</v>
      </c>
      <c r="EC22" s="410">
        <f t="shared" ref="EC22:EC30" si="303">EB22/BS22</f>
        <v>0.13522679101314117</v>
      </c>
      <c r="ED22" s="323">
        <f t="shared" ref="ED22:ED30" si="304">BU22-BT22</f>
        <v>411</v>
      </c>
      <c r="EE22" s="410">
        <f t="shared" ref="EE22:EE30" si="305">ED22/BT22</f>
        <v>5.1157580283793878E-2</v>
      </c>
      <c r="EF22" s="323">
        <f t="shared" ref="EF22:EF30" si="306">BV22-BU22</f>
        <v>-1838</v>
      </c>
      <c r="EG22" s="410">
        <f t="shared" ref="EG22:EG30" si="307">EF22/BU22</f>
        <v>-0.21764357608052101</v>
      </c>
      <c r="EH22" s="323">
        <f t="shared" ref="EH22:EH30" si="308">BW22-BV22</f>
        <v>745</v>
      </c>
      <c r="EI22" s="410">
        <f t="shared" ref="EI22:EI30" si="309">EH22/BV22</f>
        <v>0.11275919479340094</v>
      </c>
      <c r="EJ22" s="323">
        <f t="shared" ref="EJ22:EJ30" si="310">BZ22-BW22</f>
        <v>189</v>
      </c>
      <c r="EK22" s="410">
        <f t="shared" ref="EK22:EK30" si="311">EJ22/BW22</f>
        <v>2.5707290533188248E-2</v>
      </c>
      <c r="EL22" s="323">
        <f t="shared" ref="EL22:EL30" si="312">CA22-BZ22</f>
        <v>-493</v>
      </c>
      <c r="EM22" s="410">
        <f t="shared" ref="EM22:EM30" si="313">EL22/BZ22</f>
        <v>-6.5375944834902527E-2</v>
      </c>
      <c r="EN22" s="323">
        <f t="shared" ref="EN22:EN30" si="314">CB22-CA22</f>
        <v>-266</v>
      </c>
      <c r="EO22" s="410">
        <f t="shared" ref="EO22:EO30" si="315">EN22/CA22</f>
        <v>-3.7741203178206582E-2</v>
      </c>
      <c r="EP22" s="323">
        <f t="shared" ref="EP22:EP30" si="316">CC22-CB22</f>
        <v>507</v>
      </c>
      <c r="EQ22" s="410">
        <f t="shared" ref="EQ22:EQ30" si="317">EP22/CB22</f>
        <v>7.4756708935417276E-2</v>
      </c>
      <c r="ER22" s="323">
        <f t="shared" ref="ER22:ER30" si="318">CD22-CC22</f>
        <v>-261</v>
      </c>
      <c r="ES22" s="410">
        <f t="shared" ref="ES22:ES30" si="319">ER22/CC22</f>
        <v>-3.5807380985045961E-2</v>
      </c>
      <c r="ET22" s="323">
        <f t="shared" ref="ET22:ET30" si="320">CE22-CD22</f>
        <v>219</v>
      </c>
      <c r="EU22" s="410">
        <f t="shared" ref="EU22:EU30" si="321">ET22/CD22</f>
        <v>3.1161070005691519E-2</v>
      </c>
      <c r="EV22" s="323">
        <f t="shared" ref="EV22:EV30" si="322">CF22-CE22</f>
        <v>-364</v>
      </c>
      <c r="EW22" s="410">
        <f t="shared" ref="EW22:EW30" si="323">EV22/CE22</f>
        <v>-5.0227680419483924E-2</v>
      </c>
      <c r="EX22" s="323">
        <f t="shared" ref="EX22:EX30" si="324">CG22-CF22</f>
        <v>686</v>
      </c>
      <c r="EY22" s="410">
        <f t="shared" ref="EY22:EY30" si="325">EX22/CF22</f>
        <v>9.9665843382246114E-2</v>
      </c>
      <c r="EZ22" s="323">
        <f t="shared" ref="EZ22:EZ30" si="326">CH22-CG22</f>
        <v>-563</v>
      </c>
      <c r="FA22" s="410">
        <f t="shared" ref="FA22:FA30" si="327">EZ22/CG22</f>
        <v>-7.4382349055357372E-2</v>
      </c>
      <c r="FB22" s="323">
        <f t="shared" ref="FB22:FB30" si="328">CI22-CH22</f>
        <v>-648</v>
      </c>
      <c r="FC22" s="410">
        <f t="shared" ref="FC22:FC30" si="329">FB22/CH22</f>
        <v>-9.2492149586069078E-2</v>
      </c>
      <c r="FD22" s="323">
        <f t="shared" ref="FD22:FD30" si="330">CJ22-CI22</f>
        <v>-410</v>
      </c>
      <c r="FE22" s="410">
        <f t="shared" ref="FE22:FE30" si="331">FD22/CI22</f>
        <v>-6.4485687323057567E-2</v>
      </c>
      <c r="FF22" s="323">
        <f t="shared" ref="FF22:FF30" si="332">CK22-CJ22</f>
        <v>-5948</v>
      </c>
      <c r="FG22" s="410">
        <f t="shared" ref="FG22:FG30" si="333">FF22/CJ22</f>
        <v>-1</v>
      </c>
      <c r="FH22" s="213">
        <f t="shared" ref="FH22:FH30" si="334">BV22</f>
        <v>6607</v>
      </c>
      <c r="FI22" s="726">
        <f t="shared" ref="FI22:FI30" si="335">CJ22</f>
        <v>5948</v>
      </c>
      <c r="FJ22" s="671">
        <f t="shared" ref="FJ22:FJ30" si="336">FI22-FH22</f>
        <v>-659</v>
      </c>
      <c r="FK22" s="109">
        <f t="shared" ref="FK22:FK30" si="337">IF(ISERROR(FJ22/FH22),0,FJ22/FH22)</f>
        <v>-9.974269713939761E-2</v>
      </c>
      <c r="FL22" s="707"/>
      <c r="FM22" s="707"/>
      <c r="FN22" s="707"/>
      <c r="FO22" t="s">
        <v>77</v>
      </c>
      <c r="FP22" s="270" t="e">
        <f>#REF!</f>
        <v>#REF!</v>
      </c>
      <c r="FQ22" s="270" t="e">
        <f>#REF!</f>
        <v>#REF!</v>
      </c>
      <c r="FR22" s="270" t="e">
        <f>#REF!</f>
        <v>#REF!</v>
      </c>
      <c r="FS22" s="270" t="e">
        <f>#REF!</f>
        <v>#REF!</v>
      </c>
      <c r="FT22" s="270" t="e">
        <f>#REF!</f>
        <v>#REF!</v>
      </c>
      <c r="FU22" s="270" t="e">
        <f>#REF!</f>
        <v>#REF!</v>
      </c>
      <c r="FV22" s="270" t="e">
        <f>#REF!</f>
        <v>#REF!</v>
      </c>
      <c r="FW22" s="270" t="e">
        <f>#REF!</f>
        <v>#REF!</v>
      </c>
      <c r="FX22" s="270" t="e">
        <f>#REF!</f>
        <v>#REF!</v>
      </c>
      <c r="FY22" s="270" t="e">
        <f>#REF!</f>
        <v>#REF!</v>
      </c>
      <c r="FZ22" s="270" t="e">
        <f>#REF!</f>
        <v>#REF!</v>
      </c>
      <c r="GA22" s="271">
        <f t="shared" ref="GA22:GA30" si="338">AJ22</f>
        <v>6768</v>
      </c>
      <c r="GB22" s="271">
        <f t="shared" ref="GB22:GB30" si="339">AK22</f>
        <v>6949</v>
      </c>
      <c r="GC22" s="271">
        <f t="shared" ref="GC22:GC30" si="340">AL22</f>
        <v>5345</v>
      </c>
      <c r="GD22" s="271">
        <f t="shared" ref="GD22:GD30" si="341">AM22</f>
        <v>9088</v>
      </c>
      <c r="GE22" s="271">
        <f t="shared" ref="GE22:GE30" si="342">AN22</f>
        <v>6219</v>
      </c>
      <c r="GF22" s="271">
        <f t="shared" ref="GF22:GF30" si="343">AO22</f>
        <v>5518</v>
      </c>
      <c r="GG22" s="271">
        <f t="shared" ref="GG22:GG30" si="344">AP22</f>
        <v>7380</v>
      </c>
      <c r="GH22" s="271">
        <f t="shared" ref="GH22:GH30" si="345">AQ22</f>
        <v>6960</v>
      </c>
      <c r="GI22" s="271">
        <f t="shared" ref="GI22:GI30" si="346">AR22</f>
        <v>6079</v>
      </c>
      <c r="GJ22" s="271">
        <f t="shared" ref="GJ22:GJ30" si="347">AS22</f>
        <v>6613</v>
      </c>
      <c r="GK22" s="271">
        <f t="shared" ref="GK22:GK30" si="348">AT22</f>
        <v>8313</v>
      </c>
      <c r="GL22" s="271">
        <f t="shared" ref="GL22:GL30" si="349">AU22</f>
        <v>6310</v>
      </c>
      <c r="GM22" s="271">
        <f t="shared" ref="GM22:GM30" si="350">AX22</f>
        <v>7221</v>
      </c>
      <c r="GN22" s="271">
        <f t="shared" ref="GN22:GN30" si="351">AY22</f>
        <v>6954</v>
      </c>
      <c r="GO22" s="271">
        <f t="shared" ref="GO22:GO30" si="352">AZ22</f>
        <v>7492</v>
      </c>
      <c r="GP22" s="271">
        <f t="shared" ref="GP22:GP30" si="353">BA22</f>
        <v>13806</v>
      </c>
      <c r="GQ22" s="271">
        <f t="shared" ref="GQ22:GQ30" si="354">BB22</f>
        <v>8718</v>
      </c>
      <c r="GR22" s="271">
        <f t="shared" ref="GR22:GR30" si="355">BC22</f>
        <v>7584</v>
      </c>
      <c r="GS22" s="271">
        <f t="shared" ref="GS22:GS30" si="356">BD22</f>
        <v>8400</v>
      </c>
      <c r="GT22" s="271">
        <f t="shared" ref="GT22:GT30" si="357">BE22</f>
        <v>6710</v>
      </c>
      <c r="GU22" s="271">
        <f t="shared" ref="GU22:GU30" si="358">BF22</f>
        <v>6732</v>
      </c>
      <c r="GV22" s="271">
        <f t="shared" ref="GV22:GV30" si="359">BG22</f>
        <v>6700</v>
      </c>
      <c r="GW22" s="271">
        <f t="shared" ref="GW22:GW30" si="360">BH22</f>
        <v>6663</v>
      </c>
      <c r="GX22" s="271">
        <f t="shared" ref="GX22:GX30" si="361">BI22</f>
        <v>7110</v>
      </c>
      <c r="GY22" s="826">
        <f t="shared" ref="GY22:GY30" si="362">BL22</f>
        <v>7534</v>
      </c>
      <c r="GZ22" s="826">
        <f t="shared" ref="GZ22:GZ30" si="363">BM22</f>
        <v>6935</v>
      </c>
      <c r="HA22" s="826">
        <f t="shared" ref="HA22:HA30" si="364">BN22</f>
        <v>7341</v>
      </c>
      <c r="HB22" s="826">
        <f t="shared" ref="HB22:HB30" si="365">BO22</f>
        <v>14182</v>
      </c>
      <c r="HC22" s="826">
        <f t="shared" ref="HC22:HC30" si="366">BP22</f>
        <v>7075</v>
      </c>
      <c r="HD22" s="826">
        <f t="shared" ref="HD22:HD30" si="367">BQ22</f>
        <v>6975</v>
      </c>
      <c r="HE22" s="826">
        <f t="shared" ref="HE22:HE30" si="368">BR22</f>
        <v>8839</v>
      </c>
      <c r="HF22" s="826">
        <f t="shared" ref="HF22:HF30" si="369">BS22</f>
        <v>7077</v>
      </c>
      <c r="HG22" s="826">
        <f t="shared" ref="HG22:HG30" si="370">BT22</f>
        <v>8034</v>
      </c>
      <c r="HH22" s="826">
        <f t="shared" ref="HH22:HH30" si="371">BU22</f>
        <v>8445</v>
      </c>
      <c r="HI22" s="826">
        <f t="shared" ref="HI22:HI30" si="372">BV22</f>
        <v>6607</v>
      </c>
      <c r="HJ22" s="826">
        <f t="shared" ref="HJ22:HJ30" si="373">BW22</f>
        <v>7352</v>
      </c>
      <c r="HK22" s="954">
        <f t="shared" ref="HK22:HK30" si="374">BZ22</f>
        <v>7541</v>
      </c>
      <c r="HL22" s="954">
        <f t="shared" ref="HL22:HV30" si="375">CA22</f>
        <v>7048</v>
      </c>
      <c r="HM22" s="954">
        <f t="shared" si="375"/>
        <v>6782</v>
      </c>
      <c r="HN22" s="954">
        <f t="shared" si="375"/>
        <v>7289</v>
      </c>
      <c r="HO22" s="954">
        <f t="shared" si="375"/>
        <v>7028</v>
      </c>
      <c r="HP22" s="954">
        <f t="shared" si="375"/>
        <v>7247</v>
      </c>
      <c r="HQ22" s="954">
        <f t="shared" si="375"/>
        <v>6883</v>
      </c>
      <c r="HR22" s="954">
        <f t="shared" si="375"/>
        <v>7569</v>
      </c>
      <c r="HS22" s="954">
        <f t="shared" si="375"/>
        <v>7006</v>
      </c>
      <c r="HT22" s="954">
        <f t="shared" si="375"/>
        <v>6358</v>
      </c>
      <c r="HU22" s="954">
        <f t="shared" si="375"/>
        <v>5948</v>
      </c>
      <c r="HV22" s="954">
        <f t="shared" si="375"/>
        <v>0</v>
      </c>
    </row>
    <row r="23" spans="1:230" x14ac:dyDescent="0.25">
      <c r="A23" s="802"/>
      <c r="B23" s="56"/>
      <c r="C23" s="56" t="s">
        <v>33</v>
      </c>
      <c r="D23" s="119"/>
      <c r="E23" s="1046" t="s">
        <v>38</v>
      </c>
      <c r="F23" s="1046"/>
      <c r="G23" s="1047"/>
      <c r="H23" s="376">
        <v>3850</v>
      </c>
      <c r="I23" s="70">
        <v>3579</v>
      </c>
      <c r="J23" s="23">
        <v>3585</v>
      </c>
      <c r="K23" s="70">
        <v>4400</v>
      </c>
      <c r="L23" s="23">
        <v>3503</v>
      </c>
      <c r="M23" s="70">
        <v>3773</v>
      </c>
      <c r="N23" s="23">
        <v>4249</v>
      </c>
      <c r="O23" s="70">
        <v>3875</v>
      </c>
      <c r="P23" s="23">
        <v>3469</v>
      </c>
      <c r="Q23" s="70">
        <v>3019</v>
      </c>
      <c r="R23" s="23">
        <v>4033</v>
      </c>
      <c r="S23" s="70">
        <v>3859</v>
      </c>
      <c r="T23" s="130">
        <v>45194</v>
      </c>
      <c r="U23" s="163">
        <v>3766.1666666666665</v>
      </c>
      <c r="V23" s="376">
        <v>3359</v>
      </c>
      <c r="W23" s="70">
        <v>3424</v>
      </c>
      <c r="X23" s="23">
        <v>3027</v>
      </c>
      <c r="Y23" s="70">
        <v>3829</v>
      </c>
      <c r="Z23" s="23">
        <v>3004</v>
      </c>
      <c r="AA23" s="70">
        <v>3139</v>
      </c>
      <c r="AB23" s="23">
        <v>3783</v>
      </c>
      <c r="AC23" s="70">
        <v>3559</v>
      </c>
      <c r="AD23" s="23">
        <v>3843</v>
      </c>
      <c r="AE23" s="70">
        <v>3152</v>
      </c>
      <c r="AF23" s="23">
        <v>2921</v>
      </c>
      <c r="AG23" s="70">
        <v>2794</v>
      </c>
      <c r="AH23" s="130">
        <v>39834</v>
      </c>
      <c r="AI23" s="163">
        <v>3319.5</v>
      </c>
      <c r="AJ23" s="376">
        <v>3180</v>
      </c>
      <c r="AK23" s="70">
        <v>3306</v>
      </c>
      <c r="AL23" s="23">
        <v>2691</v>
      </c>
      <c r="AM23" s="70">
        <v>6924</v>
      </c>
      <c r="AN23" s="23">
        <v>3563</v>
      </c>
      <c r="AO23" s="70">
        <v>2917</v>
      </c>
      <c r="AP23" s="634">
        <v>3859</v>
      </c>
      <c r="AQ23" s="70">
        <v>3634</v>
      </c>
      <c r="AR23" s="634">
        <v>3071</v>
      </c>
      <c r="AS23" s="70">
        <v>3359</v>
      </c>
      <c r="AT23" s="634">
        <v>5207</v>
      </c>
      <c r="AU23" s="70">
        <v>3621</v>
      </c>
      <c r="AV23" s="130">
        <f t="shared" si="240"/>
        <v>45332</v>
      </c>
      <c r="AW23" s="163">
        <f t="shared" si="241"/>
        <v>3777.6666666666665</v>
      </c>
      <c r="AX23" s="376">
        <v>3813</v>
      </c>
      <c r="AY23" s="70">
        <v>3624</v>
      </c>
      <c r="AZ23" s="23">
        <v>4407</v>
      </c>
      <c r="BA23" s="70">
        <v>9602</v>
      </c>
      <c r="BB23" s="23">
        <v>4942</v>
      </c>
      <c r="BC23" s="70">
        <v>4326</v>
      </c>
      <c r="BD23" s="634">
        <v>5169</v>
      </c>
      <c r="BE23" s="70">
        <v>3640</v>
      </c>
      <c r="BF23" s="634">
        <v>3557</v>
      </c>
      <c r="BG23" s="70">
        <v>3419</v>
      </c>
      <c r="BH23" s="634">
        <v>3275</v>
      </c>
      <c r="BI23" s="70">
        <v>3643</v>
      </c>
      <c r="BJ23" s="130">
        <f t="shared" si="244"/>
        <v>53417</v>
      </c>
      <c r="BK23" s="163">
        <f t="shared" si="245"/>
        <v>4451.416666666667</v>
      </c>
      <c r="BL23" s="376">
        <v>3725</v>
      </c>
      <c r="BM23" s="70">
        <v>3562</v>
      </c>
      <c r="BN23" s="23">
        <v>3929</v>
      </c>
      <c r="BO23" s="70">
        <v>10525</v>
      </c>
      <c r="BP23" s="23">
        <v>3489</v>
      </c>
      <c r="BQ23" s="70">
        <v>3627</v>
      </c>
      <c r="BR23" s="634">
        <v>4536</v>
      </c>
      <c r="BS23" s="70">
        <v>3422</v>
      </c>
      <c r="BT23" s="634">
        <v>3883</v>
      </c>
      <c r="BU23" s="634">
        <v>4341</v>
      </c>
      <c r="BV23" s="634">
        <v>3143</v>
      </c>
      <c r="BW23" s="634">
        <v>3061</v>
      </c>
      <c r="BX23" s="130">
        <f t="shared" si="252"/>
        <v>51243</v>
      </c>
      <c r="BY23" s="163">
        <f t="shared" si="253"/>
        <v>4270.25</v>
      </c>
      <c r="BZ23" s="634">
        <v>2991</v>
      </c>
      <c r="CA23" s="70">
        <v>2923</v>
      </c>
      <c r="CB23" s="23">
        <v>3233</v>
      </c>
      <c r="CC23" s="70">
        <v>3750</v>
      </c>
      <c r="CD23" s="23">
        <v>3383</v>
      </c>
      <c r="CE23" s="70">
        <v>3099</v>
      </c>
      <c r="CF23" s="634">
        <v>3381</v>
      </c>
      <c r="CG23" s="70">
        <v>3386</v>
      </c>
      <c r="CH23" s="634">
        <v>3149</v>
      </c>
      <c r="CI23" s="634">
        <v>2768</v>
      </c>
      <c r="CJ23" s="634">
        <v>2657</v>
      </c>
      <c r="CK23" s="634"/>
      <c r="CL23" s="130">
        <f t="shared" si="260"/>
        <v>34720</v>
      </c>
      <c r="CM23" s="163">
        <f t="shared" si="261"/>
        <v>3156.3636363636365</v>
      </c>
      <c r="CN23" s="671">
        <f t="shared" si="262"/>
        <v>192</v>
      </c>
      <c r="CO23" s="672">
        <f t="shared" si="263"/>
        <v>5.3024026512013253E-2</v>
      </c>
      <c r="CP23" s="671">
        <f t="shared" si="264"/>
        <v>-189</v>
      </c>
      <c r="CQ23" s="672">
        <f t="shared" si="265"/>
        <v>-4.956726986624705E-2</v>
      </c>
      <c r="CR23" s="671">
        <f t="shared" si="266"/>
        <v>783</v>
      </c>
      <c r="CS23" s="672">
        <f t="shared" si="267"/>
        <v>0.21605960264900662</v>
      </c>
      <c r="CT23" s="671">
        <f t="shared" si="268"/>
        <v>5195</v>
      </c>
      <c r="CU23" s="672">
        <f t="shared" si="269"/>
        <v>1.1788064442931701</v>
      </c>
      <c r="CV23" s="671">
        <f t="shared" si="270"/>
        <v>-4660</v>
      </c>
      <c r="CW23" s="672">
        <f t="shared" si="271"/>
        <v>-0.48531555925848779</v>
      </c>
      <c r="CX23" s="671">
        <f t="shared" si="272"/>
        <v>-616</v>
      </c>
      <c r="CY23" s="672">
        <f t="shared" si="273"/>
        <v>-0.12464589235127478</v>
      </c>
      <c r="CZ23" s="671">
        <f t="shared" si="274"/>
        <v>843</v>
      </c>
      <c r="DA23" s="672">
        <f t="shared" si="275"/>
        <v>0.19486823855755894</v>
      </c>
      <c r="DB23" s="671">
        <f t="shared" si="276"/>
        <v>-1529</v>
      </c>
      <c r="DC23" s="672">
        <f t="shared" si="277"/>
        <v>-0.29580189591797251</v>
      </c>
      <c r="DD23" s="671">
        <f t="shared" si="278"/>
        <v>-83</v>
      </c>
      <c r="DE23" s="672">
        <f t="shared" si="279"/>
        <v>-2.2802197802197801E-2</v>
      </c>
      <c r="DF23" s="671">
        <f t="shared" si="280"/>
        <v>-138</v>
      </c>
      <c r="DG23" s="109">
        <f t="shared" si="281"/>
        <v>-3.8796738824852406E-2</v>
      </c>
      <c r="DH23" s="671">
        <f t="shared" si="282"/>
        <v>-144</v>
      </c>
      <c r="DI23" s="672">
        <f t="shared" si="283"/>
        <v>-4.211757823925124E-2</v>
      </c>
      <c r="DJ23" s="671">
        <f t="shared" si="284"/>
        <v>368</v>
      </c>
      <c r="DK23" s="672">
        <f t="shared" si="285"/>
        <v>0.11236641221374045</v>
      </c>
      <c r="DL23" s="671">
        <f t="shared" si="286"/>
        <v>82</v>
      </c>
      <c r="DM23" s="672">
        <f t="shared" si="287"/>
        <v>2.2508921218775735E-2</v>
      </c>
      <c r="DN23" s="323">
        <f t="shared" si="288"/>
        <v>-163</v>
      </c>
      <c r="DO23" s="410">
        <f t="shared" si="289"/>
        <v>-4.3758389261744968E-2</v>
      </c>
      <c r="DP23" s="323">
        <f t="shared" si="290"/>
        <v>367</v>
      </c>
      <c r="DQ23" s="410">
        <f t="shared" si="291"/>
        <v>0.10303200449185851</v>
      </c>
      <c r="DR23" s="323">
        <f t="shared" si="292"/>
        <v>6596</v>
      </c>
      <c r="DS23" s="410">
        <f t="shared" si="293"/>
        <v>1.6787986765080174</v>
      </c>
      <c r="DT23" s="323">
        <f t="shared" si="294"/>
        <v>-7036</v>
      </c>
      <c r="DU23" s="410">
        <f t="shared" si="295"/>
        <v>-0.66850356294536817</v>
      </c>
      <c r="DV23" s="323">
        <f t="shared" si="296"/>
        <v>138</v>
      </c>
      <c r="DW23" s="410">
        <f t="shared" si="297"/>
        <v>3.9552880481513328E-2</v>
      </c>
      <c r="DX23" s="323">
        <f t="shared" si="298"/>
        <v>909</v>
      </c>
      <c r="DY23" s="410">
        <f t="shared" si="299"/>
        <v>0.25062034739454092</v>
      </c>
      <c r="DZ23" s="323">
        <f t="shared" si="300"/>
        <v>-1114</v>
      </c>
      <c r="EA23" s="410">
        <f t="shared" si="301"/>
        <v>-0.24559082892416226</v>
      </c>
      <c r="EB23" s="323">
        <f t="shared" si="302"/>
        <v>461</v>
      </c>
      <c r="EC23" s="410">
        <f t="shared" si="303"/>
        <v>0.13471654003506722</v>
      </c>
      <c r="ED23" s="323">
        <f t="shared" si="304"/>
        <v>458</v>
      </c>
      <c r="EE23" s="410">
        <f t="shared" si="305"/>
        <v>0.11795003862992531</v>
      </c>
      <c r="EF23" s="323">
        <f t="shared" si="306"/>
        <v>-1198</v>
      </c>
      <c r="EG23" s="410">
        <f t="shared" si="307"/>
        <v>-0.27597327804653304</v>
      </c>
      <c r="EH23" s="323">
        <f t="shared" si="308"/>
        <v>-82</v>
      </c>
      <c r="EI23" s="410">
        <f t="shared" si="309"/>
        <v>-2.6089723194400255E-2</v>
      </c>
      <c r="EJ23" s="323">
        <f t="shared" si="310"/>
        <v>-70</v>
      </c>
      <c r="EK23" s="410">
        <f t="shared" si="311"/>
        <v>-2.2868343678536424E-2</v>
      </c>
      <c r="EL23" s="323">
        <f t="shared" si="312"/>
        <v>-68</v>
      </c>
      <c r="EM23" s="410">
        <f t="shared" si="313"/>
        <v>-2.273487128050819E-2</v>
      </c>
      <c r="EN23" s="323">
        <f t="shared" si="314"/>
        <v>310</v>
      </c>
      <c r="EO23" s="410">
        <f t="shared" si="315"/>
        <v>0.10605542251111871</v>
      </c>
      <c r="EP23" s="323">
        <f t="shared" si="316"/>
        <v>517</v>
      </c>
      <c r="EQ23" s="410">
        <f t="shared" si="317"/>
        <v>0.15991339313331271</v>
      </c>
      <c r="ER23" s="323">
        <f t="shared" si="318"/>
        <v>-367</v>
      </c>
      <c r="ES23" s="410">
        <f t="shared" si="319"/>
        <v>-9.7866666666666671E-2</v>
      </c>
      <c r="ET23" s="323">
        <f t="shared" si="320"/>
        <v>-284</v>
      </c>
      <c r="EU23" s="410">
        <f t="shared" si="321"/>
        <v>-8.394915755246822E-2</v>
      </c>
      <c r="EV23" s="323">
        <f t="shared" si="322"/>
        <v>282</v>
      </c>
      <c r="EW23" s="410">
        <f t="shared" si="323"/>
        <v>9.0997095837366898E-2</v>
      </c>
      <c r="EX23" s="323">
        <f t="shared" si="324"/>
        <v>5</v>
      </c>
      <c r="EY23" s="410">
        <f t="shared" si="325"/>
        <v>1.4788524105294291E-3</v>
      </c>
      <c r="EZ23" s="323">
        <f t="shared" si="326"/>
        <v>-237</v>
      </c>
      <c r="FA23" s="410">
        <f t="shared" si="327"/>
        <v>-6.9994093325457765E-2</v>
      </c>
      <c r="FB23" s="323">
        <f t="shared" si="328"/>
        <v>-381</v>
      </c>
      <c r="FC23" s="410">
        <f t="shared" si="329"/>
        <v>-0.12099079072721498</v>
      </c>
      <c r="FD23" s="323">
        <f t="shared" si="330"/>
        <v>-111</v>
      </c>
      <c r="FE23" s="410">
        <f t="shared" si="331"/>
        <v>-4.0101156069364159E-2</v>
      </c>
      <c r="FF23" s="323">
        <f t="shared" si="332"/>
        <v>-2657</v>
      </c>
      <c r="FG23" s="410">
        <f t="shared" si="333"/>
        <v>-1</v>
      </c>
      <c r="FH23" s="209">
        <f t="shared" si="334"/>
        <v>3143</v>
      </c>
      <c r="FI23" s="720">
        <f t="shared" si="335"/>
        <v>2657</v>
      </c>
      <c r="FJ23" s="671">
        <f t="shared" si="336"/>
        <v>-486</v>
      </c>
      <c r="FK23" s="109">
        <f t="shared" si="337"/>
        <v>-0.15462933503022591</v>
      </c>
      <c r="FL23" s="707"/>
      <c r="FM23" s="707"/>
      <c r="FN23" s="707"/>
      <c r="FO23" t="str">
        <f t="shared" ref="FO23:FO30" si="376">E23</f>
        <v>Reported Source - Telephone</v>
      </c>
      <c r="FP23" s="270" t="e">
        <f>#REF!</f>
        <v>#REF!</v>
      </c>
      <c r="FQ23" s="270" t="e">
        <f>#REF!</f>
        <v>#REF!</v>
      </c>
      <c r="FR23" s="270" t="e">
        <f>#REF!</f>
        <v>#REF!</v>
      </c>
      <c r="FS23" s="270" t="e">
        <f>#REF!</f>
        <v>#REF!</v>
      </c>
      <c r="FT23" s="270" t="e">
        <f>#REF!</f>
        <v>#REF!</v>
      </c>
      <c r="FU23" s="270" t="e">
        <f>#REF!</f>
        <v>#REF!</v>
      </c>
      <c r="FV23" s="270" t="e">
        <f>#REF!</f>
        <v>#REF!</v>
      </c>
      <c r="FW23" s="270" t="e">
        <f>#REF!</f>
        <v>#REF!</v>
      </c>
      <c r="FX23" s="270" t="e">
        <f>#REF!</f>
        <v>#REF!</v>
      </c>
      <c r="FY23" s="270" t="e">
        <f>#REF!</f>
        <v>#REF!</v>
      </c>
      <c r="FZ23" s="270" t="e">
        <f>#REF!</f>
        <v>#REF!</v>
      </c>
      <c r="GA23" s="271">
        <f t="shared" si="338"/>
        <v>3180</v>
      </c>
      <c r="GB23" s="271">
        <f t="shared" si="339"/>
        <v>3306</v>
      </c>
      <c r="GC23" s="271">
        <f t="shared" si="340"/>
        <v>2691</v>
      </c>
      <c r="GD23" s="271">
        <f t="shared" si="341"/>
        <v>6924</v>
      </c>
      <c r="GE23" s="271">
        <f t="shared" si="342"/>
        <v>3563</v>
      </c>
      <c r="GF23" s="271">
        <f t="shared" si="343"/>
        <v>2917</v>
      </c>
      <c r="GG23" s="271">
        <f t="shared" si="344"/>
        <v>3859</v>
      </c>
      <c r="GH23" s="271">
        <f t="shared" si="345"/>
        <v>3634</v>
      </c>
      <c r="GI23" s="271">
        <f t="shared" si="346"/>
        <v>3071</v>
      </c>
      <c r="GJ23" s="271">
        <f t="shared" si="347"/>
        <v>3359</v>
      </c>
      <c r="GK23" s="271">
        <f t="shared" si="348"/>
        <v>5207</v>
      </c>
      <c r="GL23" s="271">
        <f t="shared" si="349"/>
        <v>3621</v>
      </c>
      <c r="GM23" s="271">
        <f t="shared" si="350"/>
        <v>3813</v>
      </c>
      <c r="GN23" s="271">
        <f t="shared" si="351"/>
        <v>3624</v>
      </c>
      <c r="GO23" s="271">
        <f t="shared" si="352"/>
        <v>4407</v>
      </c>
      <c r="GP23" s="271">
        <f t="shared" si="353"/>
        <v>9602</v>
      </c>
      <c r="GQ23" s="271">
        <f t="shared" si="354"/>
        <v>4942</v>
      </c>
      <c r="GR23" s="271">
        <f t="shared" si="355"/>
        <v>4326</v>
      </c>
      <c r="GS23" s="271">
        <f t="shared" si="356"/>
        <v>5169</v>
      </c>
      <c r="GT23" s="271">
        <f t="shared" si="357"/>
        <v>3640</v>
      </c>
      <c r="GU23" s="271">
        <f t="shared" si="358"/>
        <v>3557</v>
      </c>
      <c r="GV23" s="271">
        <f t="shared" si="359"/>
        <v>3419</v>
      </c>
      <c r="GW23" s="271">
        <f t="shared" si="360"/>
        <v>3275</v>
      </c>
      <c r="GX23" s="271">
        <f t="shared" si="361"/>
        <v>3643</v>
      </c>
      <c r="GY23" s="826">
        <f t="shared" si="362"/>
        <v>3725</v>
      </c>
      <c r="GZ23" s="826">
        <f t="shared" si="363"/>
        <v>3562</v>
      </c>
      <c r="HA23" s="826">
        <f t="shared" si="364"/>
        <v>3929</v>
      </c>
      <c r="HB23" s="826">
        <f t="shared" si="365"/>
        <v>10525</v>
      </c>
      <c r="HC23" s="826">
        <f t="shared" si="366"/>
        <v>3489</v>
      </c>
      <c r="HD23" s="826">
        <f t="shared" si="367"/>
        <v>3627</v>
      </c>
      <c r="HE23" s="826">
        <f t="shared" si="368"/>
        <v>4536</v>
      </c>
      <c r="HF23" s="826">
        <f t="shared" si="369"/>
        <v>3422</v>
      </c>
      <c r="HG23" s="826">
        <f t="shared" si="370"/>
        <v>3883</v>
      </c>
      <c r="HH23" s="826">
        <f t="shared" si="371"/>
        <v>4341</v>
      </c>
      <c r="HI23" s="826">
        <f t="shared" si="372"/>
        <v>3143</v>
      </c>
      <c r="HJ23" s="826">
        <f t="shared" si="373"/>
        <v>3061</v>
      </c>
      <c r="HK23" s="954">
        <f t="shared" si="374"/>
        <v>2991</v>
      </c>
      <c r="HL23" s="954">
        <f t="shared" si="375"/>
        <v>2923</v>
      </c>
      <c r="HM23" s="954">
        <f t="shared" si="375"/>
        <v>3233</v>
      </c>
      <c r="HN23" s="954">
        <f t="shared" si="375"/>
        <v>3750</v>
      </c>
      <c r="HO23" s="954">
        <f t="shared" si="375"/>
        <v>3383</v>
      </c>
      <c r="HP23" s="954">
        <f t="shared" si="375"/>
        <v>3099</v>
      </c>
      <c r="HQ23" s="954">
        <f t="shared" si="375"/>
        <v>3381</v>
      </c>
      <c r="HR23" s="954">
        <f t="shared" si="375"/>
        <v>3386</v>
      </c>
      <c r="HS23" s="954">
        <f t="shared" si="375"/>
        <v>3149</v>
      </c>
      <c r="HT23" s="954">
        <f t="shared" si="375"/>
        <v>2768</v>
      </c>
      <c r="HU23" s="954">
        <f t="shared" si="375"/>
        <v>2657</v>
      </c>
      <c r="HV23" s="954">
        <f t="shared" si="375"/>
        <v>0</v>
      </c>
    </row>
    <row r="24" spans="1:230" x14ac:dyDescent="0.25">
      <c r="A24" s="802"/>
      <c r="B24" s="56"/>
      <c r="C24" s="56" t="s">
        <v>34</v>
      </c>
      <c r="D24" s="119"/>
      <c r="E24" s="1046" t="s">
        <v>39</v>
      </c>
      <c r="F24" s="1046"/>
      <c r="G24" s="1047"/>
      <c r="H24" s="376">
        <v>1595</v>
      </c>
      <c r="I24" s="70">
        <v>1574</v>
      </c>
      <c r="J24" s="23">
        <v>1736</v>
      </c>
      <c r="K24" s="70">
        <v>1449</v>
      </c>
      <c r="L24" s="23">
        <v>1565</v>
      </c>
      <c r="M24" s="70">
        <v>1344</v>
      </c>
      <c r="N24" s="23">
        <v>1550</v>
      </c>
      <c r="O24" s="70">
        <v>1931</v>
      </c>
      <c r="P24" s="23">
        <v>2071</v>
      </c>
      <c r="Q24" s="70">
        <v>1501</v>
      </c>
      <c r="R24" s="23">
        <v>1493</v>
      </c>
      <c r="S24" s="70">
        <v>1688</v>
      </c>
      <c r="T24" s="130">
        <v>19497</v>
      </c>
      <c r="U24" s="163">
        <v>1624.75</v>
      </c>
      <c r="V24" s="376">
        <v>1693</v>
      </c>
      <c r="W24" s="70">
        <v>1690</v>
      </c>
      <c r="X24" s="23">
        <v>1473</v>
      </c>
      <c r="Y24" s="70">
        <v>1709</v>
      </c>
      <c r="Z24" s="23">
        <v>1590</v>
      </c>
      <c r="AA24" s="70">
        <v>1492</v>
      </c>
      <c r="AB24" s="23">
        <v>2023</v>
      </c>
      <c r="AC24" s="70">
        <v>1854</v>
      </c>
      <c r="AD24" s="23">
        <v>1858</v>
      </c>
      <c r="AE24" s="70">
        <v>1797</v>
      </c>
      <c r="AF24" s="23">
        <v>1765</v>
      </c>
      <c r="AG24" s="70">
        <v>1898</v>
      </c>
      <c r="AH24" s="130">
        <v>20842</v>
      </c>
      <c r="AI24" s="163">
        <v>1736.8333333333333</v>
      </c>
      <c r="AJ24" s="376">
        <v>2383</v>
      </c>
      <c r="AK24" s="70">
        <v>2223</v>
      </c>
      <c r="AL24" s="23">
        <v>1710</v>
      </c>
      <c r="AM24" s="70">
        <v>1264</v>
      </c>
      <c r="AN24" s="23">
        <v>1557</v>
      </c>
      <c r="AO24" s="70">
        <v>1529</v>
      </c>
      <c r="AP24" s="634">
        <v>2127</v>
      </c>
      <c r="AQ24" s="70">
        <v>2072</v>
      </c>
      <c r="AR24" s="634">
        <v>1740</v>
      </c>
      <c r="AS24" s="70">
        <v>1795</v>
      </c>
      <c r="AT24" s="634">
        <v>1738</v>
      </c>
      <c r="AU24" s="70">
        <v>1531</v>
      </c>
      <c r="AV24" s="130">
        <f t="shared" si="240"/>
        <v>21669</v>
      </c>
      <c r="AW24" s="163">
        <f t="shared" si="241"/>
        <v>1805.75</v>
      </c>
      <c r="AX24" s="376">
        <v>1908</v>
      </c>
      <c r="AY24" s="70">
        <v>2096</v>
      </c>
      <c r="AZ24" s="23">
        <v>1992</v>
      </c>
      <c r="BA24" s="70">
        <v>2861</v>
      </c>
      <c r="BB24" s="23">
        <v>2327</v>
      </c>
      <c r="BC24" s="70">
        <v>2180</v>
      </c>
      <c r="BD24" s="634">
        <v>2454</v>
      </c>
      <c r="BE24" s="70">
        <v>2317</v>
      </c>
      <c r="BF24" s="634">
        <v>2388</v>
      </c>
      <c r="BG24" s="70">
        <v>2132</v>
      </c>
      <c r="BH24" s="634">
        <v>2451</v>
      </c>
      <c r="BI24" s="70">
        <v>2759</v>
      </c>
      <c r="BJ24" s="130">
        <f t="shared" si="244"/>
        <v>27865</v>
      </c>
      <c r="BK24" s="163">
        <f t="shared" si="245"/>
        <v>2322.0833333333335</v>
      </c>
      <c r="BL24" s="376">
        <v>3023</v>
      </c>
      <c r="BM24" s="70">
        <v>2547</v>
      </c>
      <c r="BN24" s="23">
        <v>2672</v>
      </c>
      <c r="BO24" s="70">
        <v>2874</v>
      </c>
      <c r="BP24" s="23">
        <v>2545</v>
      </c>
      <c r="BQ24" s="70">
        <v>2640</v>
      </c>
      <c r="BR24" s="634">
        <v>3532</v>
      </c>
      <c r="BS24" s="70">
        <v>2974</v>
      </c>
      <c r="BT24" s="634">
        <v>3461</v>
      </c>
      <c r="BU24" s="634">
        <v>2940</v>
      </c>
      <c r="BV24" s="634">
        <v>2592</v>
      </c>
      <c r="BW24" s="634">
        <v>3365</v>
      </c>
      <c r="BX24" s="130">
        <f t="shared" si="252"/>
        <v>35165</v>
      </c>
      <c r="BY24" s="163">
        <f t="shared" si="253"/>
        <v>2930.4166666666665</v>
      </c>
      <c r="BZ24" s="634">
        <v>3694</v>
      </c>
      <c r="CA24" s="70">
        <v>3108</v>
      </c>
      <c r="CB24" s="23">
        <v>2787</v>
      </c>
      <c r="CC24" s="70">
        <v>2778</v>
      </c>
      <c r="CD24" s="23">
        <v>2599</v>
      </c>
      <c r="CE24" s="70">
        <v>2658</v>
      </c>
      <c r="CF24" s="634">
        <v>2890</v>
      </c>
      <c r="CG24" s="70">
        <v>3520</v>
      </c>
      <c r="CH24" s="634">
        <v>3208</v>
      </c>
      <c r="CI24" s="634">
        <v>2580</v>
      </c>
      <c r="CJ24" s="634">
        <v>2430</v>
      </c>
      <c r="CK24" s="634"/>
      <c r="CL24" s="130">
        <f t="shared" si="260"/>
        <v>32252</v>
      </c>
      <c r="CM24" s="163">
        <f t="shared" si="261"/>
        <v>2932</v>
      </c>
      <c r="CN24" s="671">
        <f t="shared" si="262"/>
        <v>377</v>
      </c>
      <c r="CO24" s="672">
        <f t="shared" si="263"/>
        <v>0.24624428478118876</v>
      </c>
      <c r="CP24" s="671">
        <f t="shared" si="264"/>
        <v>188</v>
      </c>
      <c r="CQ24" s="672">
        <f t="shared" si="265"/>
        <v>9.853249475890985E-2</v>
      </c>
      <c r="CR24" s="671">
        <f t="shared" si="266"/>
        <v>-104</v>
      </c>
      <c r="CS24" s="672">
        <f t="shared" si="267"/>
        <v>-4.9618320610687022E-2</v>
      </c>
      <c r="CT24" s="671">
        <f t="shared" si="268"/>
        <v>869</v>
      </c>
      <c r="CU24" s="672">
        <f t="shared" si="269"/>
        <v>0.4362449799196787</v>
      </c>
      <c r="CV24" s="671">
        <f t="shared" si="270"/>
        <v>-534</v>
      </c>
      <c r="CW24" s="672">
        <f t="shared" si="271"/>
        <v>-0.18664802516602585</v>
      </c>
      <c r="CX24" s="671">
        <f t="shared" si="272"/>
        <v>-147</v>
      </c>
      <c r="CY24" s="672">
        <f t="shared" si="273"/>
        <v>-6.3171465406102273E-2</v>
      </c>
      <c r="CZ24" s="671">
        <f t="shared" si="274"/>
        <v>274</v>
      </c>
      <c r="DA24" s="672">
        <f t="shared" si="275"/>
        <v>0.12568807339449542</v>
      </c>
      <c r="DB24" s="671">
        <f t="shared" si="276"/>
        <v>-137</v>
      </c>
      <c r="DC24" s="672">
        <f t="shared" si="277"/>
        <v>-5.5827220863895681E-2</v>
      </c>
      <c r="DD24" s="671">
        <f t="shared" si="278"/>
        <v>71</v>
      </c>
      <c r="DE24" s="672">
        <f t="shared" si="279"/>
        <v>3.0643072939145446E-2</v>
      </c>
      <c r="DF24" s="671">
        <f t="shared" si="280"/>
        <v>-256</v>
      </c>
      <c r="DG24" s="109">
        <f t="shared" si="281"/>
        <v>-0.10720268006700168</v>
      </c>
      <c r="DH24" s="671">
        <f t="shared" si="282"/>
        <v>319</v>
      </c>
      <c r="DI24" s="672">
        <f t="shared" si="283"/>
        <v>0.14962476547842402</v>
      </c>
      <c r="DJ24" s="671">
        <f t="shared" si="284"/>
        <v>308</v>
      </c>
      <c r="DK24" s="672">
        <f t="shared" si="285"/>
        <v>0.12566299469604242</v>
      </c>
      <c r="DL24" s="671">
        <f t="shared" si="286"/>
        <v>264</v>
      </c>
      <c r="DM24" s="672">
        <f t="shared" si="287"/>
        <v>9.5686843059079374E-2</v>
      </c>
      <c r="DN24" s="323">
        <f t="shared" si="288"/>
        <v>-476</v>
      </c>
      <c r="DO24" s="410">
        <f t="shared" si="289"/>
        <v>-0.15745947734039034</v>
      </c>
      <c r="DP24" s="323">
        <f t="shared" si="290"/>
        <v>125</v>
      </c>
      <c r="DQ24" s="410">
        <f t="shared" si="291"/>
        <v>4.9077345897133882E-2</v>
      </c>
      <c r="DR24" s="323">
        <f t="shared" si="292"/>
        <v>202</v>
      </c>
      <c r="DS24" s="410">
        <f t="shared" si="293"/>
        <v>7.559880239520958E-2</v>
      </c>
      <c r="DT24" s="323">
        <f t="shared" si="294"/>
        <v>-329</v>
      </c>
      <c r="DU24" s="410">
        <f t="shared" si="295"/>
        <v>-0.11447459986082116</v>
      </c>
      <c r="DV24" s="323">
        <f t="shared" si="296"/>
        <v>95</v>
      </c>
      <c r="DW24" s="410">
        <f t="shared" si="297"/>
        <v>3.732809430255403E-2</v>
      </c>
      <c r="DX24" s="323">
        <f t="shared" si="298"/>
        <v>892</v>
      </c>
      <c r="DY24" s="410">
        <f t="shared" si="299"/>
        <v>0.33787878787878789</v>
      </c>
      <c r="DZ24" s="323">
        <f t="shared" si="300"/>
        <v>-558</v>
      </c>
      <c r="EA24" s="410">
        <f t="shared" si="301"/>
        <v>-0.15798414496036239</v>
      </c>
      <c r="EB24" s="323">
        <f t="shared" si="302"/>
        <v>487</v>
      </c>
      <c r="EC24" s="410">
        <f t="shared" si="303"/>
        <v>0.16375252185608608</v>
      </c>
      <c r="ED24" s="323">
        <f t="shared" si="304"/>
        <v>-521</v>
      </c>
      <c r="EE24" s="410">
        <f t="shared" si="305"/>
        <v>-0.15053452759318117</v>
      </c>
      <c r="EF24" s="323">
        <f t="shared" si="306"/>
        <v>-348</v>
      </c>
      <c r="EG24" s="410">
        <f t="shared" si="307"/>
        <v>-0.11836734693877551</v>
      </c>
      <c r="EH24" s="323">
        <f t="shared" si="308"/>
        <v>773</v>
      </c>
      <c r="EI24" s="410">
        <f t="shared" si="309"/>
        <v>0.29822530864197533</v>
      </c>
      <c r="EJ24" s="323">
        <f t="shared" si="310"/>
        <v>329</v>
      </c>
      <c r="EK24" s="410">
        <f t="shared" si="311"/>
        <v>9.7771173848439821E-2</v>
      </c>
      <c r="EL24" s="323">
        <f t="shared" si="312"/>
        <v>-586</v>
      </c>
      <c r="EM24" s="410">
        <f t="shared" si="313"/>
        <v>-0.15863562533838657</v>
      </c>
      <c r="EN24" s="323">
        <f t="shared" si="314"/>
        <v>-321</v>
      </c>
      <c r="EO24" s="410">
        <f t="shared" si="315"/>
        <v>-0.10328185328185328</v>
      </c>
      <c r="EP24" s="323">
        <f t="shared" si="316"/>
        <v>-9</v>
      </c>
      <c r="EQ24" s="410">
        <f t="shared" si="317"/>
        <v>-3.2292787944025836E-3</v>
      </c>
      <c r="ER24" s="323">
        <f t="shared" si="318"/>
        <v>-179</v>
      </c>
      <c r="ES24" s="410">
        <f t="shared" si="319"/>
        <v>-6.4434845212383005E-2</v>
      </c>
      <c r="ET24" s="323">
        <f t="shared" si="320"/>
        <v>59</v>
      </c>
      <c r="EU24" s="410">
        <f t="shared" si="321"/>
        <v>2.2701038861100423E-2</v>
      </c>
      <c r="EV24" s="323">
        <f t="shared" si="322"/>
        <v>232</v>
      </c>
      <c r="EW24" s="410">
        <f t="shared" si="323"/>
        <v>8.7283671933784807E-2</v>
      </c>
      <c r="EX24" s="323">
        <f t="shared" si="324"/>
        <v>630</v>
      </c>
      <c r="EY24" s="410">
        <f t="shared" si="325"/>
        <v>0.2179930795847751</v>
      </c>
      <c r="EZ24" s="323">
        <f t="shared" si="326"/>
        <v>-312</v>
      </c>
      <c r="FA24" s="410">
        <f t="shared" si="327"/>
        <v>-8.8636363636363638E-2</v>
      </c>
      <c r="FB24" s="323">
        <f t="shared" si="328"/>
        <v>-628</v>
      </c>
      <c r="FC24" s="410">
        <f t="shared" si="329"/>
        <v>-0.19576059850374064</v>
      </c>
      <c r="FD24" s="323">
        <f t="shared" si="330"/>
        <v>-150</v>
      </c>
      <c r="FE24" s="410">
        <f t="shared" si="331"/>
        <v>-5.8139534883720929E-2</v>
      </c>
      <c r="FF24" s="323">
        <f t="shared" si="332"/>
        <v>-2430</v>
      </c>
      <c r="FG24" s="410">
        <f t="shared" si="333"/>
        <v>-1</v>
      </c>
      <c r="FH24" s="209">
        <f t="shared" si="334"/>
        <v>2592</v>
      </c>
      <c r="FI24" s="720">
        <f t="shared" si="335"/>
        <v>2430</v>
      </c>
      <c r="FJ24" s="671">
        <f t="shared" si="336"/>
        <v>-162</v>
      </c>
      <c r="FK24" s="109">
        <f t="shared" si="337"/>
        <v>-6.25E-2</v>
      </c>
      <c r="FL24" s="707"/>
      <c r="FM24" s="707"/>
      <c r="FN24" s="707"/>
      <c r="FO24" t="str">
        <f t="shared" si="376"/>
        <v>Reported Source - Email</v>
      </c>
      <c r="FP24" s="270" t="e">
        <f>#REF!</f>
        <v>#REF!</v>
      </c>
      <c r="FQ24" s="270" t="e">
        <f>#REF!</f>
        <v>#REF!</v>
      </c>
      <c r="FR24" s="270" t="e">
        <f>#REF!</f>
        <v>#REF!</v>
      </c>
      <c r="FS24" s="270" t="e">
        <f>#REF!</f>
        <v>#REF!</v>
      </c>
      <c r="FT24" s="270" t="e">
        <f>#REF!</f>
        <v>#REF!</v>
      </c>
      <c r="FU24" s="270" t="e">
        <f>#REF!</f>
        <v>#REF!</v>
      </c>
      <c r="FV24" s="270" t="e">
        <f>#REF!</f>
        <v>#REF!</v>
      </c>
      <c r="FW24" s="270" t="e">
        <f>#REF!</f>
        <v>#REF!</v>
      </c>
      <c r="FX24" s="270" t="e">
        <f>#REF!</f>
        <v>#REF!</v>
      </c>
      <c r="FY24" s="270" t="e">
        <f>#REF!</f>
        <v>#REF!</v>
      </c>
      <c r="FZ24" s="270" t="e">
        <f>#REF!</f>
        <v>#REF!</v>
      </c>
      <c r="GA24" s="271">
        <f t="shared" si="338"/>
        <v>2383</v>
      </c>
      <c r="GB24" s="271">
        <f t="shared" si="339"/>
        <v>2223</v>
      </c>
      <c r="GC24" s="271">
        <f t="shared" si="340"/>
        <v>1710</v>
      </c>
      <c r="GD24" s="271">
        <f t="shared" si="341"/>
        <v>1264</v>
      </c>
      <c r="GE24" s="271">
        <f t="shared" si="342"/>
        <v>1557</v>
      </c>
      <c r="GF24" s="271">
        <f t="shared" si="343"/>
        <v>1529</v>
      </c>
      <c r="GG24" s="271">
        <f t="shared" si="344"/>
        <v>2127</v>
      </c>
      <c r="GH24" s="271">
        <f t="shared" si="345"/>
        <v>2072</v>
      </c>
      <c r="GI24" s="271">
        <f t="shared" si="346"/>
        <v>1740</v>
      </c>
      <c r="GJ24" s="271">
        <f t="shared" si="347"/>
        <v>1795</v>
      </c>
      <c r="GK24" s="271">
        <f t="shared" si="348"/>
        <v>1738</v>
      </c>
      <c r="GL24" s="271">
        <f t="shared" si="349"/>
        <v>1531</v>
      </c>
      <c r="GM24" s="271">
        <f t="shared" si="350"/>
        <v>1908</v>
      </c>
      <c r="GN24" s="271">
        <f t="shared" si="351"/>
        <v>2096</v>
      </c>
      <c r="GO24" s="271">
        <f t="shared" si="352"/>
        <v>1992</v>
      </c>
      <c r="GP24" s="271">
        <f t="shared" si="353"/>
        <v>2861</v>
      </c>
      <c r="GQ24" s="271">
        <f t="shared" si="354"/>
        <v>2327</v>
      </c>
      <c r="GR24" s="271">
        <f t="shared" si="355"/>
        <v>2180</v>
      </c>
      <c r="GS24" s="271">
        <f t="shared" si="356"/>
        <v>2454</v>
      </c>
      <c r="GT24" s="271">
        <f t="shared" si="357"/>
        <v>2317</v>
      </c>
      <c r="GU24" s="271">
        <f t="shared" si="358"/>
        <v>2388</v>
      </c>
      <c r="GV24" s="271">
        <f t="shared" si="359"/>
        <v>2132</v>
      </c>
      <c r="GW24" s="271">
        <f t="shared" si="360"/>
        <v>2451</v>
      </c>
      <c r="GX24" s="271">
        <f t="shared" si="361"/>
        <v>2759</v>
      </c>
      <c r="GY24" s="826">
        <f t="shared" si="362"/>
        <v>3023</v>
      </c>
      <c r="GZ24" s="826">
        <f t="shared" si="363"/>
        <v>2547</v>
      </c>
      <c r="HA24" s="826">
        <f t="shared" si="364"/>
        <v>2672</v>
      </c>
      <c r="HB24" s="826">
        <f t="shared" si="365"/>
        <v>2874</v>
      </c>
      <c r="HC24" s="826">
        <f t="shared" si="366"/>
        <v>2545</v>
      </c>
      <c r="HD24" s="826">
        <f t="shared" si="367"/>
        <v>2640</v>
      </c>
      <c r="HE24" s="826">
        <f t="shared" si="368"/>
        <v>3532</v>
      </c>
      <c r="HF24" s="826">
        <f t="shared" si="369"/>
        <v>2974</v>
      </c>
      <c r="HG24" s="826">
        <f t="shared" si="370"/>
        <v>3461</v>
      </c>
      <c r="HH24" s="826">
        <f t="shared" si="371"/>
        <v>2940</v>
      </c>
      <c r="HI24" s="826">
        <f t="shared" si="372"/>
        <v>2592</v>
      </c>
      <c r="HJ24" s="826">
        <f t="shared" si="373"/>
        <v>3365</v>
      </c>
      <c r="HK24" s="954">
        <f t="shared" si="374"/>
        <v>3694</v>
      </c>
      <c r="HL24" s="954">
        <f t="shared" si="375"/>
        <v>3108</v>
      </c>
      <c r="HM24" s="954">
        <f t="shared" si="375"/>
        <v>2787</v>
      </c>
      <c r="HN24" s="954">
        <f t="shared" si="375"/>
        <v>2778</v>
      </c>
      <c r="HO24" s="954">
        <f t="shared" si="375"/>
        <v>2599</v>
      </c>
      <c r="HP24" s="954">
        <f t="shared" si="375"/>
        <v>2658</v>
      </c>
      <c r="HQ24" s="954">
        <f t="shared" si="375"/>
        <v>2890</v>
      </c>
      <c r="HR24" s="954">
        <f t="shared" si="375"/>
        <v>3520</v>
      </c>
      <c r="HS24" s="954">
        <f t="shared" si="375"/>
        <v>3208</v>
      </c>
      <c r="HT24" s="954">
        <f t="shared" si="375"/>
        <v>2580</v>
      </c>
      <c r="HU24" s="954">
        <f t="shared" si="375"/>
        <v>2430</v>
      </c>
      <c r="HV24" s="954">
        <f t="shared" si="375"/>
        <v>0</v>
      </c>
    </row>
    <row r="25" spans="1:230" x14ac:dyDescent="0.25">
      <c r="A25" s="802"/>
      <c r="B25" s="56"/>
      <c r="C25" s="56" t="s">
        <v>35</v>
      </c>
      <c r="D25" s="119"/>
      <c r="E25" s="1046" t="s">
        <v>40</v>
      </c>
      <c r="F25" s="1046"/>
      <c r="G25" s="1047"/>
      <c r="H25" s="376">
        <v>1183</v>
      </c>
      <c r="I25" s="70">
        <v>1071</v>
      </c>
      <c r="J25" s="23">
        <v>1200</v>
      </c>
      <c r="K25" s="70">
        <v>3933</v>
      </c>
      <c r="L25" s="23">
        <v>1414</v>
      </c>
      <c r="M25" s="70">
        <v>771</v>
      </c>
      <c r="N25" s="23">
        <v>840</v>
      </c>
      <c r="O25" s="70">
        <v>828</v>
      </c>
      <c r="P25" s="23">
        <v>831</v>
      </c>
      <c r="Q25" s="70">
        <v>540</v>
      </c>
      <c r="R25" s="23">
        <v>1065</v>
      </c>
      <c r="S25" s="70">
        <v>1281</v>
      </c>
      <c r="T25" s="130">
        <v>14957</v>
      </c>
      <c r="U25" s="163">
        <v>1246.4166666666667</v>
      </c>
      <c r="V25" s="376">
        <v>958</v>
      </c>
      <c r="W25" s="70">
        <v>506</v>
      </c>
      <c r="X25" s="23">
        <v>463</v>
      </c>
      <c r="Y25" s="70">
        <v>784</v>
      </c>
      <c r="Z25" s="23">
        <v>581</v>
      </c>
      <c r="AA25" s="70">
        <v>466</v>
      </c>
      <c r="AB25" s="23">
        <v>505</v>
      </c>
      <c r="AC25" s="70">
        <v>521</v>
      </c>
      <c r="AD25" s="23">
        <v>545</v>
      </c>
      <c r="AE25" s="70">
        <v>411</v>
      </c>
      <c r="AF25" s="23">
        <v>511</v>
      </c>
      <c r="AG25" s="70">
        <v>508</v>
      </c>
      <c r="AH25" s="130">
        <v>6759</v>
      </c>
      <c r="AI25" s="163">
        <v>563.25</v>
      </c>
      <c r="AJ25" s="376">
        <v>538</v>
      </c>
      <c r="AK25" s="70">
        <v>516</v>
      </c>
      <c r="AL25" s="23">
        <v>450</v>
      </c>
      <c r="AM25" s="70">
        <v>461</v>
      </c>
      <c r="AN25" s="23">
        <v>502</v>
      </c>
      <c r="AO25" s="70">
        <v>540</v>
      </c>
      <c r="AP25" s="634">
        <v>893</v>
      </c>
      <c r="AQ25" s="70">
        <v>646</v>
      </c>
      <c r="AR25" s="634">
        <v>658</v>
      </c>
      <c r="AS25" s="70">
        <v>704</v>
      </c>
      <c r="AT25" s="634">
        <v>609</v>
      </c>
      <c r="AU25" s="70">
        <v>626</v>
      </c>
      <c r="AV25" s="130">
        <f t="shared" si="240"/>
        <v>7143</v>
      </c>
      <c r="AW25" s="163">
        <f t="shared" si="241"/>
        <v>595.25</v>
      </c>
      <c r="AX25" s="376">
        <v>539</v>
      </c>
      <c r="AY25" s="70">
        <v>548</v>
      </c>
      <c r="AZ25" s="23">
        <v>520</v>
      </c>
      <c r="BA25" s="70">
        <v>486</v>
      </c>
      <c r="BB25" s="23">
        <v>564</v>
      </c>
      <c r="BC25" s="70">
        <v>483</v>
      </c>
      <c r="BD25" s="634">
        <v>338</v>
      </c>
      <c r="BE25" s="70">
        <v>296</v>
      </c>
      <c r="BF25" s="634">
        <v>335</v>
      </c>
      <c r="BG25" s="70">
        <v>340</v>
      </c>
      <c r="BH25" s="634">
        <v>430</v>
      </c>
      <c r="BI25" s="70">
        <v>255</v>
      </c>
      <c r="BJ25" s="130">
        <f t="shared" si="244"/>
        <v>5134</v>
      </c>
      <c r="BK25" s="163">
        <f t="shared" si="245"/>
        <v>427.83333333333331</v>
      </c>
      <c r="BL25" s="376">
        <v>275</v>
      </c>
      <c r="BM25" s="70">
        <v>366</v>
      </c>
      <c r="BN25" s="23">
        <v>340</v>
      </c>
      <c r="BO25" s="70">
        <v>388</v>
      </c>
      <c r="BP25" s="23">
        <v>205</v>
      </c>
      <c r="BQ25" s="70">
        <v>246</v>
      </c>
      <c r="BR25" s="634">
        <v>356</v>
      </c>
      <c r="BS25" s="70">
        <v>312</v>
      </c>
      <c r="BT25" s="634">
        <v>276</v>
      </c>
      <c r="BU25" s="634">
        <v>369</v>
      </c>
      <c r="BV25" s="634">
        <v>355</v>
      </c>
      <c r="BW25" s="634">
        <v>443</v>
      </c>
      <c r="BX25" s="130">
        <f t="shared" si="252"/>
        <v>3931</v>
      </c>
      <c r="BY25" s="163">
        <f t="shared" si="253"/>
        <v>327.58333333333331</v>
      </c>
      <c r="BZ25" s="634">
        <v>390</v>
      </c>
      <c r="CA25" s="70">
        <v>504</v>
      </c>
      <c r="CB25" s="23">
        <v>391</v>
      </c>
      <c r="CC25" s="70">
        <v>350</v>
      </c>
      <c r="CD25" s="23">
        <v>570</v>
      </c>
      <c r="CE25" s="70">
        <v>1052</v>
      </c>
      <c r="CF25" s="634">
        <v>307</v>
      </c>
      <c r="CG25" s="70">
        <v>287</v>
      </c>
      <c r="CH25" s="634">
        <v>292</v>
      </c>
      <c r="CI25" s="634">
        <v>371</v>
      </c>
      <c r="CJ25" s="634">
        <v>396</v>
      </c>
      <c r="CK25" s="634"/>
      <c r="CL25" s="130">
        <f t="shared" si="260"/>
        <v>4910</v>
      </c>
      <c r="CM25" s="163">
        <f t="shared" si="261"/>
        <v>446.36363636363637</v>
      </c>
      <c r="CN25" s="671">
        <f t="shared" si="262"/>
        <v>-87</v>
      </c>
      <c r="CO25" s="672">
        <f t="shared" si="263"/>
        <v>-0.1389776357827476</v>
      </c>
      <c r="CP25" s="671">
        <f t="shared" si="264"/>
        <v>9</v>
      </c>
      <c r="CQ25" s="672">
        <f t="shared" si="265"/>
        <v>1.6697588126159554E-2</v>
      </c>
      <c r="CR25" s="671">
        <f t="shared" si="266"/>
        <v>-28</v>
      </c>
      <c r="CS25" s="672">
        <f t="shared" si="267"/>
        <v>-5.1094890510948905E-2</v>
      </c>
      <c r="CT25" s="671">
        <f t="shared" si="268"/>
        <v>-34</v>
      </c>
      <c r="CU25" s="672">
        <f t="shared" si="269"/>
        <v>-6.5384615384615388E-2</v>
      </c>
      <c r="CV25" s="671">
        <f t="shared" si="270"/>
        <v>78</v>
      </c>
      <c r="CW25" s="672">
        <f t="shared" si="271"/>
        <v>0.16049382716049382</v>
      </c>
      <c r="CX25" s="671">
        <f t="shared" si="272"/>
        <v>-81</v>
      </c>
      <c r="CY25" s="672">
        <f t="shared" si="273"/>
        <v>-0.14361702127659576</v>
      </c>
      <c r="CZ25" s="671">
        <f t="shared" si="274"/>
        <v>-145</v>
      </c>
      <c r="DA25" s="672">
        <f t="shared" si="275"/>
        <v>-0.30020703933747411</v>
      </c>
      <c r="DB25" s="671">
        <f t="shared" si="276"/>
        <v>-42</v>
      </c>
      <c r="DC25" s="672">
        <f t="shared" si="277"/>
        <v>-0.1242603550295858</v>
      </c>
      <c r="DD25" s="671">
        <f t="shared" si="278"/>
        <v>39</v>
      </c>
      <c r="DE25" s="672">
        <f t="shared" si="279"/>
        <v>0.13175675675675674</v>
      </c>
      <c r="DF25" s="671">
        <f t="shared" si="280"/>
        <v>5</v>
      </c>
      <c r="DG25" s="109">
        <f t="shared" si="281"/>
        <v>1.4925373134328358E-2</v>
      </c>
      <c r="DH25" s="671">
        <f t="shared" si="282"/>
        <v>90</v>
      </c>
      <c r="DI25" s="672">
        <f t="shared" si="283"/>
        <v>0.26470588235294118</v>
      </c>
      <c r="DJ25" s="671">
        <f t="shared" si="284"/>
        <v>-175</v>
      </c>
      <c r="DK25" s="672">
        <f t="shared" si="285"/>
        <v>-0.40697674418604651</v>
      </c>
      <c r="DL25" s="671">
        <f t="shared" si="286"/>
        <v>20</v>
      </c>
      <c r="DM25" s="672">
        <f t="shared" si="287"/>
        <v>7.8431372549019607E-2</v>
      </c>
      <c r="DN25" s="323">
        <f t="shared" si="288"/>
        <v>91</v>
      </c>
      <c r="DO25" s="410">
        <f t="shared" si="289"/>
        <v>0.33090909090909093</v>
      </c>
      <c r="DP25" s="323">
        <f t="shared" si="290"/>
        <v>-26</v>
      </c>
      <c r="DQ25" s="410">
        <f t="shared" si="291"/>
        <v>-7.1038251366120214E-2</v>
      </c>
      <c r="DR25" s="323">
        <f t="shared" si="292"/>
        <v>48</v>
      </c>
      <c r="DS25" s="410">
        <f t="shared" si="293"/>
        <v>0.14117647058823529</v>
      </c>
      <c r="DT25" s="323">
        <f t="shared" si="294"/>
        <v>-183</v>
      </c>
      <c r="DU25" s="410">
        <f t="shared" si="295"/>
        <v>-0.47164948453608246</v>
      </c>
      <c r="DV25" s="323">
        <f t="shared" si="296"/>
        <v>41</v>
      </c>
      <c r="DW25" s="410">
        <f t="shared" si="297"/>
        <v>0.2</v>
      </c>
      <c r="DX25" s="323">
        <f t="shared" si="298"/>
        <v>110</v>
      </c>
      <c r="DY25" s="410">
        <f t="shared" si="299"/>
        <v>0.44715447154471544</v>
      </c>
      <c r="DZ25" s="323">
        <f t="shared" si="300"/>
        <v>-44</v>
      </c>
      <c r="EA25" s="410">
        <f t="shared" si="301"/>
        <v>-0.12359550561797752</v>
      </c>
      <c r="EB25" s="323">
        <f t="shared" si="302"/>
        <v>-36</v>
      </c>
      <c r="EC25" s="410">
        <f t="shared" si="303"/>
        <v>-0.11538461538461539</v>
      </c>
      <c r="ED25" s="323">
        <f t="shared" si="304"/>
        <v>93</v>
      </c>
      <c r="EE25" s="410">
        <f t="shared" si="305"/>
        <v>0.33695652173913043</v>
      </c>
      <c r="EF25" s="323">
        <f t="shared" si="306"/>
        <v>-14</v>
      </c>
      <c r="EG25" s="410">
        <f t="shared" si="307"/>
        <v>-3.7940379403794036E-2</v>
      </c>
      <c r="EH25" s="323">
        <f t="shared" si="308"/>
        <v>88</v>
      </c>
      <c r="EI25" s="410">
        <f t="shared" si="309"/>
        <v>0.24788732394366197</v>
      </c>
      <c r="EJ25" s="323">
        <f t="shared" si="310"/>
        <v>-53</v>
      </c>
      <c r="EK25" s="410">
        <f t="shared" si="311"/>
        <v>-0.11963882618510158</v>
      </c>
      <c r="EL25" s="323">
        <f t="shared" si="312"/>
        <v>114</v>
      </c>
      <c r="EM25" s="410">
        <f t="shared" si="313"/>
        <v>0.29230769230769232</v>
      </c>
      <c r="EN25" s="323">
        <f t="shared" si="314"/>
        <v>-113</v>
      </c>
      <c r="EO25" s="410">
        <f t="shared" si="315"/>
        <v>-0.22420634920634921</v>
      </c>
      <c r="EP25" s="323">
        <f t="shared" si="316"/>
        <v>-41</v>
      </c>
      <c r="EQ25" s="410">
        <f t="shared" si="317"/>
        <v>-0.10485933503836317</v>
      </c>
      <c r="ER25" s="323">
        <f t="shared" si="318"/>
        <v>220</v>
      </c>
      <c r="ES25" s="410">
        <f t="shared" si="319"/>
        <v>0.62857142857142856</v>
      </c>
      <c r="ET25" s="323">
        <f t="shared" si="320"/>
        <v>482</v>
      </c>
      <c r="EU25" s="410">
        <f t="shared" si="321"/>
        <v>0.84561403508771926</v>
      </c>
      <c r="EV25" s="323">
        <f t="shared" si="322"/>
        <v>-745</v>
      </c>
      <c r="EW25" s="410">
        <f t="shared" si="323"/>
        <v>-0.70817490494296575</v>
      </c>
      <c r="EX25" s="323">
        <f t="shared" si="324"/>
        <v>-20</v>
      </c>
      <c r="EY25" s="410">
        <f t="shared" si="325"/>
        <v>-6.5146579804560262E-2</v>
      </c>
      <c r="EZ25" s="323">
        <f t="shared" si="326"/>
        <v>5</v>
      </c>
      <c r="FA25" s="410">
        <f t="shared" si="327"/>
        <v>1.7421602787456445E-2</v>
      </c>
      <c r="FB25" s="323">
        <f t="shared" si="328"/>
        <v>79</v>
      </c>
      <c r="FC25" s="410">
        <f t="shared" si="329"/>
        <v>0.27054794520547948</v>
      </c>
      <c r="FD25" s="323">
        <f t="shared" si="330"/>
        <v>25</v>
      </c>
      <c r="FE25" s="410">
        <f t="shared" si="331"/>
        <v>6.7385444743935305E-2</v>
      </c>
      <c r="FF25" s="323">
        <f t="shared" si="332"/>
        <v>-396</v>
      </c>
      <c r="FG25" s="410">
        <f t="shared" si="333"/>
        <v>-1</v>
      </c>
      <c r="FH25" s="209">
        <f t="shared" si="334"/>
        <v>355</v>
      </c>
      <c r="FI25" s="720">
        <f t="shared" si="335"/>
        <v>396</v>
      </c>
      <c r="FJ25" s="671">
        <f t="shared" si="336"/>
        <v>41</v>
      </c>
      <c r="FK25" s="109">
        <f t="shared" si="337"/>
        <v>0.11549295774647887</v>
      </c>
      <c r="FL25" s="707"/>
      <c r="FM25" s="707"/>
      <c r="FN25" s="707"/>
      <c r="FO25" t="str">
        <f t="shared" si="376"/>
        <v>Reported Source - Fax</v>
      </c>
      <c r="FP25" s="270" t="e">
        <f>#REF!</f>
        <v>#REF!</v>
      </c>
      <c r="FQ25" s="270" t="e">
        <f>#REF!</f>
        <v>#REF!</v>
      </c>
      <c r="FR25" s="270" t="e">
        <f>#REF!</f>
        <v>#REF!</v>
      </c>
      <c r="FS25" s="270" t="e">
        <f>#REF!</f>
        <v>#REF!</v>
      </c>
      <c r="FT25" s="270" t="e">
        <f>#REF!</f>
        <v>#REF!</v>
      </c>
      <c r="FU25" s="270" t="e">
        <f>#REF!</f>
        <v>#REF!</v>
      </c>
      <c r="FV25" s="270" t="e">
        <f>#REF!</f>
        <v>#REF!</v>
      </c>
      <c r="FW25" s="270" t="e">
        <f>#REF!</f>
        <v>#REF!</v>
      </c>
      <c r="FX25" s="270" t="e">
        <f>#REF!</f>
        <v>#REF!</v>
      </c>
      <c r="FY25" s="270" t="e">
        <f>#REF!</f>
        <v>#REF!</v>
      </c>
      <c r="FZ25" s="270" t="e">
        <f>#REF!</f>
        <v>#REF!</v>
      </c>
      <c r="GA25" s="271">
        <f t="shared" si="338"/>
        <v>538</v>
      </c>
      <c r="GB25" s="271">
        <f t="shared" si="339"/>
        <v>516</v>
      </c>
      <c r="GC25" s="271">
        <f t="shared" si="340"/>
        <v>450</v>
      </c>
      <c r="GD25" s="271">
        <f t="shared" si="341"/>
        <v>461</v>
      </c>
      <c r="GE25" s="271">
        <f t="shared" si="342"/>
        <v>502</v>
      </c>
      <c r="GF25" s="271">
        <f t="shared" si="343"/>
        <v>540</v>
      </c>
      <c r="GG25" s="271">
        <f t="shared" si="344"/>
        <v>893</v>
      </c>
      <c r="GH25" s="271">
        <f t="shared" si="345"/>
        <v>646</v>
      </c>
      <c r="GI25" s="271">
        <f t="shared" si="346"/>
        <v>658</v>
      </c>
      <c r="GJ25" s="271">
        <f t="shared" si="347"/>
        <v>704</v>
      </c>
      <c r="GK25" s="271">
        <f t="shared" si="348"/>
        <v>609</v>
      </c>
      <c r="GL25" s="271">
        <f t="shared" si="349"/>
        <v>626</v>
      </c>
      <c r="GM25" s="271">
        <f t="shared" si="350"/>
        <v>539</v>
      </c>
      <c r="GN25" s="271">
        <f t="shared" si="351"/>
        <v>548</v>
      </c>
      <c r="GO25" s="271">
        <f t="shared" si="352"/>
        <v>520</v>
      </c>
      <c r="GP25" s="271">
        <f t="shared" si="353"/>
        <v>486</v>
      </c>
      <c r="GQ25" s="271">
        <f t="shared" si="354"/>
        <v>564</v>
      </c>
      <c r="GR25" s="271">
        <f t="shared" si="355"/>
        <v>483</v>
      </c>
      <c r="GS25" s="271">
        <f t="shared" si="356"/>
        <v>338</v>
      </c>
      <c r="GT25" s="271">
        <f t="shared" si="357"/>
        <v>296</v>
      </c>
      <c r="GU25" s="271">
        <f t="shared" si="358"/>
        <v>335</v>
      </c>
      <c r="GV25" s="271">
        <f t="shared" si="359"/>
        <v>340</v>
      </c>
      <c r="GW25" s="271">
        <f t="shared" si="360"/>
        <v>430</v>
      </c>
      <c r="GX25" s="271">
        <f t="shared" si="361"/>
        <v>255</v>
      </c>
      <c r="GY25" s="826">
        <f t="shared" si="362"/>
        <v>275</v>
      </c>
      <c r="GZ25" s="826">
        <f t="shared" si="363"/>
        <v>366</v>
      </c>
      <c r="HA25" s="826">
        <f t="shared" si="364"/>
        <v>340</v>
      </c>
      <c r="HB25" s="826">
        <f t="shared" si="365"/>
        <v>388</v>
      </c>
      <c r="HC25" s="826">
        <f t="shared" si="366"/>
        <v>205</v>
      </c>
      <c r="HD25" s="826">
        <f t="shared" si="367"/>
        <v>246</v>
      </c>
      <c r="HE25" s="826">
        <f t="shared" si="368"/>
        <v>356</v>
      </c>
      <c r="HF25" s="826">
        <f t="shared" si="369"/>
        <v>312</v>
      </c>
      <c r="HG25" s="826">
        <f t="shared" si="370"/>
        <v>276</v>
      </c>
      <c r="HH25" s="826">
        <f t="shared" si="371"/>
        <v>369</v>
      </c>
      <c r="HI25" s="826">
        <f t="shared" si="372"/>
        <v>355</v>
      </c>
      <c r="HJ25" s="826">
        <f t="shared" si="373"/>
        <v>443</v>
      </c>
      <c r="HK25" s="954">
        <f t="shared" si="374"/>
        <v>390</v>
      </c>
      <c r="HL25" s="954">
        <f t="shared" si="375"/>
        <v>504</v>
      </c>
      <c r="HM25" s="954">
        <f t="shared" si="375"/>
        <v>391</v>
      </c>
      <c r="HN25" s="954">
        <f t="shared" si="375"/>
        <v>350</v>
      </c>
      <c r="HO25" s="954">
        <f t="shared" si="375"/>
        <v>570</v>
      </c>
      <c r="HP25" s="954">
        <f t="shared" si="375"/>
        <v>1052</v>
      </c>
      <c r="HQ25" s="954">
        <f t="shared" si="375"/>
        <v>307</v>
      </c>
      <c r="HR25" s="954">
        <f t="shared" si="375"/>
        <v>287</v>
      </c>
      <c r="HS25" s="954">
        <f t="shared" si="375"/>
        <v>292</v>
      </c>
      <c r="HT25" s="954">
        <f t="shared" si="375"/>
        <v>371</v>
      </c>
      <c r="HU25" s="954">
        <f t="shared" si="375"/>
        <v>396</v>
      </c>
      <c r="HV25" s="954">
        <f t="shared" si="375"/>
        <v>0</v>
      </c>
    </row>
    <row r="26" spans="1:230" x14ac:dyDescent="0.25">
      <c r="A26" s="802"/>
      <c r="B26" s="56"/>
      <c r="C26" s="56" t="s">
        <v>36</v>
      </c>
      <c r="D26" s="119"/>
      <c r="E26" s="1046" t="s">
        <v>41</v>
      </c>
      <c r="F26" s="1046"/>
      <c r="G26" s="1047"/>
      <c r="H26" s="376">
        <v>628</v>
      </c>
      <c r="I26" s="70">
        <v>882</v>
      </c>
      <c r="J26" s="23">
        <v>566</v>
      </c>
      <c r="K26" s="70">
        <v>1328</v>
      </c>
      <c r="L26" s="23">
        <v>794</v>
      </c>
      <c r="M26" s="70">
        <v>542</v>
      </c>
      <c r="N26" s="23">
        <v>501</v>
      </c>
      <c r="O26" s="70">
        <v>778</v>
      </c>
      <c r="P26" s="23">
        <v>588</v>
      </c>
      <c r="Q26" s="70">
        <v>796</v>
      </c>
      <c r="R26" s="23">
        <v>1120</v>
      </c>
      <c r="S26" s="70">
        <v>1804</v>
      </c>
      <c r="T26" s="130">
        <v>10327</v>
      </c>
      <c r="U26" s="163">
        <v>860.58333333333337</v>
      </c>
      <c r="V26" s="376">
        <v>762</v>
      </c>
      <c r="W26" s="70">
        <v>1116</v>
      </c>
      <c r="X26" s="23">
        <v>774</v>
      </c>
      <c r="Y26" s="70">
        <v>905</v>
      </c>
      <c r="Z26" s="23">
        <v>827</v>
      </c>
      <c r="AA26" s="70">
        <v>624</v>
      </c>
      <c r="AB26" s="23">
        <v>557</v>
      </c>
      <c r="AC26" s="70">
        <v>892</v>
      </c>
      <c r="AD26" s="23">
        <v>679</v>
      </c>
      <c r="AE26" s="70">
        <v>885</v>
      </c>
      <c r="AF26" s="23">
        <v>899</v>
      </c>
      <c r="AG26" s="70">
        <v>741</v>
      </c>
      <c r="AH26" s="130">
        <v>9661</v>
      </c>
      <c r="AI26" s="163">
        <v>805.08333333333337</v>
      </c>
      <c r="AJ26" s="376">
        <v>628</v>
      </c>
      <c r="AK26" s="70">
        <v>862</v>
      </c>
      <c r="AL26" s="23">
        <v>468</v>
      </c>
      <c r="AM26" s="70">
        <v>437</v>
      </c>
      <c r="AN26" s="23">
        <v>593</v>
      </c>
      <c r="AO26" s="70">
        <v>529</v>
      </c>
      <c r="AP26" s="634">
        <v>493</v>
      </c>
      <c r="AQ26" s="70">
        <v>599</v>
      </c>
      <c r="AR26" s="634">
        <v>605</v>
      </c>
      <c r="AS26" s="70">
        <v>753</v>
      </c>
      <c r="AT26" s="634">
        <v>757</v>
      </c>
      <c r="AU26" s="70">
        <v>526</v>
      </c>
      <c r="AV26" s="130">
        <f t="shared" si="240"/>
        <v>7250</v>
      </c>
      <c r="AW26" s="163">
        <f t="shared" si="241"/>
        <v>604.16666666666663</v>
      </c>
      <c r="AX26" s="376">
        <v>953</v>
      </c>
      <c r="AY26" s="70">
        <v>679</v>
      </c>
      <c r="AZ26" s="23">
        <v>568</v>
      </c>
      <c r="BA26" s="70">
        <v>844</v>
      </c>
      <c r="BB26" s="23">
        <v>866</v>
      </c>
      <c r="BC26" s="70">
        <v>513</v>
      </c>
      <c r="BD26" s="634">
        <v>344</v>
      </c>
      <c r="BE26" s="70">
        <v>439</v>
      </c>
      <c r="BF26" s="634">
        <v>446</v>
      </c>
      <c r="BG26" s="70">
        <v>793</v>
      </c>
      <c r="BH26" s="634">
        <v>504</v>
      </c>
      <c r="BI26" s="70">
        <v>450</v>
      </c>
      <c r="BJ26" s="130">
        <f t="shared" si="244"/>
        <v>7399</v>
      </c>
      <c r="BK26" s="163">
        <f t="shared" si="245"/>
        <v>616.58333333333337</v>
      </c>
      <c r="BL26" s="376">
        <v>505</v>
      </c>
      <c r="BM26" s="70">
        <v>458</v>
      </c>
      <c r="BN26" s="23">
        <v>397</v>
      </c>
      <c r="BO26" s="70">
        <v>380</v>
      </c>
      <c r="BP26" s="23">
        <v>830</v>
      </c>
      <c r="BQ26" s="70">
        <v>452</v>
      </c>
      <c r="BR26" s="634">
        <v>388</v>
      </c>
      <c r="BS26" s="70">
        <v>353</v>
      </c>
      <c r="BT26" s="634">
        <v>402</v>
      </c>
      <c r="BU26" s="634">
        <v>764</v>
      </c>
      <c r="BV26" s="634">
        <v>489</v>
      </c>
      <c r="BW26" s="634">
        <v>450</v>
      </c>
      <c r="BX26" s="130">
        <f t="shared" si="252"/>
        <v>5868</v>
      </c>
      <c r="BY26" s="163">
        <f t="shared" si="253"/>
        <v>489</v>
      </c>
      <c r="BZ26" s="634">
        <v>446</v>
      </c>
      <c r="CA26" s="70">
        <v>480</v>
      </c>
      <c r="CB26" s="23">
        <v>365</v>
      </c>
      <c r="CC26" s="70">
        <v>376</v>
      </c>
      <c r="CD26" s="23">
        <v>459</v>
      </c>
      <c r="CE26" s="70">
        <v>401</v>
      </c>
      <c r="CF26" s="634">
        <v>266</v>
      </c>
      <c r="CG26" s="70">
        <v>349</v>
      </c>
      <c r="CH26" s="634">
        <v>320</v>
      </c>
      <c r="CI26" s="634">
        <v>610</v>
      </c>
      <c r="CJ26" s="634">
        <v>437</v>
      </c>
      <c r="CK26" s="634"/>
      <c r="CL26" s="130">
        <f t="shared" si="260"/>
        <v>4509</v>
      </c>
      <c r="CM26" s="163">
        <f t="shared" si="261"/>
        <v>409.90909090909093</v>
      </c>
      <c r="CN26" s="671">
        <f t="shared" si="262"/>
        <v>427</v>
      </c>
      <c r="CO26" s="672">
        <f t="shared" si="263"/>
        <v>0.81178707224334601</v>
      </c>
      <c r="CP26" s="671">
        <f t="shared" si="264"/>
        <v>-274</v>
      </c>
      <c r="CQ26" s="672">
        <f t="shared" si="265"/>
        <v>-0.28751311647429173</v>
      </c>
      <c r="CR26" s="671">
        <f t="shared" si="266"/>
        <v>-111</v>
      </c>
      <c r="CS26" s="672">
        <f t="shared" si="267"/>
        <v>-0.16347569955817379</v>
      </c>
      <c r="CT26" s="671">
        <f t="shared" si="268"/>
        <v>276</v>
      </c>
      <c r="CU26" s="672">
        <f t="shared" si="269"/>
        <v>0.4859154929577465</v>
      </c>
      <c r="CV26" s="671">
        <f t="shared" si="270"/>
        <v>22</v>
      </c>
      <c r="CW26" s="672">
        <f t="shared" si="271"/>
        <v>2.6066350710900472E-2</v>
      </c>
      <c r="CX26" s="671">
        <f t="shared" si="272"/>
        <v>-353</v>
      </c>
      <c r="CY26" s="672">
        <f t="shared" si="273"/>
        <v>-0.407621247113164</v>
      </c>
      <c r="CZ26" s="671">
        <f t="shared" si="274"/>
        <v>-169</v>
      </c>
      <c r="DA26" s="672">
        <f t="shared" si="275"/>
        <v>-0.32943469785575047</v>
      </c>
      <c r="DB26" s="671">
        <f t="shared" si="276"/>
        <v>95</v>
      </c>
      <c r="DC26" s="672">
        <f t="shared" si="277"/>
        <v>0.27616279069767441</v>
      </c>
      <c r="DD26" s="671">
        <f t="shared" si="278"/>
        <v>7</v>
      </c>
      <c r="DE26" s="672">
        <f t="shared" si="279"/>
        <v>1.5945330296127564E-2</v>
      </c>
      <c r="DF26" s="671">
        <f t="shared" si="280"/>
        <v>347</v>
      </c>
      <c r="DG26" s="109">
        <f t="shared" si="281"/>
        <v>0.77802690582959644</v>
      </c>
      <c r="DH26" s="671">
        <f t="shared" si="282"/>
        <v>-289</v>
      </c>
      <c r="DI26" s="672">
        <f t="shared" si="283"/>
        <v>-0.36443883984867592</v>
      </c>
      <c r="DJ26" s="671">
        <f t="shared" si="284"/>
        <v>-54</v>
      </c>
      <c r="DK26" s="672">
        <f t="shared" si="285"/>
        <v>-0.10714285714285714</v>
      </c>
      <c r="DL26" s="671">
        <f t="shared" si="286"/>
        <v>55</v>
      </c>
      <c r="DM26" s="672">
        <f t="shared" si="287"/>
        <v>0.12222222222222222</v>
      </c>
      <c r="DN26" s="323">
        <f t="shared" si="288"/>
        <v>-47</v>
      </c>
      <c r="DO26" s="410">
        <f t="shared" si="289"/>
        <v>-9.3069306930693069E-2</v>
      </c>
      <c r="DP26" s="323">
        <f t="shared" si="290"/>
        <v>-61</v>
      </c>
      <c r="DQ26" s="410">
        <f t="shared" si="291"/>
        <v>-0.1331877729257642</v>
      </c>
      <c r="DR26" s="323">
        <f t="shared" si="292"/>
        <v>-17</v>
      </c>
      <c r="DS26" s="410">
        <f t="shared" si="293"/>
        <v>-4.2821158690176324E-2</v>
      </c>
      <c r="DT26" s="323">
        <f t="shared" si="294"/>
        <v>450</v>
      </c>
      <c r="DU26" s="410">
        <f t="shared" si="295"/>
        <v>1.1842105263157894</v>
      </c>
      <c r="DV26" s="323">
        <f t="shared" si="296"/>
        <v>-378</v>
      </c>
      <c r="DW26" s="410">
        <f t="shared" si="297"/>
        <v>-0.45542168674698796</v>
      </c>
      <c r="DX26" s="323">
        <f t="shared" si="298"/>
        <v>-64</v>
      </c>
      <c r="DY26" s="410">
        <f t="shared" si="299"/>
        <v>-0.1415929203539823</v>
      </c>
      <c r="DZ26" s="323">
        <f t="shared" si="300"/>
        <v>-35</v>
      </c>
      <c r="EA26" s="410">
        <f t="shared" si="301"/>
        <v>-9.0206185567010308E-2</v>
      </c>
      <c r="EB26" s="323">
        <f t="shared" si="302"/>
        <v>49</v>
      </c>
      <c r="EC26" s="410">
        <f t="shared" si="303"/>
        <v>0.13881019830028329</v>
      </c>
      <c r="ED26" s="323">
        <f t="shared" si="304"/>
        <v>362</v>
      </c>
      <c r="EE26" s="410">
        <f t="shared" si="305"/>
        <v>0.90049751243781095</v>
      </c>
      <c r="EF26" s="323">
        <f t="shared" si="306"/>
        <v>-275</v>
      </c>
      <c r="EG26" s="410">
        <f t="shared" si="307"/>
        <v>-0.3599476439790576</v>
      </c>
      <c r="EH26" s="323">
        <f t="shared" si="308"/>
        <v>-39</v>
      </c>
      <c r="EI26" s="410">
        <f t="shared" si="309"/>
        <v>-7.9754601226993863E-2</v>
      </c>
      <c r="EJ26" s="323">
        <f t="shared" si="310"/>
        <v>-4</v>
      </c>
      <c r="EK26" s="410">
        <f t="shared" si="311"/>
        <v>-8.8888888888888889E-3</v>
      </c>
      <c r="EL26" s="323">
        <f t="shared" si="312"/>
        <v>34</v>
      </c>
      <c r="EM26" s="410">
        <f t="shared" si="313"/>
        <v>7.623318385650224E-2</v>
      </c>
      <c r="EN26" s="323">
        <f t="shared" si="314"/>
        <v>-115</v>
      </c>
      <c r="EO26" s="410">
        <f t="shared" si="315"/>
        <v>-0.23958333333333334</v>
      </c>
      <c r="EP26" s="323">
        <f t="shared" si="316"/>
        <v>11</v>
      </c>
      <c r="EQ26" s="410">
        <f t="shared" si="317"/>
        <v>3.0136986301369864E-2</v>
      </c>
      <c r="ER26" s="323">
        <f t="shared" si="318"/>
        <v>83</v>
      </c>
      <c r="ES26" s="410">
        <f t="shared" si="319"/>
        <v>0.22074468085106383</v>
      </c>
      <c r="ET26" s="323">
        <f t="shared" si="320"/>
        <v>-58</v>
      </c>
      <c r="EU26" s="410">
        <f t="shared" si="321"/>
        <v>-0.12636165577342048</v>
      </c>
      <c r="EV26" s="323">
        <f t="shared" si="322"/>
        <v>-135</v>
      </c>
      <c r="EW26" s="410">
        <f t="shared" si="323"/>
        <v>-0.33665835411471323</v>
      </c>
      <c r="EX26" s="323">
        <f t="shared" si="324"/>
        <v>83</v>
      </c>
      <c r="EY26" s="410">
        <f t="shared" si="325"/>
        <v>0.31203007518796994</v>
      </c>
      <c r="EZ26" s="323">
        <f t="shared" si="326"/>
        <v>-29</v>
      </c>
      <c r="FA26" s="410">
        <f t="shared" si="327"/>
        <v>-8.3094555873925502E-2</v>
      </c>
      <c r="FB26" s="323">
        <f t="shared" si="328"/>
        <v>290</v>
      </c>
      <c r="FC26" s="410">
        <f t="shared" si="329"/>
        <v>0.90625</v>
      </c>
      <c r="FD26" s="323">
        <f t="shared" si="330"/>
        <v>-173</v>
      </c>
      <c r="FE26" s="410">
        <f t="shared" si="331"/>
        <v>-0.28360655737704921</v>
      </c>
      <c r="FF26" s="323">
        <f t="shared" si="332"/>
        <v>-437</v>
      </c>
      <c r="FG26" s="410">
        <f t="shared" si="333"/>
        <v>-1</v>
      </c>
      <c r="FH26" s="209">
        <f t="shared" si="334"/>
        <v>489</v>
      </c>
      <c r="FI26" s="720">
        <f t="shared" si="335"/>
        <v>437</v>
      </c>
      <c r="FJ26" s="671">
        <f t="shared" si="336"/>
        <v>-52</v>
      </c>
      <c r="FK26" s="109">
        <f t="shared" si="337"/>
        <v>-0.10633946830265849</v>
      </c>
      <c r="FL26" s="707"/>
      <c r="FM26" s="707"/>
      <c r="FN26" s="707"/>
      <c r="FO26" t="str">
        <f t="shared" si="376"/>
        <v>Reported Source - US Mail</v>
      </c>
      <c r="FP26" s="270" t="e">
        <f>#REF!</f>
        <v>#REF!</v>
      </c>
      <c r="FQ26" s="270" t="e">
        <f>#REF!</f>
        <v>#REF!</v>
      </c>
      <c r="FR26" s="270" t="e">
        <f>#REF!</f>
        <v>#REF!</v>
      </c>
      <c r="FS26" s="270" t="e">
        <f>#REF!</f>
        <v>#REF!</v>
      </c>
      <c r="FT26" s="270" t="e">
        <f>#REF!</f>
        <v>#REF!</v>
      </c>
      <c r="FU26" s="270" t="e">
        <f>#REF!</f>
        <v>#REF!</v>
      </c>
      <c r="FV26" s="270" t="e">
        <f>#REF!</f>
        <v>#REF!</v>
      </c>
      <c r="FW26" s="270" t="e">
        <f>#REF!</f>
        <v>#REF!</v>
      </c>
      <c r="FX26" s="270" t="e">
        <f>#REF!</f>
        <v>#REF!</v>
      </c>
      <c r="FY26" s="270" t="e">
        <f>#REF!</f>
        <v>#REF!</v>
      </c>
      <c r="FZ26" s="270" t="e">
        <f>#REF!</f>
        <v>#REF!</v>
      </c>
      <c r="GA26" s="271">
        <f t="shared" si="338"/>
        <v>628</v>
      </c>
      <c r="GB26" s="271">
        <f t="shared" si="339"/>
        <v>862</v>
      </c>
      <c r="GC26" s="271">
        <f t="shared" si="340"/>
        <v>468</v>
      </c>
      <c r="GD26" s="271">
        <f t="shared" si="341"/>
        <v>437</v>
      </c>
      <c r="GE26" s="271">
        <f t="shared" si="342"/>
        <v>593</v>
      </c>
      <c r="GF26" s="271">
        <f t="shared" si="343"/>
        <v>529</v>
      </c>
      <c r="GG26" s="271">
        <f t="shared" si="344"/>
        <v>493</v>
      </c>
      <c r="GH26" s="271">
        <f t="shared" si="345"/>
        <v>599</v>
      </c>
      <c r="GI26" s="271">
        <f t="shared" si="346"/>
        <v>605</v>
      </c>
      <c r="GJ26" s="271">
        <f t="shared" si="347"/>
        <v>753</v>
      </c>
      <c r="GK26" s="271">
        <f t="shared" si="348"/>
        <v>757</v>
      </c>
      <c r="GL26" s="271">
        <f t="shared" si="349"/>
        <v>526</v>
      </c>
      <c r="GM26" s="271">
        <f t="shared" si="350"/>
        <v>953</v>
      </c>
      <c r="GN26" s="271">
        <f t="shared" si="351"/>
        <v>679</v>
      </c>
      <c r="GO26" s="271">
        <f t="shared" si="352"/>
        <v>568</v>
      </c>
      <c r="GP26" s="271">
        <f t="shared" si="353"/>
        <v>844</v>
      </c>
      <c r="GQ26" s="271">
        <f t="shared" si="354"/>
        <v>866</v>
      </c>
      <c r="GR26" s="271">
        <f t="shared" si="355"/>
        <v>513</v>
      </c>
      <c r="GS26" s="271">
        <f t="shared" si="356"/>
        <v>344</v>
      </c>
      <c r="GT26" s="271">
        <f t="shared" si="357"/>
        <v>439</v>
      </c>
      <c r="GU26" s="271">
        <f t="shared" si="358"/>
        <v>446</v>
      </c>
      <c r="GV26" s="271">
        <f t="shared" si="359"/>
        <v>793</v>
      </c>
      <c r="GW26" s="271">
        <f t="shared" si="360"/>
        <v>504</v>
      </c>
      <c r="GX26" s="271">
        <f t="shared" si="361"/>
        <v>450</v>
      </c>
      <c r="GY26" s="826">
        <f t="shared" si="362"/>
        <v>505</v>
      </c>
      <c r="GZ26" s="826">
        <f t="shared" si="363"/>
        <v>458</v>
      </c>
      <c r="HA26" s="826">
        <f t="shared" si="364"/>
        <v>397</v>
      </c>
      <c r="HB26" s="826">
        <f t="shared" si="365"/>
        <v>380</v>
      </c>
      <c r="HC26" s="826">
        <f t="shared" si="366"/>
        <v>830</v>
      </c>
      <c r="HD26" s="826">
        <f t="shared" si="367"/>
        <v>452</v>
      </c>
      <c r="HE26" s="826">
        <f t="shared" si="368"/>
        <v>388</v>
      </c>
      <c r="HF26" s="826">
        <f t="shared" si="369"/>
        <v>353</v>
      </c>
      <c r="HG26" s="826">
        <f t="shared" si="370"/>
        <v>402</v>
      </c>
      <c r="HH26" s="826">
        <f t="shared" si="371"/>
        <v>764</v>
      </c>
      <c r="HI26" s="826">
        <f t="shared" si="372"/>
        <v>489</v>
      </c>
      <c r="HJ26" s="826">
        <f t="shared" si="373"/>
        <v>450</v>
      </c>
      <c r="HK26" s="954">
        <f t="shared" si="374"/>
        <v>446</v>
      </c>
      <c r="HL26" s="954">
        <f t="shared" si="375"/>
        <v>480</v>
      </c>
      <c r="HM26" s="954">
        <f t="shared" si="375"/>
        <v>365</v>
      </c>
      <c r="HN26" s="954">
        <f t="shared" si="375"/>
        <v>376</v>
      </c>
      <c r="HO26" s="954">
        <f t="shared" si="375"/>
        <v>459</v>
      </c>
      <c r="HP26" s="954">
        <f t="shared" si="375"/>
        <v>401</v>
      </c>
      <c r="HQ26" s="954">
        <f t="shared" si="375"/>
        <v>266</v>
      </c>
      <c r="HR26" s="954">
        <f t="shared" si="375"/>
        <v>349</v>
      </c>
      <c r="HS26" s="954">
        <f t="shared" si="375"/>
        <v>320</v>
      </c>
      <c r="HT26" s="954">
        <f t="shared" si="375"/>
        <v>610</v>
      </c>
      <c r="HU26" s="954">
        <f t="shared" si="375"/>
        <v>437</v>
      </c>
      <c r="HV26" s="954">
        <f t="shared" si="375"/>
        <v>0</v>
      </c>
    </row>
    <row r="27" spans="1:230" x14ac:dyDescent="0.25">
      <c r="A27" s="802"/>
      <c r="B27" s="76"/>
      <c r="C27" s="76" t="s">
        <v>37</v>
      </c>
      <c r="D27" s="455"/>
      <c r="E27" s="1050" t="s">
        <v>42</v>
      </c>
      <c r="F27" s="1050"/>
      <c r="G27" s="1051"/>
      <c r="H27" s="384">
        <v>59</v>
      </c>
      <c r="I27" s="78">
        <v>68</v>
      </c>
      <c r="J27" s="31">
        <v>64</v>
      </c>
      <c r="K27" s="78">
        <v>73</v>
      </c>
      <c r="L27" s="31">
        <v>60</v>
      </c>
      <c r="M27" s="78">
        <v>40</v>
      </c>
      <c r="N27" s="31">
        <v>49</v>
      </c>
      <c r="O27" s="78">
        <v>89</v>
      </c>
      <c r="P27" s="31">
        <v>78</v>
      </c>
      <c r="Q27" s="78">
        <v>59</v>
      </c>
      <c r="R27" s="31">
        <v>39</v>
      </c>
      <c r="S27" s="78">
        <v>47</v>
      </c>
      <c r="T27" s="145">
        <v>725</v>
      </c>
      <c r="U27" s="164">
        <v>60.416666666666664</v>
      </c>
      <c r="V27" s="384">
        <v>60</v>
      </c>
      <c r="W27" s="78">
        <v>75</v>
      </c>
      <c r="X27" s="31">
        <v>42</v>
      </c>
      <c r="Y27" s="78">
        <v>52</v>
      </c>
      <c r="Z27" s="31">
        <v>34</v>
      </c>
      <c r="AA27" s="78">
        <v>9</v>
      </c>
      <c r="AB27" s="31">
        <v>17</v>
      </c>
      <c r="AC27" s="78">
        <v>14</v>
      </c>
      <c r="AD27" s="31">
        <v>9</v>
      </c>
      <c r="AE27" s="78">
        <v>20</v>
      </c>
      <c r="AF27" s="31">
        <v>47</v>
      </c>
      <c r="AG27" s="78">
        <v>54</v>
      </c>
      <c r="AH27" s="145">
        <v>433</v>
      </c>
      <c r="AI27" s="164">
        <v>36.083333333333336</v>
      </c>
      <c r="AJ27" s="384">
        <v>39</v>
      </c>
      <c r="AK27" s="78">
        <v>42</v>
      </c>
      <c r="AL27" s="31">
        <v>26</v>
      </c>
      <c r="AM27" s="78">
        <v>2</v>
      </c>
      <c r="AN27" s="31">
        <v>4</v>
      </c>
      <c r="AO27" s="78">
        <v>3</v>
      </c>
      <c r="AP27" s="635">
        <v>8</v>
      </c>
      <c r="AQ27" s="78">
        <v>9</v>
      </c>
      <c r="AR27" s="635">
        <v>5</v>
      </c>
      <c r="AS27" s="78">
        <v>2</v>
      </c>
      <c r="AT27" s="635">
        <v>2</v>
      </c>
      <c r="AU27" s="78">
        <v>6</v>
      </c>
      <c r="AV27" s="145">
        <f t="shared" si="240"/>
        <v>148</v>
      </c>
      <c r="AW27" s="164">
        <f t="shared" si="241"/>
        <v>12.333333333333334</v>
      </c>
      <c r="AX27" s="384">
        <v>8</v>
      </c>
      <c r="AY27" s="78">
        <v>7</v>
      </c>
      <c r="AZ27" s="31">
        <v>5</v>
      </c>
      <c r="BA27" s="78">
        <v>13</v>
      </c>
      <c r="BB27" s="31">
        <v>19</v>
      </c>
      <c r="BC27" s="78">
        <v>82</v>
      </c>
      <c r="BD27" s="635">
        <v>95</v>
      </c>
      <c r="BE27" s="78">
        <v>18</v>
      </c>
      <c r="BF27" s="635">
        <v>6</v>
      </c>
      <c r="BG27" s="78">
        <v>16</v>
      </c>
      <c r="BH27" s="635">
        <v>3</v>
      </c>
      <c r="BI27" s="78">
        <v>3</v>
      </c>
      <c r="BJ27" s="145">
        <f t="shared" si="244"/>
        <v>275</v>
      </c>
      <c r="BK27" s="164">
        <f t="shared" si="245"/>
        <v>22.916666666666668</v>
      </c>
      <c r="BL27" s="384">
        <v>6</v>
      </c>
      <c r="BM27" s="78">
        <v>2</v>
      </c>
      <c r="BN27" s="31">
        <v>3</v>
      </c>
      <c r="BO27" s="78">
        <v>15</v>
      </c>
      <c r="BP27" s="31">
        <v>6</v>
      </c>
      <c r="BQ27" s="78">
        <v>10</v>
      </c>
      <c r="BR27" s="635">
        <v>27</v>
      </c>
      <c r="BS27" s="78">
        <v>16</v>
      </c>
      <c r="BT27" s="635">
        <v>12</v>
      </c>
      <c r="BU27" s="635">
        <v>31</v>
      </c>
      <c r="BV27" s="635">
        <v>28</v>
      </c>
      <c r="BW27" s="635">
        <v>33</v>
      </c>
      <c r="BX27" s="145">
        <f t="shared" si="252"/>
        <v>189</v>
      </c>
      <c r="BY27" s="164">
        <f t="shared" si="253"/>
        <v>15.75</v>
      </c>
      <c r="BZ27" s="635">
        <v>20</v>
      </c>
      <c r="CA27" s="78">
        <v>33</v>
      </c>
      <c r="CB27" s="31">
        <v>6</v>
      </c>
      <c r="CC27" s="78">
        <v>35</v>
      </c>
      <c r="CD27" s="31">
        <v>17</v>
      </c>
      <c r="CE27" s="78">
        <v>37</v>
      </c>
      <c r="CF27" s="635">
        <v>39</v>
      </c>
      <c r="CG27" s="78">
        <v>27</v>
      </c>
      <c r="CH27" s="635">
        <v>37</v>
      </c>
      <c r="CI27" s="635">
        <v>29</v>
      </c>
      <c r="CJ27" s="635">
        <v>28</v>
      </c>
      <c r="CK27" s="635"/>
      <c r="CL27" s="145">
        <f t="shared" si="260"/>
        <v>308</v>
      </c>
      <c r="CM27" s="164">
        <f t="shared" si="261"/>
        <v>28</v>
      </c>
      <c r="CN27" s="677">
        <f t="shared" si="262"/>
        <v>2</v>
      </c>
      <c r="CO27" s="678">
        <f t="shared" si="263"/>
        <v>0.33333333333333331</v>
      </c>
      <c r="CP27" s="677">
        <f t="shared" si="264"/>
        <v>-1</v>
      </c>
      <c r="CQ27" s="678">
        <f t="shared" si="265"/>
        <v>-0.125</v>
      </c>
      <c r="CR27" s="677">
        <f t="shared" si="266"/>
        <v>-2</v>
      </c>
      <c r="CS27" s="678">
        <f t="shared" si="267"/>
        <v>-0.2857142857142857</v>
      </c>
      <c r="CT27" s="677">
        <f t="shared" si="268"/>
        <v>8</v>
      </c>
      <c r="CU27" s="678">
        <f t="shared" si="269"/>
        <v>1.6</v>
      </c>
      <c r="CV27" s="677">
        <f t="shared" si="270"/>
        <v>6</v>
      </c>
      <c r="CW27" s="678">
        <f t="shared" si="271"/>
        <v>0.46153846153846156</v>
      </c>
      <c r="CX27" s="677">
        <f t="shared" si="272"/>
        <v>63</v>
      </c>
      <c r="CY27" s="678">
        <f t="shared" si="273"/>
        <v>3.3157894736842106</v>
      </c>
      <c r="CZ27" s="677">
        <f t="shared" si="274"/>
        <v>13</v>
      </c>
      <c r="DA27" s="678">
        <f t="shared" si="275"/>
        <v>0.15853658536585366</v>
      </c>
      <c r="DB27" s="677">
        <f t="shared" si="276"/>
        <v>-77</v>
      </c>
      <c r="DC27" s="678">
        <f t="shared" si="277"/>
        <v>-0.81052631578947365</v>
      </c>
      <c r="DD27" s="677">
        <f t="shared" si="278"/>
        <v>-12</v>
      </c>
      <c r="DE27" s="678">
        <f t="shared" si="279"/>
        <v>-0.66666666666666663</v>
      </c>
      <c r="DF27" s="677">
        <f t="shared" si="280"/>
        <v>10</v>
      </c>
      <c r="DG27" s="117">
        <f t="shared" si="281"/>
        <v>1.6666666666666667</v>
      </c>
      <c r="DH27" s="677">
        <f t="shared" si="282"/>
        <v>-13</v>
      </c>
      <c r="DI27" s="678">
        <f t="shared" si="283"/>
        <v>-0.8125</v>
      </c>
      <c r="DJ27" s="677">
        <f t="shared" si="284"/>
        <v>0</v>
      </c>
      <c r="DK27" s="678">
        <f t="shared" si="285"/>
        <v>0</v>
      </c>
      <c r="DL27" s="677">
        <f t="shared" si="286"/>
        <v>3</v>
      </c>
      <c r="DM27" s="678">
        <f t="shared" si="287"/>
        <v>1</v>
      </c>
      <c r="DN27" s="328">
        <f t="shared" si="288"/>
        <v>-4</v>
      </c>
      <c r="DO27" s="412">
        <f t="shared" si="289"/>
        <v>-0.66666666666666663</v>
      </c>
      <c r="DP27" s="328">
        <f t="shared" si="290"/>
        <v>1</v>
      </c>
      <c r="DQ27" s="412">
        <f t="shared" si="291"/>
        <v>0.5</v>
      </c>
      <c r="DR27" s="328">
        <f t="shared" si="292"/>
        <v>12</v>
      </c>
      <c r="DS27" s="412">
        <f t="shared" si="293"/>
        <v>4</v>
      </c>
      <c r="DT27" s="328">
        <f t="shared" si="294"/>
        <v>-9</v>
      </c>
      <c r="DU27" s="412">
        <f t="shared" si="295"/>
        <v>-0.6</v>
      </c>
      <c r="DV27" s="328">
        <f t="shared" si="296"/>
        <v>4</v>
      </c>
      <c r="DW27" s="412">
        <f t="shared" si="297"/>
        <v>0.66666666666666663</v>
      </c>
      <c r="DX27" s="328">
        <f t="shared" si="298"/>
        <v>17</v>
      </c>
      <c r="DY27" s="412">
        <f t="shared" si="299"/>
        <v>1.7</v>
      </c>
      <c r="DZ27" s="328">
        <f t="shared" si="300"/>
        <v>-11</v>
      </c>
      <c r="EA27" s="412">
        <f t="shared" si="301"/>
        <v>-0.40740740740740738</v>
      </c>
      <c r="EB27" s="328">
        <f t="shared" si="302"/>
        <v>-4</v>
      </c>
      <c r="EC27" s="412">
        <f t="shared" si="303"/>
        <v>-0.25</v>
      </c>
      <c r="ED27" s="328">
        <f t="shared" si="304"/>
        <v>19</v>
      </c>
      <c r="EE27" s="412">
        <f t="shared" si="305"/>
        <v>1.5833333333333333</v>
      </c>
      <c r="EF27" s="328">
        <f t="shared" si="306"/>
        <v>-3</v>
      </c>
      <c r="EG27" s="412">
        <f t="shared" si="307"/>
        <v>-9.6774193548387094E-2</v>
      </c>
      <c r="EH27" s="328">
        <f t="shared" si="308"/>
        <v>5</v>
      </c>
      <c r="EI27" s="412">
        <f t="shared" si="309"/>
        <v>0.17857142857142858</v>
      </c>
      <c r="EJ27" s="328">
        <f t="shared" si="310"/>
        <v>-13</v>
      </c>
      <c r="EK27" s="412">
        <f t="shared" si="311"/>
        <v>-0.39393939393939392</v>
      </c>
      <c r="EL27" s="328">
        <f t="shared" si="312"/>
        <v>13</v>
      </c>
      <c r="EM27" s="412">
        <f t="shared" si="313"/>
        <v>0.65</v>
      </c>
      <c r="EN27" s="328">
        <f t="shared" si="314"/>
        <v>-27</v>
      </c>
      <c r="EO27" s="412">
        <f t="shared" si="315"/>
        <v>-0.81818181818181823</v>
      </c>
      <c r="EP27" s="328">
        <f t="shared" si="316"/>
        <v>29</v>
      </c>
      <c r="EQ27" s="412">
        <f t="shared" si="317"/>
        <v>4.833333333333333</v>
      </c>
      <c r="ER27" s="328">
        <f t="shared" si="318"/>
        <v>-18</v>
      </c>
      <c r="ES27" s="412">
        <f t="shared" si="319"/>
        <v>-0.51428571428571423</v>
      </c>
      <c r="ET27" s="328">
        <f t="shared" si="320"/>
        <v>20</v>
      </c>
      <c r="EU27" s="412">
        <f t="shared" si="321"/>
        <v>1.1764705882352942</v>
      </c>
      <c r="EV27" s="328">
        <f t="shared" si="322"/>
        <v>2</v>
      </c>
      <c r="EW27" s="412">
        <f t="shared" si="323"/>
        <v>5.4054054054054057E-2</v>
      </c>
      <c r="EX27" s="328">
        <f t="shared" si="324"/>
        <v>-12</v>
      </c>
      <c r="EY27" s="412">
        <f t="shared" si="325"/>
        <v>-0.30769230769230771</v>
      </c>
      <c r="EZ27" s="328">
        <f t="shared" si="326"/>
        <v>10</v>
      </c>
      <c r="FA27" s="412">
        <f t="shared" si="327"/>
        <v>0.37037037037037035</v>
      </c>
      <c r="FB27" s="328">
        <f t="shared" si="328"/>
        <v>-8</v>
      </c>
      <c r="FC27" s="412">
        <f t="shared" si="329"/>
        <v>-0.21621621621621623</v>
      </c>
      <c r="FD27" s="328">
        <f t="shared" si="330"/>
        <v>-1</v>
      </c>
      <c r="FE27" s="412">
        <f t="shared" si="331"/>
        <v>-3.4482758620689655E-2</v>
      </c>
      <c r="FF27" s="328">
        <f t="shared" si="332"/>
        <v>-28</v>
      </c>
      <c r="FG27" s="412">
        <f t="shared" si="333"/>
        <v>-1</v>
      </c>
      <c r="FH27" s="214">
        <f t="shared" si="334"/>
        <v>28</v>
      </c>
      <c r="FI27" s="727">
        <f t="shared" si="335"/>
        <v>28</v>
      </c>
      <c r="FJ27" s="677">
        <f t="shared" si="336"/>
        <v>0</v>
      </c>
      <c r="FK27" s="117">
        <f t="shared" si="337"/>
        <v>0</v>
      </c>
      <c r="FL27" s="707"/>
      <c r="FM27" s="707"/>
      <c r="FN27" s="707"/>
      <c r="FO27" t="str">
        <f t="shared" si="376"/>
        <v>Reported Source - Other</v>
      </c>
      <c r="FP27" s="278" t="e">
        <f>#REF!</f>
        <v>#REF!</v>
      </c>
      <c r="FQ27" s="278" t="e">
        <f>#REF!</f>
        <v>#REF!</v>
      </c>
      <c r="FR27" s="278" t="e">
        <f>#REF!</f>
        <v>#REF!</v>
      </c>
      <c r="FS27" s="278" t="e">
        <f>#REF!</f>
        <v>#REF!</v>
      </c>
      <c r="FT27" s="278" t="e">
        <f>#REF!</f>
        <v>#REF!</v>
      </c>
      <c r="FU27" s="278" t="e">
        <f>#REF!</f>
        <v>#REF!</v>
      </c>
      <c r="FV27" s="278" t="e">
        <f>#REF!</f>
        <v>#REF!</v>
      </c>
      <c r="FW27" s="278" t="e">
        <f>#REF!</f>
        <v>#REF!</v>
      </c>
      <c r="FX27" s="278" t="e">
        <f>#REF!</f>
        <v>#REF!</v>
      </c>
      <c r="FY27" s="278" t="e">
        <f>#REF!</f>
        <v>#REF!</v>
      </c>
      <c r="FZ27" s="278" t="e">
        <f>#REF!</f>
        <v>#REF!</v>
      </c>
      <c r="GA27" s="279">
        <f t="shared" si="338"/>
        <v>39</v>
      </c>
      <c r="GB27" s="279">
        <f t="shared" si="339"/>
        <v>42</v>
      </c>
      <c r="GC27" s="279">
        <f t="shared" si="340"/>
        <v>26</v>
      </c>
      <c r="GD27" s="279">
        <f t="shared" si="341"/>
        <v>2</v>
      </c>
      <c r="GE27" s="279">
        <f t="shared" si="342"/>
        <v>4</v>
      </c>
      <c r="GF27" s="279">
        <f t="shared" si="343"/>
        <v>3</v>
      </c>
      <c r="GG27" s="279">
        <f t="shared" si="344"/>
        <v>8</v>
      </c>
      <c r="GH27" s="279">
        <f t="shared" si="345"/>
        <v>9</v>
      </c>
      <c r="GI27" s="279">
        <f t="shared" si="346"/>
        <v>5</v>
      </c>
      <c r="GJ27" s="279">
        <f t="shared" si="347"/>
        <v>2</v>
      </c>
      <c r="GK27" s="279">
        <f t="shared" si="348"/>
        <v>2</v>
      </c>
      <c r="GL27" s="279">
        <f t="shared" si="349"/>
        <v>6</v>
      </c>
      <c r="GM27" s="279">
        <f t="shared" si="350"/>
        <v>8</v>
      </c>
      <c r="GN27" s="279">
        <f t="shared" si="351"/>
        <v>7</v>
      </c>
      <c r="GO27" s="279">
        <f t="shared" si="352"/>
        <v>5</v>
      </c>
      <c r="GP27" s="279">
        <f t="shared" si="353"/>
        <v>13</v>
      </c>
      <c r="GQ27" s="279">
        <f t="shared" si="354"/>
        <v>19</v>
      </c>
      <c r="GR27" s="279">
        <f t="shared" si="355"/>
        <v>82</v>
      </c>
      <c r="GS27" s="279">
        <f t="shared" si="356"/>
        <v>95</v>
      </c>
      <c r="GT27" s="279">
        <f t="shared" si="357"/>
        <v>18</v>
      </c>
      <c r="GU27" s="279">
        <f t="shared" si="358"/>
        <v>6</v>
      </c>
      <c r="GV27" s="279">
        <f t="shared" si="359"/>
        <v>16</v>
      </c>
      <c r="GW27" s="279">
        <f t="shared" si="360"/>
        <v>3</v>
      </c>
      <c r="GX27" s="279">
        <f t="shared" si="361"/>
        <v>3</v>
      </c>
      <c r="GY27" s="830">
        <f t="shared" si="362"/>
        <v>6</v>
      </c>
      <c r="GZ27" s="830">
        <f t="shared" si="363"/>
        <v>2</v>
      </c>
      <c r="HA27" s="830">
        <f t="shared" si="364"/>
        <v>3</v>
      </c>
      <c r="HB27" s="830">
        <f t="shared" si="365"/>
        <v>15</v>
      </c>
      <c r="HC27" s="830">
        <f t="shared" si="366"/>
        <v>6</v>
      </c>
      <c r="HD27" s="830">
        <f t="shared" si="367"/>
        <v>10</v>
      </c>
      <c r="HE27" s="830">
        <f t="shared" si="368"/>
        <v>27</v>
      </c>
      <c r="HF27" s="830">
        <f t="shared" si="369"/>
        <v>16</v>
      </c>
      <c r="HG27" s="830">
        <f t="shared" si="370"/>
        <v>12</v>
      </c>
      <c r="HH27" s="830">
        <f t="shared" si="371"/>
        <v>31</v>
      </c>
      <c r="HI27" s="830">
        <f t="shared" si="372"/>
        <v>28</v>
      </c>
      <c r="HJ27" s="830">
        <f t="shared" si="373"/>
        <v>33</v>
      </c>
      <c r="HK27" s="958">
        <f t="shared" si="374"/>
        <v>20</v>
      </c>
      <c r="HL27" s="958">
        <f t="shared" si="375"/>
        <v>33</v>
      </c>
      <c r="HM27" s="958">
        <f t="shared" si="375"/>
        <v>6</v>
      </c>
      <c r="HN27" s="958">
        <f t="shared" si="375"/>
        <v>35</v>
      </c>
      <c r="HO27" s="958">
        <f t="shared" si="375"/>
        <v>17</v>
      </c>
      <c r="HP27" s="958">
        <f t="shared" si="375"/>
        <v>37</v>
      </c>
      <c r="HQ27" s="958">
        <f t="shared" si="375"/>
        <v>39</v>
      </c>
      <c r="HR27" s="958">
        <f t="shared" si="375"/>
        <v>27</v>
      </c>
      <c r="HS27" s="958">
        <f t="shared" si="375"/>
        <v>37</v>
      </c>
      <c r="HT27" s="958">
        <f t="shared" si="375"/>
        <v>29</v>
      </c>
      <c r="HU27" s="958">
        <f t="shared" si="375"/>
        <v>28</v>
      </c>
      <c r="HV27" s="958">
        <f t="shared" si="375"/>
        <v>0</v>
      </c>
    </row>
    <row r="28" spans="1:230" x14ac:dyDescent="0.25">
      <c r="A28" s="802"/>
      <c r="B28" s="56">
        <v>3.2</v>
      </c>
      <c r="C28" s="7"/>
      <c r="D28" s="119"/>
      <c r="E28" s="1054" t="s">
        <v>43</v>
      </c>
      <c r="F28" s="1054"/>
      <c r="G28" s="1055"/>
      <c r="H28" s="376">
        <v>7427</v>
      </c>
      <c r="I28" s="70">
        <v>7288</v>
      </c>
      <c r="J28" s="23">
        <v>7260</v>
      </c>
      <c r="K28" s="70">
        <v>11069</v>
      </c>
      <c r="L28" s="23">
        <v>7716</v>
      </c>
      <c r="M28" s="70">
        <v>6635</v>
      </c>
      <c r="N28" s="23">
        <v>7199</v>
      </c>
      <c r="O28" s="70">
        <v>7628</v>
      </c>
      <c r="P28" s="23">
        <v>7230</v>
      </c>
      <c r="Q28" s="70">
        <v>6108</v>
      </c>
      <c r="R28" s="23">
        <v>7579</v>
      </c>
      <c r="S28" s="70">
        <v>8818</v>
      </c>
      <c r="T28" s="130">
        <v>91957</v>
      </c>
      <c r="U28" s="163">
        <v>7663.083333333333</v>
      </c>
      <c r="V28" s="376">
        <v>6846</v>
      </c>
      <c r="W28" s="70">
        <v>6829</v>
      </c>
      <c r="X28" s="23">
        <v>5885</v>
      </c>
      <c r="Y28" s="70">
        <v>7242</v>
      </c>
      <c r="Z28" s="23">
        <v>6077</v>
      </c>
      <c r="AA28" s="70">
        <v>5863</v>
      </c>
      <c r="AB28" s="23">
        <v>6772</v>
      </c>
      <c r="AC28" s="70">
        <v>6977</v>
      </c>
      <c r="AD28" s="23">
        <v>6920</v>
      </c>
      <c r="AE28" s="70">
        <v>6325</v>
      </c>
      <c r="AF28" s="23">
        <v>5223</v>
      </c>
      <c r="AG28" s="70">
        <v>6025</v>
      </c>
      <c r="AH28" s="130">
        <v>76984</v>
      </c>
      <c r="AI28" s="163">
        <v>6415.333333333333</v>
      </c>
      <c r="AJ28" s="376">
        <v>6665</v>
      </c>
      <c r="AK28" s="70">
        <v>7045</v>
      </c>
      <c r="AL28" s="23">
        <v>5368</v>
      </c>
      <c r="AM28" s="70">
        <v>8782</v>
      </c>
      <c r="AN28" s="23">
        <v>6403</v>
      </c>
      <c r="AO28" s="70">
        <v>5780</v>
      </c>
      <c r="AP28" s="634">
        <v>7404</v>
      </c>
      <c r="AQ28" s="70">
        <v>7046</v>
      </c>
      <c r="AR28" s="634">
        <v>6225</v>
      </c>
      <c r="AS28" s="70">
        <v>6705</v>
      </c>
      <c r="AT28" s="634">
        <v>8219</v>
      </c>
      <c r="AU28" s="70">
        <v>6580</v>
      </c>
      <c r="AV28" s="130">
        <f t="shared" si="240"/>
        <v>82222</v>
      </c>
      <c r="AW28" s="163">
        <f t="shared" si="241"/>
        <v>6851.833333333333</v>
      </c>
      <c r="AX28" s="376">
        <v>7272</v>
      </c>
      <c r="AY28" s="70">
        <v>7055</v>
      </c>
      <c r="AZ28" s="23">
        <v>7510</v>
      </c>
      <c r="BA28" s="70">
        <v>13671</v>
      </c>
      <c r="BB28" s="23">
        <v>9009</v>
      </c>
      <c r="BC28" s="70">
        <v>7670</v>
      </c>
      <c r="BD28" s="634">
        <v>8415</v>
      </c>
      <c r="BE28" s="70">
        <v>6900</v>
      </c>
      <c r="BF28" s="634">
        <v>6739</v>
      </c>
      <c r="BG28" s="70">
        <v>6854</v>
      </c>
      <c r="BH28" s="634">
        <v>6674</v>
      </c>
      <c r="BI28" s="70">
        <v>7122</v>
      </c>
      <c r="BJ28" s="130">
        <f t="shared" si="244"/>
        <v>94891</v>
      </c>
      <c r="BK28" s="163">
        <f t="shared" si="245"/>
        <v>7907.583333333333</v>
      </c>
      <c r="BL28" s="376">
        <v>7455</v>
      </c>
      <c r="BM28" s="70">
        <v>6985</v>
      </c>
      <c r="BN28" s="23">
        <v>7516</v>
      </c>
      <c r="BO28" s="70">
        <v>13016</v>
      </c>
      <c r="BP28" s="23">
        <v>7642</v>
      </c>
      <c r="BQ28" s="70">
        <v>7649</v>
      </c>
      <c r="BR28" s="634">
        <v>8808</v>
      </c>
      <c r="BS28" s="70">
        <v>7277</v>
      </c>
      <c r="BT28" s="634">
        <v>8213</v>
      </c>
      <c r="BU28" s="634">
        <v>8465</v>
      </c>
      <c r="BV28" s="634">
        <v>6775</v>
      </c>
      <c r="BW28" s="634">
        <v>7303</v>
      </c>
      <c r="BX28" s="130">
        <f t="shared" si="252"/>
        <v>97104</v>
      </c>
      <c r="BY28" s="163">
        <f t="shared" si="253"/>
        <v>8092</v>
      </c>
      <c r="BZ28" s="634">
        <v>7717</v>
      </c>
      <c r="CA28" s="70">
        <v>6918</v>
      </c>
      <c r="CB28" s="23">
        <v>6785</v>
      </c>
      <c r="CC28" s="70">
        <v>7262</v>
      </c>
      <c r="CD28" s="23">
        <v>6709</v>
      </c>
      <c r="CE28" s="70">
        <v>7615</v>
      </c>
      <c r="CF28" s="634">
        <v>6893</v>
      </c>
      <c r="CG28" s="70">
        <v>7391</v>
      </c>
      <c r="CH28" s="634">
        <v>7458</v>
      </c>
      <c r="CI28" s="634">
        <v>6601</v>
      </c>
      <c r="CJ28" s="634">
        <v>6025</v>
      </c>
      <c r="CK28" s="634"/>
      <c r="CL28" s="130">
        <f t="shared" si="260"/>
        <v>77374</v>
      </c>
      <c r="CM28" s="163">
        <f t="shared" si="261"/>
        <v>7034</v>
      </c>
      <c r="CN28" s="671">
        <f t="shared" si="262"/>
        <v>692</v>
      </c>
      <c r="CO28" s="672">
        <f t="shared" si="263"/>
        <v>0.10516717325227963</v>
      </c>
      <c r="CP28" s="671">
        <f t="shared" si="264"/>
        <v>-217</v>
      </c>
      <c r="CQ28" s="672">
        <f t="shared" si="265"/>
        <v>-2.984048404840484E-2</v>
      </c>
      <c r="CR28" s="671">
        <f t="shared" si="266"/>
        <v>455</v>
      </c>
      <c r="CS28" s="672">
        <f t="shared" si="267"/>
        <v>6.449326718639263E-2</v>
      </c>
      <c r="CT28" s="671">
        <f t="shared" si="268"/>
        <v>6161</v>
      </c>
      <c r="CU28" s="672">
        <f t="shared" si="269"/>
        <v>0.82037283621837553</v>
      </c>
      <c r="CV28" s="671">
        <f t="shared" si="270"/>
        <v>-4662</v>
      </c>
      <c r="CW28" s="672">
        <f t="shared" si="271"/>
        <v>-0.34101382488479265</v>
      </c>
      <c r="CX28" s="671">
        <f t="shared" si="272"/>
        <v>-1339</v>
      </c>
      <c r="CY28" s="672">
        <f t="shared" si="273"/>
        <v>-0.14862914862914864</v>
      </c>
      <c r="CZ28" s="671">
        <f t="shared" si="274"/>
        <v>745</v>
      </c>
      <c r="DA28" s="672">
        <f t="shared" si="275"/>
        <v>9.7131681877444587E-2</v>
      </c>
      <c r="DB28" s="671">
        <f t="shared" si="276"/>
        <v>-1515</v>
      </c>
      <c r="DC28" s="672">
        <f t="shared" si="277"/>
        <v>-0.18003565062388591</v>
      </c>
      <c r="DD28" s="671">
        <f t="shared" si="278"/>
        <v>-161</v>
      </c>
      <c r="DE28" s="672">
        <f t="shared" si="279"/>
        <v>-2.3333333333333334E-2</v>
      </c>
      <c r="DF28" s="671">
        <f t="shared" si="280"/>
        <v>115</v>
      </c>
      <c r="DG28" s="109">
        <f t="shared" si="281"/>
        <v>1.7064846416382253E-2</v>
      </c>
      <c r="DH28" s="671">
        <f t="shared" si="282"/>
        <v>-180</v>
      </c>
      <c r="DI28" s="672">
        <f t="shared" si="283"/>
        <v>-2.6262036766851474E-2</v>
      </c>
      <c r="DJ28" s="671">
        <f t="shared" si="284"/>
        <v>448</v>
      </c>
      <c r="DK28" s="672">
        <f t="shared" si="285"/>
        <v>6.7126161222655079E-2</v>
      </c>
      <c r="DL28" s="671">
        <f t="shared" si="286"/>
        <v>333</v>
      </c>
      <c r="DM28" s="672">
        <f t="shared" si="287"/>
        <v>4.675652906486942E-2</v>
      </c>
      <c r="DN28" s="323">
        <f t="shared" si="288"/>
        <v>-470</v>
      </c>
      <c r="DO28" s="410">
        <f t="shared" si="289"/>
        <v>-6.304493628437291E-2</v>
      </c>
      <c r="DP28" s="323">
        <f t="shared" si="290"/>
        <v>531</v>
      </c>
      <c r="DQ28" s="410">
        <f t="shared" si="291"/>
        <v>7.6020042949176803E-2</v>
      </c>
      <c r="DR28" s="323">
        <f t="shared" si="292"/>
        <v>5500</v>
      </c>
      <c r="DS28" s="410">
        <f t="shared" si="293"/>
        <v>0.73177221926556679</v>
      </c>
      <c r="DT28" s="323">
        <f t="shared" si="294"/>
        <v>-5374</v>
      </c>
      <c r="DU28" s="410">
        <f t="shared" si="295"/>
        <v>-0.41287645974185616</v>
      </c>
      <c r="DV28" s="323">
        <f t="shared" si="296"/>
        <v>7</v>
      </c>
      <c r="DW28" s="410">
        <f t="shared" si="297"/>
        <v>9.1599057838262238E-4</v>
      </c>
      <c r="DX28" s="323">
        <f t="shared" si="298"/>
        <v>1159</v>
      </c>
      <c r="DY28" s="410">
        <f t="shared" si="299"/>
        <v>0.15152307491175318</v>
      </c>
      <c r="DZ28" s="323">
        <f t="shared" si="300"/>
        <v>-1531</v>
      </c>
      <c r="EA28" s="410">
        <f t="shared" si="301"/>
        <v>-0.17381925522252498</v>
      </c>
      <c r="EB28" s="323">
        <f t="shared" si="302"/>
        <v>936</v>
      </c>
      <c r="EC28" s="410">
        <f t="shared" si="303"/>
        <v>0.12862443314552699</v>
      </c>
      <c r="ED28" s="323">
        <f t="shared" si="304"/>
        <v>252</v>
      </c>
      <c r="EE28" s="410">
        <f t="shared" si="305"/>
        <v>3.068306343601607E-2</v>
      </c>
      <c r="EF28" s="323">
        <f t="shared" si="306"/>
        <v>-1690</v>
      </c>
      <c r="EG28" s="410">
        <f t="shared" si="307"/>
        <v>-0.19964559952746605</v>
      </c>
      <c r="EH28" s="323">
        <f t="shared" si="308"/>
        <v>528</v>
      </c>
      <c r="EI28" s="410">
        <f t="shared" si="309"/>
        <v>7.7933579335793354E-2</v>
      </c>
      <c r="EJ28" s="323">
        <f t="shared" si="310"/>
        <v>414</v>
      </c>
      <c r="EK28" s="410">
        <f t="shared" si="311"/>
        <v>5.66890319046967E-2</v>
      </c>
      <c r="EL28" s="323">
        <f t="shared" si="312"/>
        <v>-799</v>
      </c>
      <c r="EM28" s="410">
        <f t="shared" si="313"/>
        <v>-0.10353764416223921</v>
      </c>
      <c r="EN28" s="323">
        <f t="shared" si="314"/>
        <v>-133</v>
      </c>
      <c r="EO28" s="410">
        <f t="shared" si="315"/>
        <v>-1.9225209598149755E-2</v>
      </c>
      <c r="EP28" s="323">
        <f t="shared" si="316"/>
        <v>477</v>
      </c>
      <c r="EQ28" s="410">
        <f t="shared" si="317"/>
        <v>7.0302137067059692E-2</v>
      </c>
      <c r="ER28" s="323">
        <f t="shared" si="318"/>
        <v>-553</v>
      </c>
      <c r="ES28" s="410">
        <f t="shared" si="319"/>
        <v>-7.6149820985954284E-2</v>
      </c>
      <c r="ET28" s="323">
        <f t="shared" si="320"/>
        <v>906</v>
      </c>
      <c r="EU28" s="410">
        <f t="shared" si="321"/>
        <v>0.13504248025040991</v>
      </c>
      <c r="EV28" s="323">
        <f t="shared" si="322"/>
        <v>-722</v>
      </c>
      <c r="EW28" s="410">
        <f t="shared" si="323"/>
        <v>-9.4812869336835193E-2</v>
      </c>
      <c r="EX28" s="323">
        <f t="shared" si="324"/>
        <v>498</v>
      </c>
      <c r="EY28" s="410">
        <f t="shared" si="325"/>
        <v>7.2247207311765566E-2</v>
      </c>
      <c r="EZ28" s="323">
        <f t="shared" si="326"/>
        <v>67</v>
      </c>
      <c r="FA28" s="410">
        <f t="shared" si="327"/>
        <v>9.0650791503179545E-3</v>
      </c>
      <c r="FB28" s="323">
        <f t="shared" si="328"/>
        <v>-857</v>
      </c>
      <c r="FC28" s="410">
        <f t="shared" si="329"/>
        <v>-0.11491016358272996</v>
      </c>
      <c r="FD28" s="323">
        <f t="shared" si="330"/>
        <v>-576</v>
      </c>
      <c r="FE28" s="410">
        <f t="shared" si="331"/>
        <v>-8.7259506135434026E-2</v>
      </c>
      <c r="FF28" s="323">
        <f t="shared" si="332"/>
        <v>-6025</v>
      </c>
      <c r="FG28" s="410">
        <f t="shared" si="333"/>
        <v>-1</v>
      </c>
      <c r="FH28" s="209">
        <f t="shared" si="334"/>
        <v>6775</v>
      </c>
      <c r="FI28" s="720">
        <f t="shared" si="335"/>
        <v>6025</v>
      </c>
      <c r="FJ28" s="671">
        <f t="shared" si="336"/>
        <v>-750</v>
      </c>
      <c r="FK28" s="109">
        <f t="shared" si="337"/>
        <v>-0.11070110701107011</v>
      </c>
      <c r="FL28" s="707"/>
      <c r="FM28" s="707"/>
      <c r="FN28" s="707"/>
      <c r="FO28" t="str">
        <f t="shared" si="376"/>
        <v>Resolved Tickets</v>
      </c>
      <c r="FP28" s="270" t="e">
        <f>#REF!</f>
        <v>#REF!</v>
      </c>
      <c r="FQ28" s="270" t="e">
        <f>#REF!</f>
        <v>#REF!</v>
      </c>
      <c r="FR28" s="270" t="e">
        <f>#REF!</f>
        <v>#REF!</v>
      </c>
      <c r="FS28" s="270" t="e">
        <f>#REF!</f>
        <v>#REF!</v>
      </c>
      <c r="FT28" s="270" t="e">
        <f>#REF!</f>
        <v>#REF!</v>
      </c>
      <c r="FU28" s="270" t="e">
        <f>#REF!</f>
        <v>#REF!</v>
      </c>
      <c r="FV28" s="270" t="e">
        <f>#REF!</f>
        <v>#REF!</v>
      </c>
      <c r="FW28" s="270" t="e">
        <f>#REF!</f>
        <v>#REF!</v>
      </c>
      <c r="FX28" s="270" t="e">
        <f>#REF!</f>
        <v>#REF!</v>
      </c>
      <c r="FY28" s="270" t="e">
        <f>#REF!</f>
        <v>#REF!</v>
      </c>
      <c r="FZ28" s="270" t="e">
        <f>#REF!</f>
        <v>#REF!</v>
      </c>
      <c r="GA28" s="271">
        <f t="shared" si="338"/>
        <v>6665</v>
      </c>
      <c r="GB28" s="271">
        <f t="shared" si="339"/>
        <v>7045</v>
      </c>
      <c r="GC28" s="271">
        <f t="shared" si="340"/>
        <v>5368</v>
      </c>
      <c r="GD28" s="271">
        <f t="shared" si="341"/>
        <v>8782</v>
      </c>
      <c r="GE28" s="271">
        <f t="shared" si="342"/>
        <v>6403</v>
      </c>
      <c r="GF28" s="271">
        <f t="shared" si="343"/>
        <v>5780</v>
      </c>
      <c r="GG28" s="271">
        <f t="shared" si="344"/>
        <v>7404</v>
      </c>
      <c r="GH28" s="271">
        <f t="shared" si="345"/>
        <v>7046</v>
      </c>
      <c r="GI28" s="271">
        <f t="shared" si="346"/>
        <v>6225</v>
      </c>
      <c r="GJ28" s="271">
        <f t="shared" si="347"/>
        <v>6705</v>
      </c>
      <c r="GK28" s="271">
        <f t="shared" si="348"/>
        <v>8219</v>
      </c>
      <c r="GL28" s="271">
        <f t="shared" si="349"/>
        <v>6580</v>
      </c>
      <c r="GM28" s="271">
        <f t="shared" si="350"/>
        <v>7272</v>
      </c>
      <c r="GN28" s="271">
        <f t="shared" si="351"/>
        <v>7055</v>
      </c>
      <c r="GO28" s="271">
        <f t="shared" si="352"/>
        <v>7510</v>
      </c>
      <c r="GP28" s="271">
        <f t="shared" si="353"/>
        <v>13671</v>
      </c>
      <c r="GQ28" s="271">
        <f t="shared" si="354"/>
        <v>9009</v>
      </c>
      <c r="GR28" s="271">
        <f t="shared" si="355"/>
        <v>7670</v>
      </c>
      <c r="GS28" s="271">
        <f t="shared" si="356"/>
        <v>8415</v>
      </c>
      <c r="GT28" s="271">
        <f t="shared" si="357"/>
        <v>6900</v>
      </c>
      <c r="GU28" s="271">
        <f t="shared" si="358"/>
        <v>6739</v>
      </c>
      <c r="GV28" s="271">
        <f t="shared" si="359"/>
        <v>6854</v>
      </c>
      <c r="GW28" s="271">
        <f t="shared" si="360"/>
        <v>6674</v>
      </c>
      <c r="GX28" s="271">
        <f t="shared" si="361"/>
        <v>7122</v>
      </c>
      <c r="GY28" s="826">
        <f t="shared" si="362"/>
        <v>7455</v>
      </c>
      <c r="GZ28" s="826">
        <f t="shared" si="363"/>
        <v>6985</v>
      </c>
      <c r="HA28" s="826">
        <f t="shared" si="364"/>
        <v>7516</v>
      </c>
      <c r="HB28" s="826">
        <f t="shared" si="365"/>
        <v>13016</v>
      </c>
      <c r="HC28" s="826">
        <f t="shared" si="366"/>
        <v>7642</v>
      </c>
      <c r="HD28" s="826">
        <f t="shared" si="367"/>
        <v>7649</v>
      </c>
      <c r="HE28" s="826">
        <f t="shared" si="368"/>
        <v>8808</v>
      </c>
      <c r="HF28" s="826">
        <f t="shared" si="369"/>
        <v>7277</v>
      </c>
      <c r="HG28" s="826">
        <f t="shared" si="370"/>
        <v>8213</v>
      </c>
      <c r="HH28" s="826">
        <f t="shared" si="371"/>
        <v>8465</v>
      </c>
      <c r="HI28" s="826">
        <f t="shared" si="372"/>
        <v>6775</v>
      </c>
      <c r="HJ28" s="826">
        <f t="shared" si="373"/>
        <v>7303</v>
      </c>
      <c r="HK28" s="954">
        <f t="shared" si="374"/>
        <v>7717</v>
      </c>
      <c r="HL28" s="954">
        <f t="shared" si="375"/>
        <v>6918</v>
      </c>
      <c r="HM28" s="954">
        <f t="shared" si="375"/>
        <v>6785</v>
      </c>
      <c r="HN28" s="954">
        <f t="shared" si="375"/>
        <v>7262</v>
      </c>
      <c r="HO28" s="954">
        <f t="shared" si="375"/>
        <v>6709</v>
      </c>
      <c r="HP28" s="954">
        <f t="shared" si="375"/>
        <v>7615</v>
      </c>
      <c r="HQ28" s="954">
        <f t="shared" si="375"/>
        <v>6893</v>
      </c>
      <c r="HR28" s="954">
        <f t="shared" si="375"/>
        <v>7391</v>
      </c>
      <c r="HS28" s="954">
        <f t="shared" si="375"/>
        <v>7458</v>
      </c>
      <c r="HT28" s="954">
        <f t="shared" si="375"/>
        <v>6601</v>
      </c>
      <c r="HU28" s="954">
        <f t="shared" si="375"/>
        <v>6025</v>
      </c>
      <c r="HV28" s="954">
        <f t="shared" si="375"/>
        <v>0</v>
      </c>
    </row>
    <row r="29" spans="1:230" x14ac:dyDescent="0.25">
      <c r="A29" s="802"/>
      <c r="B29" s="56">
        <v>3.3</v>
      </c>
      <c r="C29" s="7"/>
      <c r="D29" s="119"/>
      <c r="E29" s="1046" t="s">
        <v>44</v>
      </c>
      <c r="F29" s="1046"/>
      <c r="G29" s="1047"/>
      <c r="H29" s="385">
        <v>3</v>
      </c>
      <c r="I29" s="167">
        <v>4.3</v>
      </c>
      <c r="J29" s="81">
        <v>3.3</v>
      </c>
      <c r="K29" s="167">
        <v>2.1</v>
      </c>
      <c r="L29" s="81">
        <v>2.7</v>
      </c>
      <c r="M29" s="167">
        <v>2.2000000000000002</v>
      </c>
      <c r="N29" s="81">
        <v>3.6</v>
      </c>
      <c r="O29" s="167">
        <v>3.1</v>
      </c>
      <c r="P29" s="81">
        <v>2.8</v>
      </c>
      <c r="Q29" s="167">
        <v>2.6</v>
      </c>
      <c r="R29" s="81">
        <v>1.7</v>
      </c>
      <c r="S29" s="167">
        <v>1.9</v>
      </c>
      <c r="T29" s="180">
        <v>0</v>
      </c>
      <c r="U29" s="153">
        <v>2.7750000000000004</v>
      </c>
      <c r="V29" s="385">
        <v>2.8</v>
      </c>
      <c r="W29" s="167">
        <v>2.4</v>
      </c>
      <c r="X29" s="81">
        <v>2</v>
      </c>
      <c r="Y29" s="167">
        <v>3</v>
      </c>
      <c r="Z29" s="81">
        <v>2.1</v>
      </c>
      <c r="AA29" s="167">
        <v>2.6</v>
      </c>
      <c r="AB29" s="81">
        <v>1.9</v>
      </c>
      <c r="AC29" s="167">
        <v>2.2000000000000002</v>
      </c>
      <c r="AD29" s="81">
        <v>1.9</v>
      </c>
      <c r="AE29" s="167">
        <v>1.9</v>
      </c>
      <c r="AF29" s="81">
        <v>1.8</v>
      </c>
      <c r="AG29" s="167">
        <v>1.6</v>
      </c>
      <c r="AH29" s="180">
        <v>0</v>
      </c>
      <c r="AI29" s="153">
        <v>2.1833333333333331</v>
      </c>
      <c r="AJ29" s="385">
        <v>1.8</v>
      </c>
      <c r="AK29" s="167">
        <v>2.1</v>
      </c>
      <c r="AL29" s="81">
        <v>2</v>
      </c>
      <c r="AM29" s="167">
        <v>1.4</v>
      </c>
      <c r="AN29" s="81">
        <v>2.2999999999999998</v>
      </c>
      <c r="AO29" s="167">
        <v>2.4</v>
      </c>
      <c r="AP29" s="636">
        <v>2.2000000000000002</v>
      </c>
      <c r="AQ29" s="167">
        <v>1.8</v>
      </c>
      <c r="AR29" s="636">
        <v>1.8</v>
      </c>
      <c r="AS29" s="167">
        <v>1.8</v>
      </c>
      <c r="AT29" s="636">
        <v>1.5</v>
      </c>
      <c r="AU29" s="167">
        <v>1.8</v>
      </c>
      <c r="AV29" s="180">
        <v>0</v>
      </c>
      <c r="AW29" s="153">
        <f t="shared" si="241"/>
        <v>1.9083333333333339</v>
      </c>
      <c r="AX29" s="385">
        <v>1.9</v>
      </c>
      <c r="AY29" s="167">
        <v>1.5</v>
      </c>
      <c r="AZ29" s="81">
        <v>1.5</v>
      </c>
      <c r="BA29" s="167">
        <v>1.4</v>
      </c>
      <c r="BB29" s="81">
        <v>2.1</v>
      </c>
      <c r="BC29" s="167">
        <v>1.8</v>
      </c>
      <c r="BD29" s="636">
        <v>2.2999999999999998</v>
      </c>
      <c r="BE29" s="167">
        <v>3</v>
      </c>
      <c r="BF29" s="636">
        <v>1.9</v>
      </c>
      <c r="BG29" s="167">
        <v>2</v>
      </c>
      <c r="BH29" s="636">
        <v>1.62</v>
      </c>
      <c r="BI29" s="167">
        <v>1.7</v>
      </c>
      <c r="BJ29" s="180">
        <v>0</v>
      </c>
      <c r="BK29" s="153">
        <f t="shared" si="245"/>
        <v>1.8933333333333333</v>
      </c>
      <c r="BL29" s="385">
        <v>2.2000000000000002</v>
      </c>
      <c r="BM29" s="167">
        <v>2.8</v>
      </c>
      <c r="BN29" s="81">
        <v>3.1</v>
      </c>
      <c r="BO29" s="167">
        <v>1.5</v>
      </c>
      <c r="BP29" s="81">
        <v>4.8</v>
      </c>
      <c r="BQ29" s="167">
        <v>4.5</v>
      </c>
      <c r="BR29" s="636">
        <v>2.6</v>
      </c>
      <c r="BS29" s="167">
        <v>2.9</v>
      </c>
      <c r="BT29" s="636">
        <v>2.4</v>
      </c>
      <c r="BU29" s="636">
        <v>2</v>
      </c>
      <c r="BV29" s="636">
        <v>2.1</v>
      </c>
      <c r="BW29" s="636">
        <v>2.1</v>
      </c>
      <c r="BX29" s="180">
        <v>0</v>
      </c>
      <c r="BY29" s="153">
        <f t="shared" si="253"/>
        <v>2.75</v>
      </c>
      <c r="BZ29" s="636">
        <v>5.5</v>
      </c>
      <c r="CA29" s="167">
        <v>2.2999999999999998</v>
      </c>
      <c r="CB29" s="81">
        <v>2.8</v>
      </c>
      <c r="CC29" s="167">
        <v>2.6</v>
      </c>
      <c r="CD29" s="81">
        <v>2.7</v>
      </c>
      <c r="CE29" s="167">
        <v>3</v>
      </c>
      <c r="CF29" s="636">
        <v>2.8</v>
      </c>
      <c r="CG29" s="167">
        <v>3.7</v>
      </c>
      <c r="CH29" s="636">
        <v>3.7</v>
      </c>
      <c r="CI29" s="636">
        <v>3</v>
      </c>
      <c r="CJ29" s="636">
        <v>2.9</v>
      </c>
      <c r="CK29" s="636"/>
      <c r="CL29" s="180">
        <v>0</v>
      </c>
      <c r="CM29" s="153">
        <f t="shared" si="261"/>
        <v>3.1818181818181812</v>
      </c>
      <c r="CN29" s="679">
        <f t="shared" si="262"/>
        <v>9.9999999999999867E-2</v>
      </c>
      <c r="CO29" s="672">
        <f t="shared" si="263"/>
        <v>5.5555555555555483E-2</v>
      </c>
      <c r="CP29" s="679">
        <f t="shared" si="264"/>
        <v>-0.39999999999999991</v>
      </c>
      <c r="CQ29" s="672">
        <f t="shared" si="265"/>
        <v>-0.21052631578947364</v>
      </c>
      <c r="CR29" s="679">
        <f t="shared" si="266"/>
        <v>0</v>
      </c>
      <c r="CS29" s="672">
        <f t="shared" si="267"/>
        <v>0</v>
      </c>
      <c r="CT29" s="679">
        <f t="shared" si="268"/>
        <v>-0.10000000000000009</v>
      </c>
      <c r="CU29" s="672">
        <f t="shared" si="269"/>
        <v>-6.6666666666666721E-2</v>
      </c>
      <c r="CV29" s="679">
        <f t="shared" si="270"/>
        <v>0.70000000000000018</v>
      </c>
      <c r="CW29" s="672">
        <f t="shared" si="271"/>
        <v>0.50000000000000011</v>
      </c>
      <c r="CX29" s="679">
        <f t="shared" si="272"/>
        <v>-0.30000000000000004</v>
      </c>
      <c r="CY29" s="672">
        <f t="shared" si="273"/>
        <v>-0.14285714285714288</v>
      </c>
      <c r="CZ29" s="679">
        <f t="shared" si="274"/>
        <v>0.49999999999999978</v>
      </c>
      <c r="DA29" s="672">
        <f t="shared" si="275"/>
        <v>0.27777777777777762</v>
      </c>
      <c r="DB29" s="679">
        <f t="shared" si="276"/>
        <v>0.70000000000000018</v>
      </c>
      <c r="DC29" s="672">
        <f t="shared" si="277"/>
        <v>0.3043478260869566</v>
      </c>
      <c r="DD29" s="679">
        <f t="shared" si="278"/>
        <v>-1.1000000000000001</v>
      </c>
      <c r="DE29" s="672">
        <f t="shared" si="279"/>
        <v>-0.3666666666666667</v>
      </c>
      <c r="DF29" s="679">
        <f t="shared" si="280"/>
        <v>0.10000000000000009</v>
      </c>
      <c r="DG29" s="109">
        <f t="shared" si="281"/>
        <v>5.2631578947368474E-2</v>
      </c>
      <c r="DH29" s="679">
        <f t="shared" si="282"/>
        <v>-0.37999999999999989</v>
      </c>
      <c r="DI29" s="672">
        <f t="shared" si="283"/>
        <v>-0.18999999999999995</v>
      </c>
      <c r="DJ29" s="679">
        <f t="shared" si="284"/>
        <v>7.9999999999999849E-2</v>
      </c>
      <c r="DK29" s="672">
        <f t="shared" si="285"/>
        <v>4.9382716049382616E-2</v>
      </c>
      <c r="DL29" s="679">
        <f t="shared" si="286"/>
        <v>0.50000000000000022</v>
      </c>
      <c r="DM29" s="672">
        <f t="shared" si="287"/>
        <v>0.29411764705882365</v>
      </c>
      <c r="DN29" s="329">
        <f t="shared" si="288"/>
        <v>0.59999999999999964</v>
      </c>
      <c r="DO29" s="410">
        <f t="shared" si="289"/>
        <v>0.27272727272727254</v>
      </c>
      <c r="DP29" s="329">
        <f t="shared" si="290"/>
        <v>0.30000000000000027</v>
      </c>
      <c r="DQ29" s="410">
        <f t="shared" si="291"/>
        <v>0.10714285714285725</v>
      </c>
      <c r="DR29" s="329">
        <f t="shared" si="292"/>
        <v>-1.6</v>
      </c>
      <c r="DS29" s="410">
        <f t="shared" si="293"/>
        <v>-0.5161290322580645</v>
      </c>
      <c r="DT29" s="329">
        <f t="shared" si="294"/>
        <v>3.3</v>
      </c>
      <c r="DU29" s="410">
        <f t="shared" si="295"/>
        <v>2.1999999999999997</v>
      </c>
      <c r="DV29" s="329">
        <f t="shared" si="296"/>
        <v>-0.29999999999999982</v>
      </c>
      <c r="DW29" s="410">
        <f t="shared" si="297"/>
        <v>-6.2499999999999965E-2</v>
      </c>
      <c r="DX29" s="329">
        <f t="shared" si="298"/>
        <v>-1.9</v>
      </c>
      <c r="DY29" s="410">
        <f t="shared" si="299"/>
        <v>-0.42222222222222222</v>
      </c>
      <c r="DZ29" s="329">
        <f t="shared" si="300"/>
        <v>0.29999999999999982</v>
      </c>
      <c r="EA29" s="410">
        <f t="shared" si="301"/>
        <v>0.11538461538461531</v>
      </c>
      <c r="EB29" s="329">
        <f t="shared" si="302"/>
        <v>-0.5</v>
      </c>
      <c r="EC29" s="410">
        <f t="shared" si="303"/>
        <v>-0.17241379310344829</v>
      </c>
      <c r="ED29" s="329">
        <f t="shared" si="304"/>
        <v>-0.39999999999999991</v>
      </c>
      <c r="EE29" s="410">
        <f t="shared" si="305"/>
        <v>-0.16666666666666663</v>
      </c>
      <c r="EF29" s="329">
        <f t="shared" si="306"/>
        <v>0.10000000000000009</v>
      </c>
      <c r="EG29" s="410">
        <f t="shared" si="307"/>
        <v>5.0000000000000044E-2</v>
      </c>
      <c r="EH29" s="329">
        <f t="shared" si="308"/>
        <v>0</v>
      </c>
      <c r="EI29" s="410">
        <f t="shared" si="309"/>
        <v>0</v>
      </c>
      <c r="EJ29" s="329">
        <f t="shared" si="310"/>
        <v>3.4</v>
      </c>
      <c r="EK29" s="410">
        <f t="shared" si="311"/>
        <v>1.6190476190476188</v>
      </c>
      <c r="EL29" s="329">
        <f t="shared" si="312"/>
        <v>-3.2</v>
      </c>
      <c r="EM29" s="410">
        <f t="shared" si="313"/>
        <v>-0.5818181818181819</v>
      </c>
      <c r="EN29" s="329">
        <f t="shared" si="314"/>
        <v>0.5</v>
      </c>
      <c r="EO29" s="410">
        <f t="shared" si="315"/>
        <v>0.21739130434782611</v>
      </c>
      <c r="EP29" s="329">
        <f t="shared" si="316"/>
        <v>-0.19999999999999973</v>
      </c>
      <c r="EQ29" s="410">
        <f t="shared" si="317"/>
        <v>-7.1428571428571341E-2</v>
      </c>
      <c r="ER29" s="329">
        <f t="shared" si="318"/>
        <v>0.10000000000000009</v>
      </c>
      <c r="ES29" s="410">
        <f t="shared" si="319"/>
        <v>3.8461538461538491E-2</v>
      </c>
      <c r="ET29" s="329">
        <f t="shared" si="320"/>
        <v>0.29999999999999982</v>
      </c>
      <c r="EU29" s="410">
        <f t="shared" si="321"/>
        <v>0.11111111111111104</v>
      </c>
      <c r="EV29" s="329">
        <f t="shared" si="322"/>
        <v>-0.20000000000000018</v>
      </c>
      <c r="EW29" s="410">
        <f t="shared" si="323"/>
        <v>-6.6666666666666721E-2</v>
      </c>
      <c r="EX29" s="329">
        <f t="shared" si="324"/>
        <v>0.90000000000000036</v>
      </c>
      <c r="EY29" s="410">
        <f t="shared" si="325"/>
        <v>0.32142857142857156</v>
      </c>
      <c r="EZ29" s="329">
        <f t="shared" si="326"/>
        <v>0</v>
      </c>
      <c r="FA29" s="410">
        <f t="shared" si="327"/>
        <v>0</v>
      </c>
      <c r="FB29" s="329">
        <f t="shared" si="328"/>
        <v>-0.70000000000000018</v>
      </c>
      <c r="FC29" s="410">
        <f t="shared" si="329"/>
        <v>-0.18918918918918923</v>
      </c>
      <c r="FD29" s="329">
        <f t="shared" si="330"/>
        <v>-0.10000000000000009</v>
      </c>
      <c r="FE29" s="410">
        <f t="shared" si="331"/>
        <v>-3.3333333333333361E-2</v>
      </c>
      <c r="FF29" s="329">
        <f t="shared" si="332"/>
        <v>-2.9</v>
      </c>
      <c r="FG29" s="410">
        <f t="shared" si="333"/>
        <v>-1</v>
      </c>
      <c r="FH29" s="215">
        <f t="shared" si="334"/>
        <v>2.1</v>
      </c>
      <c r="FI29" s="728">
        <f t="shared" si="335"/>
        <v>2.9</v>
      </c>
      <c r="FJ29" s="679">
        <f t="shared" si="336"/>
        <v>0.79999999999999982</v>
      </c>
      <c r="FK29" s="109">
        <f t="shared" si="337"/>
        <v>0.38095238095238088</v>
      </c>
      <c r="FL29" s="707"/>
      <c r="FM29" s="707"/>
      <c r="FN29" s="707"/>
      <c r="FO29" t="str">
        <f t="shared" si="376"/>
        <v>Average Time to Resolve (Days)</v>
      </c>
      <c r="FP29" s="280" t="e">
        <f>#REF!</f>
        <v>#REF!</v>
      </c>
      <c r="FQ29" s="280" t="e">
        <f>#REF!</f>
        <v>#REF!</v>
      </c>
      <c r="FR29" s="280" t="e">
        <f>#REF!</f>
        <v>#REF!</v>
      </c>
      <c r="FS29" s="280" t="e">
        <f>#REF!</f>
        <v>#REF!</v>
      </c>
      <c r="FT29" s="280" t="e">
        <f>#REF!</f>
        <v>#REF!</v>
      </c>
      <c r="FU29" s="280" t="e">
        <f>#REF!</f>
        <v>#REF!</v>
      </c>
      <c r="FV29" s="280" t="e">
        <f>#REF!</f>
        <v>#REF!</v>
      </c>
      <c r="FW29" s="280" t="e">
        <f>#REF!</f>
        <v>#REF!</v>
      </c>
      <c r="FX29" s="280" t="e">
        <f>#REF!</f>
        <v>#REF!</v>
      </c>
      <c r="FY29" s="280" t="e">
        <f>#REF!</f>
        <v>#REF!</v>
      </c>
      <c r="FZ29" s="280" t="e">
        <f>#REF!</f>
        <v>#REF!</v>
      </c>
      <c r="GA29" s="281">
        <f t="shared" si="338"/>
        <v>1.8</v>
      </c>
      <c r="GB29" s="281">
        <f t="shared" si="339"/>
        <v>2.1</v>
      </c>
      <c r="GC29" s="281">
        <f t="shared" si="340"/>
        <v>2</v>
      </c>
      <c r="GD29" s="281">
        <f t="shared" si="341"/>
        <v>1.4</v>
      </c>
      <c r="GE29" s="281">
        <f t="shared" si="342"/>
        <v>2.2999999999999998</v>
      </c>
      <c r="GF29" s="281">
        <f t="shared" si="343"/>
        <v>2.4</v>
      </c>
      <c r="GG29" s="281">
        <f t="shared" si="344"/>
        <v>2.2000000000000002</v>
      </c>
      <c r="GH29" s="281">
        <f t="shared" si="345"/>
        <v>1.8</v>
      </c>
      <c r="GI29" s="281">
        <f t="shared" si="346"/>
        <v>1.8</v>
      </c>
      <c r="GJ29" s="281">
        <f t="shared" si="347"/>
        <v>1.8</v>
      </c>
      <c r="GK29" s="281">
        <f t="shared" si="348"/>
        <v>1.5</v>
      </c>
      <c r="GL29" s="281">
        <f t="shared" si="349"/>
        <v>1.8</v>
      </c>
      <c r="GM29" s="281">
        <f t="shared" si="350"/>
        <v>1.9</v>
      </c>
      <c r="GN29" s="281">
        <f t="shared" si="351"/>
        <v>1.5</v>
      </c>
      <c r="GO29" s="281">
        <f t="shared" si="352"/>
        <v>1.5</v>
      </c>
      <c r="GP29" s="281">
        <f t="shared" si="353"/>
        <v>1.4</v>
      </c>
      <c r="GQ29" s="281">
        <f t="shared" si="354"/>
        <v>2.1</v>
      </c>
      <c r="GR29" s="281">
        <f t="shared" si="355"/>
        <v>1.8</v>
      </c>
      <c r="GS29" s="281">
        <f t="shared" si="356"/>
        <v>2.2999999999999998</v>
      </c>
      <c r="GT29" s="281">
        <f t="shared" si="357"/>
        <v>3</v>
      </c>
      <c r="GU29" s="281">
        <f t="shared" si="358"/>
        <v>1.9</v>
      </c>
      <c r="GV29" s="281">
        <f t="shared" si="359"/>
        <v>2</v>
      </c>
      <c r="GW29" s="281">
        <f t="shared" si="360"/>
        <v>1.62</v>
      </c>
      <c r="GX29" s="281">
        <f t="shared" si="361"/>
        <v>1.7</v>
      </c>
      <c r="GY29" s="831">
        <f t="shared" si="362"/>
        <v>2.2000000000000002</v>
      </c>
      <c r="GZ29" s="831">
        <f t="shared" si="363"/>
        <v>2.8</v>
      </c>
      <c r="HA29" s="831">
        <f t="shared" si="364"/>
        <v>3.1</v>
      </c>
      <c r="HB29" s="831">
        <f t="shared" si="365"/>
        <v>1.5</v>
      </c>
      <c r="HC29" s="831">
        <f t="shared" si="366"/>
        <v>4.8</v>
      </c>
      <c r="HD29" s="831">
        <f t="shared" si="367"/>
        <v>4.5</v>
      </c>
      <c r="HE29" s="831">
        <f t="shared" si="368"/>
        <v>2.6</v>
      </c>
      <c r="HF29" s="831">
        <f t="shared" si="369"/>
        <v>2.9</v>
      </c>
      <c r="HG29" s="831">
        <f t="shared" si="370"/>
        <v>2.4</v>
      </c>
      <c r="HH29" s="831">
        <f t="shared" si="371"/>
        <v>2</v>
      </c>
      <c r="HI29" s="831">
        <f t="shared" si="372"/>
        <v>2.1</v>
      </c>
      <c r="HJ29" s="831">
        <f t="shared" si="373"/>
        <v>2.1</v>
      </c>
      <c r="HK29" s="959">
        <f t="shared" si="374"/>
        <v>5.5</v>
      </c>
      <c r="HL29" s="959">
        <f t="shared" si="375"/>
        <v>2.2999999999999998</v>
      </c>
      <c r="HM29" s="959">
        <f t="shared" si="375"/>
        <v>2.8</v>
      </c>
      <c r="HN29" s="959">
        <f t="shared" si="375"/>
        <v>2.6</v>
      </c>
      <c r="HO29" s="959">
        <f t="shared" si="375"/>
        <v>2.7</v>
      </c>
      <c r="HP29" s="959">
        <f t="shared" si="375"/>
        <v>3</v>
      </c>
      <c r="HQ29" s="959">
        <f t="shared" si="375"/>
        <v>2.8</v>
      </c>
      <c r="HR29" s="959">
        <f t="shared" si="375"/>
        <v>3.7</v>
      </c>
      <c r="HS29" s="959">
        <f t="shared" si="375"/>
        <v>3.7</v>
      </c>
      <c r="HT29" s="959">
        <f t="shared" si="375"/>
        <v>3</v>
      </c>
      <c r="HU29" s="959">
        <f t="shared" si="375"/>
        <v>2.9</v>
      </c>
      <c r="HV29" s="959">
        <f t="shared" si="375"/>
        <v>0</v>
      </c>
    </row>
    <row r="30" spans="1:230" ht="15.75" thickBot="1" x14ac:dyDescent="0.3">
      <c r="A30" s="803"/>
      <c r="B30" s="57">
        <v>3.4</v>
      </c>
      <c r="C30" s="4"/>
      <c r="D30" s="456"/>
      <c r="E30" s="1035" t="s">
        <v>45</v>
      </c>
      <c r="F30" s="1035"/>
      <c r="G30" s="1036"/>
      <c r="H30" s="386">
        <v>1035</v>
      </c>
      <c r="I30" s="65">
        <v>980</v>
      </c>
      <c r="J30" s="17">
        <v>931</v>
      </c>
      <c r="K30" s="65">
        <v>1133</v>
      </c>
      <c r="L30" s="17">
        <v>865</v>
      </c>
      <c r="M30" s="65">
        <v>779</v>
      </c>
      <c r="N30" s="17">
        <v>821</v>
      </c>
      <c r="O30" s="65">
        <v>789</v>
      </c>
      <c r="P30" s="17">
        <v>700</v>
      </c>
      <c r="Q30" s="65">
        <v>562</v>
      </c>
      <c r="R30" s="17">
        <v>771</v>
      </c>
      <c r="S30" s="65">
        <v>703</v>
      </c>
      <c r="T30" s="134">
        <v>0</v>
      </c>
      <c r="U30" s="165">
        <v>839.08333333333337</v>
      </c>
      <c r="V30" s="386">
        <v>718</v>
      </c>
      <c r="W30" s="65">
        <v>729</v>
      </c>
      <c r="X30" s="17">
        <v>638</v>
      </c>
      <c r="Y30" s="65">
        <v>693</v>
      </c>
      <c r="Z30" s="17">
        <v>674</v>
      </c>
      <c r="AA30" s="65">
        <v>561</v>
      </c>
      <c r="AB30" s="17">
        <v>692</v>
      </c>
      <c r="AC30" s="65">
        <v>587</v>
      </c>
      <c r="AD30" s="17">
        <v>623</v>
      </c>
      <c r="AE30" s="65">
        <v>582</v>
      </c>
      <c r="AF30" s="17">
        <v>527</v>
      </c>
      <c r="AG30" s="65">
        <v>512</v>
      </c>
      <c r="AH30" s="134">
        <v>0</v>
      </c>
      <c r="AI30" s="165">
        <v>628</v>
      </c>
      <c r="AJ30" s="386">
        <v>627</v>
      </c>
      <c r="AK30" s="65">
        <v>547</v>
      </c>
      <c r="AL30" s="17">
        <v>537</v>
      </c>
      <c r="AM30" s="65">
        <v>866</v>
      </c>
      <c r="AN30" s="17">
        <v>697</v>
      </c>
      <c r="AO30" s="65">
        <v>510</v>
      </c>
      <c r="AP30" s="637">
        <v>589</v>
      </c>
      <c r="AQ30" s="65">
        <v>578</v>
      </c>
      <c r="AR30" s="637">
        <v>516</v>
      </c>
      <c r="AS30" s="65">
        <v>506</v>
      </c>
      <c r="AT30" s="637">
        <v>680</v>
      </c>
      <c r="AU30" s="65">
        <v>494</v>
      </c>
      <c r="AV30" s="134">
        <v>0</v>
      </c>
      <c r="AW30" s="165">
        <f t="shared" si="241"/>
        <v>595.58333333333337</v>
      </c>
      <c r="AX30" s="386">
        <v>493</v>
      </c>
      <c r="AY30" s="65">
        <v>463</v>
      </c>
      <c r="AZ30" s="17">
        <v>523</v>
      </c>
      <c r="BA30" s="65">
        <v>739</v>
      </c>
      <c r="BB30" s="17">
        <v>572</v>
      </c>
      <c r="BC30" s="65">
        <v>546</v>
      </c>
      <c r="BD30" s="637">
        <v>605</v>
      </c>
      <c r="BE30" s="65">
        <v>475</v>
      </c>
      <c r="BF30" s="637">
        <v>552</v>
      </c>
      <c r="BG30" s="65">
        <v>485</v>
      </c>
      <c r="BH30" s="637">
        <v>555</v>
      </c>
      <c r="BI30" s="65">
        <v>634</v>
      </c>
      <c r="BJ30" s="134">
        <v>0</v>
      </c>
      <c r="BK30" s="165">
        <f t="shared" si="245"/>
        <v>553.5</v>
      </c>
      <c r="BL30" s="386">
        <v>790</v>
      </c>
      <c r="BM30" s="65">
        <v>797</v>
      </c>
      <c r="BN30" s="17">
        <v>702</v>
      </c>
      <c r="BO30" s="65">
        <v>1940</v>
      </c>
      <c r="BP30" s="17">
        <v>1453</v>
      </c>
      <c r="BQ30" s="65">
        <v>875</v>
      </c>
      <c r="BR30" s="637">
        <v>988</v>
      </c>
      <c r="BS30" s="65">
        <v>916</v>
      </c>
      <c r="BT30" s="637">
        <v>810</v>
      </c>
      <c r="BU30" s="637">
        <v>866</v>
      </c>
      <c r="BV30" s="637">
        <v>711</v>
      </c>
      <c r="BW30" s="637">
        <v>855</v>
      </c>
      <c r="BX30" s="134">
        <v>0</v>
      </c>
      <c r="BY30" s="165">
        <f t="shared" si="253"/>
        <v>975.25</v>
      </c>
      <c r="BZ30" s="637">
        <v>738</v>
      </c>
      <c r="CA30" s="65">
        <v>924</v>
      </c>
      <c r="CB30" s="17">
        <v>994</v>
      </c>
      <c r="CC30" s="65">
        <v>1082</v>
      </c>
      <c r="CD30" s="17">
        <v>1480</v>
      </c>
      <c r="CE30" s="65">
        <v>1179</v>
      </c>
      <c r="CF30" s="637">
        <v>1234</v>
      </c>
      <c r="CG30" s="65">
        <v>1488</v>
      </c>
      <c r="CH30" s="637">
        <v>1093</v>
      </c>
      <c r="CI30" s="637">
        <v>918</v>
      </c>
      <c r="CJ30" s="637">
        <v>903</v>
      </c>
      <c r="CK30" s="637"/>
      <c r="CL30" s="134">
        <v>0</v>
      </c>
      <c r="CM30" s="165">
        <f t="shared" si="261"/>
        <v>1093.909090909091</v>
      </c>
      <c r="CN30" s="680">
        <f t="shared" si="262"/>
        <v>-1</v>
      </c>
      <c r="CO30" s="681">
        <f t="shared" si="263"/>
        <v>-2.0242914979757085E-3</v>
      </c>
      <c r="CP30" s="680">
        <f t="shared" si="264"/>
        <v>-30</v>
      </c>
      <c r="CQ30" s="681">
        <f t="shared" si="265"/>
        <v>-6.0851926977687626E-2</v>
      </c>
      <c r="CR30" s="680">
        <f t="shared" si="266"/>
        <v>60</v>
      </c>
      <c r="CS30" s="681">
        <f t="shared" si="267"/>
        <v>0.12958963282937366</v>
      </c>
      <c r="CT30" s="680">
        <f t="shared" si="268"/>
        <v>216</v>
      </c>
      <c r="CU30" s="681">
        <f t="shared" si="269"/>
        <v>0.4130019120458891</v>
      </c>
      <c r="CV30" s="680">
        <f t="shared" si="270"/>
        <v>-167</v>
      </c>
      <c r="CW30" s="681">
        <f t="shared" si="271"/>
        <v>-0.22598105548037889</v>
      </c>
      <c r="CX30" s="680">
        <f t="shared" si="272"/>
        <v>-26</v>
      </c>
      <c r="CY30" s="681">
        <f t="shared" si="273"/>
        <v>-4.5454545454545456E-2</v>
      </c>
      <c r="CZ30" s="680">
        <f t="shared" si="274"/>
        <v>59</v>
      </c>
      <c r="DA30" s="681">
        <f t="shared" si="275"/>
        <v>0.10805860805860806</v>
      </c>
      <c r="DB30" s="680">
        <f t="shared" si="276"/>
        <v>-130</v>
      </c>
      <c r="DC30" s="681">
        <f t="shared" si="277"/>
        <v>-0.21487603305785125</v>
      </c>
      <c r="DD30" s="680">
        <f t="shared" si="278"/>
        <v>77</v>
      </c>
      <c r="DE30" s="681">
        <f t="shared" si="279"/>
        <v>0.16210526315789472</v>
      </c>
      <c r="DF30" s="680">
        <f t="shared" si="280"/>
        <v>-67</v>
      </c>
      <c r="DG30" s="193">
        <f t="shared" si="281"/>
        <v>-0.1213768115942029</v>
      </c>
      <c r="DH30" s="680">
        <f t="shared" si="282"/>
        <v>70</v>
      </c>
      <c r="DI30" s="681">
        <f t="shared" si="283"/>
        <v>0.14432989690721648</v>
      </c>
      <c r="DJ30" s="680">
        <f t="shared" si="284"/>
        <v>79</v>
      </c>
      <c r="DK30" s="681">
        <f t="shared" si="285"/>
        <v>0.14234234234234233</v>
      </c>
      <c r="DL30" s="680">
        <f t="shared" si="286"/>
        <v>156</v>
      </c>
      <c r="DM30" s="681">
        <f t="shared" si="287"/>
        <v>0.24605678233438485</v>
      </c>
      <c r="DN30" s="330">
        <f t="shared" si="288"/>
        <v>7</v>
      </c>
      <c r="DO30" s="413">
        <f t="shared" si="289"/>
        <v>8.8607594936708865E-3</v>
      </c>
      <c r="DP30" s="330">
        <f t="shared" si="290"/>
        <v>-95</v>
      </c>
      <c r="DQ30" s="413">
        <f t="shared" si="291"/>
        <v>-0.1191969887076537</v>
      </c>
      <c r="DR30" s="330">
        <f t="shared" si="292"/>
        <v>1238</v>
      </c>
      <c r="DS30" s="413">
        <f t="shared" si="293"/>
        <v>1.7635327635327636</v>
      </c>
      <c r="DT30" s="330">
        <f t="shared" si="294"/>
        <v>-487</v>
      </c>
      <c r="DU30" s="413">
        <f t="shared" si="295"/>
        <v>-0.25103092783505154</v>
      </c>
      <c r="DV30" s="330">
        <f t="shared" si="296"/>
        <v>-578</v>
      </c>
      <c r="DW30" s="413">
        <f t="shared" si="297"/>
        <v>-0.3977976600137646</v>
      </c>
      <c r="DX30" s="330">
        <f t="shared" si="298"/>
        <v>113</v>
      </c>
      <c r="DY30" s="413">
        <f t="shared" si="299"/>
        <v>0.12914285714285714</v>
      </c>
      <c r="DZ30" s="330">
        <f t="shared" si="300"/>
        <v>-72</v>
      </c>
      <c r="EA30" s="413">
        <f t="shared" si="301"/>
        <v>-7.28744939271255E-2</v>
      </c>
      <c r="EB30" s="330">
        <f t="shared" si="302"/>
        <v>-106</v>
      </c>
      <c r="EC30" s="413">
        <f t="shared" si="303"/>
        <v>-0.11572052401746726</v>
      </c>
      <c r="ED30" s="330">
        <f t="shared" si="304"/>
        <v>56</v>
      </c>
      <c r="EE30" s="413">
        <f t="shared" si="305"/>
        <v>6.9135802469135796E-2</v>
      </c>
      <c r="EF30" s="330">
        <f t="shared" si="306"/>
        <v>-155</v>
      </c>
      <c r="EG30" s="413">
        <f t="shared" si="307"/>
        <v>-0.17898383371824481</v>
      </c>
      <c r="EH30" s="330">
        <f t="shared" si="308"/>
        <v>144</v>
      </c>
      <c r="EI30" s="413">
        <f t="shared" si="309"/>
        <v>0.20253164556962025</v>
      </c>
      <c r="EJ30" s="330">
        <f t="shared" si="310"/>
        <v>-117</v>
      </c>
      <c r="EK30" s="413">
        <f t="shared" si="311"/>
        <v>-0.1368421052631579</v>
      </c>
      <c r="EL30" s="330">
        <f t="shared" si="312"/>
        <v>186</v>
      </c>
      <c r="EM30" s="413">
        <f t="shared" si="313"/>
        <v>0.25203252032520324</v>
      </c>
      <c r="EN30" s="330">
        <f t="shared" si="314"/>
        <v>70</v>
      </c>
      <c r="EO30" s="413">
        <f t="shared" si="315"/>
        <v>7.575757575757576E-2</v>
      </c>
      <c r="EP30" s="330">
        <f t="shared" si="316"/>
        <v>88</v>
      </c>
      <c r="EQ30" s="413">
        <f t="shared" si="317"/>
        <v>8.8531187122736416E-2</v>
      </c>
      <c r="ER30" s="330">
        <f t="shared" si="318"/>
        <v>398</v>
      </c>
      <c r="ES30" s="413">
        <f t="shared" si="319"/>
        <v>0.36783733826247689</v>
      </c>
      <c r="ET30" s="330">
        <f t="shared" si="320"/>
        <v>-301</v>
      </c>
      <c r="EU30" s="413">
        <f t="shared" si="321"/>
        <v>-0.20337837837837838</v>
      </c>
      <c r="EV30" s="330">
        <f t="shared" si="322"/>
        <v>55</v>
      </c>
      <c r="EW30" s="413">
        <f t="shared" si="323"/>
        <v>4.6649703138252757E-2</v>
      </c>
      <c r="EX30" s="330">
        <f t="shared" si="324"/>
        <v>254</v>
      </c>
      <c r="EY30" s="413">
        <f t="shared" si="325"/>
        <v>0.20583468395461912</v>
      </c>
      <c r="EZ30" s="330">
        <f t="shared" si="326"/>
        <v>-395</v>
      </c>
      <c r="FA30" s="413">
        <f t="shared" si="327"/>
        <v>-0.26545698924731181</v>
      </c>
      <c r="FB30" s="330">
        <f t="shared" si="328"/>
        <v>-175</v>
      </c>
      <c r="FC30" s="413">
        <f t="shared" si="329"/>
        <v>-0.16010978956999086</v>
      </c>
      <c r="FD30" s="330">
        <f t="shared" si="330"/>
        <v>-15</v>
      </c>
      <c r="FE30" s="413">
        <f t="shared" si="331"/>
        <v>-1.6339869281045753E-2</v>
      </c>
      <c r="FF30" s="330">
        <f t="shared" si="332"/>
        <v>-903</v>
      </c>
      <c r="FG30" s="413">
        <f t="shared" si="333"/>
        <v>-1</v>
      </c>
      <c r="FH30" s="216">
        <f t="shared" si="334"/>
        <v>711</v>
      </c>
      <c r="FI30" s="729">
        <f t="shared" si="335"/>
        <v>903</v>
      </c>
      <c r="FJ30" s="680">
        <f t="shared" si="336"/>
        <v>192</v>
      </c>
      <c r="FK30" s="193">
        <f t="shared" si="337"/>
        <v>0.27004219409282698</v>
      </c>
      <c r="FL30" s="705"/>
      <c r="FM30" s="705"/>
      <c r="FN30" s="705"/>
      <c r="FO30" s="905" t="str">
        <f t="shared" si="376"/>
        <v>Open Tickets at Month End</v>
      </c>
      <c r="FP30" s="282" t="e">
        <f>#REF!</f>
        <v>#REF!</v>
      </c>
      <c r="FQ30" s="282" t="e">
        <f>#REF!</f>
        <v>#REF!</v>
      </c>
      <c r="FR30" s="282" t="e">
        <f>#REF!</f>
        <v>#REF!</v>
      </c>
      <c r="FS30" s="282" t="e">
        <f>#REF!</f>
        <v>#REF!</v>
      </c>
      <c r="FT30" s="282" t="e">
        <f>#REF!</f>
        <v>#REF!</v>
      </c>
      <c r="FU30" s="282" t="e">
        <f>#REF!</f>
        <v>#REF!</v>
      </c>
      <c r="FV30" s="282" t="e">
        <f>#REF!</f>
        <v>#REF!</v>
      </c>
      <c r="FW30" s="282" t="e">
        <f>#REF!</f>
        <v>#REF!</v>
      </c>
      <c r="FX30" s="282" t="e">
        <f>#REF!</f>
        <v>#REF!</v>
      </c>
      <c r="FY30" s="282" t="e">
        <f>#REF!</f>
        <v>#REF!</v>
      </c>
      <c r="FZ30" s="282" t="e">
        <f>#REF!</f>
        <v>#REF!</v>
      </c>
      <c r="GA30" s="283">
        <f t="shared" si="338"/>
        <v>627</v>
      </c>
      <c r="GB30" s="283">
        <f t="shared" si="339"/>
        <v>547</v>
      </c>
      <c r="GC30" s="283">
        <f t="shared" si="340"/>
        <v>537</v>
      </c>
      <c r="GD30" s="283">
        <f t="shared" si="341"/>
        <v>866</v>
      </c>
      <c r="GE30" s="283">
        <f t="shared" si="342"/>
        <v>697</v>
      </c>
      <c r="GF30" s="283">
        <f t="shared" si="343"/>
        <v>510</v>
      </c>
      <c r="GG30" s="283">
        <f t="shared" si="344"/>
        <v>589</v>
      </c>
      <c r="GH30" s="283">
        <f t="shared" si="345"/>
        <v>578</v>
      </c>
      <c r="GI30" s="283">
        <f t="shared" si="346"/>
        <v>516</v>
      </c>
      <c r="GJ30" s="283">
        <f t="shared" si="347"/>
        <v>506</v>
      </c>
      <c r="GK30" s="283">
        <f t="shared" si="348"/>
        <v>680</v>
      </c>
      <c r="GL30" s="283">
        <f t="shared" si="349"/>
        <v>494</v>
      </c>
      <c r="GM30" s="283">
        <f t="shared" si="350"/>
        <v>493</v>
      </c>
      <c r="GN30" s="283">
        <f t="shared" si="351"/>
        <v>463</v>
      </c>
      <c r="GO30" s="283">
        <f t="shared" si="352"/>
        <v>523</v>
      </c>
      <c r="GP30" s="283">
        <f t="shared" si="353"/>
        <v>739</v>
      </c>
      <c r="GQ30" s="283">
        <f t="shared" si="354"/>
        <v>572</v>
      </c>
      <c r="GR30" s="283">
        <f t="shared" si="355"/>
        <v>546</v>
      </c>
      <c r="GS30" s="283">
        <f t="shared" si="356"/>
        <v>605</v>
      </c>
      <c r="GT30" s="283">
        <f t="shared" si="357"/>
        <v>475</v>
      </c>
      <c r="GU30" s="283">
        <f t="shared" si="358"/>
        <v>552</v>
      </c>
      <c r="GV30" s="283">
        <f t="shared" si="359"/>
        <v>485</v>
      </c>
      <c r="GW30" s="283">
        <f t="shared" si="360"/>
        <v>555</v>
      </c>
      <c r="GX30" s="283">
        <f t="shared" si="361"/>
        <v>634</v>
      </c>
      <c r="GY30" s="832">
        <f t="shared" si="362"/>
        <v>790</v>
      </c>
      <c r="GZ30" s="832">
        <f t="shared" si="363"/>
        <v>797</v>
      </c>
      <c r="HA30" s="832">
        <f t="shared" si="364"/>
        <v>702</v>
      </c>
      <c r="HB30" s="832">
        <f t="shared" si="365"/>
        <v>1940</v>
      </c>
      <c r="HC30" s="832">
        <f t="shared" si="366"/>
        <v>1453</v>
      </c>
      <c r="HD30" s="832">
        <f t="shared" si="367"/>
        <v>875</v>
      </c>
      <c r="HE30" s="832">
        <f t="shared" si="368"/>
        <v>988</v>
      </c>
      <c r="HF30" s="832">
        <f t="shared" si="369"/>
        <v>916</v>
      </c>
      <c r="HG30" s="832">
        <f t="shared" si="370"/>
        <v>810</v>
      </c>
      <c r="HH30" s="832">
        <f t="shared" si="371"/>
        <v>866</v>
      </c>
      <c r="HI30" s="832">
        <f t="shared" si="372"/>
        <v>711</v>
      </c>
      <c r="HJ30" s="832">
        <f t="shared" si="373"/>
        <v>855</v>
      </c>
      <c r="HK30" s="960">
        <f t="shared" si="374"/>
        <v>738</v>
      </c>
      <c r="HL30" s="960">
        <f t="shared" si="375"/>
        <v>924</v>
      </c>
      <c r="HM30" s="960">
        <f t="shared" si="375"/>
        <v>994</v>
      </c>
      <c r="HN30" s="960">
        <f t="shared" si="375"/>
        <v>1082</v>
      </c>
      <c r="HO30" s="960">
        <f t="shared" si="375"/>
        <v>1480</v>
      </c>
      <c r="HP30" s="960">
        <f t="shared" si="375"/>
        <v>1179</v>
      </c>
      <c r="HQ30" s="960">
        <f t="shared" si="375"/>
        <v>1234</v>
      </c>
      <c r="HR30" s="960">
        <f t="shared" si="375"/>
        <v>1488</v>
      </c>
      <c r="HS30" s="960">
        <f t="shared" si="375"/>
        <v>1093</v>
      </c>
      <c r="HT30" s="960">
        <f t="shared" si="375"/>
        <v>918</v>
      </c>
      <c r="HU30" s="960">
        <f t="shared" si="375"/>
        <v>903</v>
      </c>
      <c r="HV30" s="960">
        <f t="shared" si="375"/>
        <v>0</v>
      </c>
    </row>
    <row r="31" spans="1:230" ht="15.75" customHeight="1" x14ac:dyDescent="0.25">
      <c r="A31" s="802">
        <v>4</v>
      </c>
      <c r="B31" s="7" t="s">
        <v>81</v>
      </c>
      <c r="C31" s="9"/>
      <c r="D31" s="457"/>
      <c r="E31" s="458"/>
      <c r="F31" s="458"/>
      <c r="G31" s="458"/>
      <c r="H31" s="170"/>
      <c r="I31" s="67"/>
      <c r="K31" s="67"/>
      <c r="M31" s="67"/>
      <c r="O31" s="67"/>
      <c r="Q31" s="67"/>
      <c r="R31" s="419"/>
      <c r="S31" s="420"/>
      <c r="T31" s="132"/>
      <c r="U31" s="154"/>
      <c r="V31" s="170"/>
      <c r="W31" s="67"/>
      <c r="Y31" s="67"/>
      <c r="AA31" s="67"/>
      <c r="AC31" s="67"/>
      <c r="AE31" s="67"/>
      <c r="AF31" s="419"/>
      <c r="AG31" s="420"/>
      <c r="AH31" s="132"/>
      <c r="AI31" s="154"/>
      <c r="AJ31" s="170"/>
      <c r="AK31" s="67"/>
      <c r="AM31" s="67"/>
      <c r="AO31" s="67"/>
      <c r="AP31" s="27"/>
      <c r="AQ31" s="67"/>
      <c r="AR31" s="27"/>
      <c r="AS31" s="67"/>
      <c r="AT31" s="638"/>
      <c r="AU31" s="420"/>
      <c r="AV31" s="132"/>
      <c r="AW31" s="871">
        <f>SUM(AJ34:AU34)/12</f>
        <v>258.625</v>
      </c>
      <c r="AX31" s="170"/>
      <c r="AY31" s="67"/>
      <c r="BA31" s="67"/>
      <c r="BC31" s="67"/>
      <c r="BD31" s="27"/>
      <c r="BE31" s="67"/>
      <c r="BF31" s="27"/>
      <c r="BG31" s="67"/>
      <c r="BH31" s="27"/>
      <c r="BI31" s="420"/>
      <c r="BJ31" s="132"/>
      <c r="BK31" s="154"/>
      <c r="BL31" s="170"/>
      <c r="BM31" s="67"/>
      <c r="BO31" s="67"/>
      <c r="BQ31" s="67"/>
      <c r="BR31" s="27"/>
      <c r="BS31" s="67"/>
      <c r="BT31" s="27"/>
      <c r="BV31" s="27"/>
      <c r="BX31" s="132"/>
      <c r="BY31" s="154"/>
      <c r="BZ31" s="27"/>
      <c r="CA31" s="67"/>
      <c r="CB31" s="419"/>
      <c r="CC31" s="420"/>
      <c r="CD31" s="419"/>
      <c r="CE31" s="67"/>
      <c r="CF31" s="27"/>
      <c r="CG31" s="67"/>
      <c r="CH31" s="27"/>
      <c r="CJ31" s="27"/>
      <c r="CL31" s="132"/>
      <c r="CM31" s="154"/>
      <c r="CN31" s="673"/>
      <c r="CO31" s="672"/>
      <c r="CP31" s="673"/>
      <c r="CQ31" s="672"/>
      <c r="CR31" s="673"/>
      <c r="CS31" s="672"/>
      <c r="CT31" s="673"/>
      <c r="CU31" s="672"/>
      <c r="CV31" s="673"/>
      <c r="CW31" s="672"/>
      <c r="CX31" s="673"/>
      <c r="CY31" s="672"/>
      <c r="CZ31" s="673"/>
      <c r="DA31" s="672"/>
      <c r="DB31" s="673"/>
      <c r="DC31" s="672"/>
      <c r="DD31" s="673"/>
      <c r="DE31" s="672"/>
      <c r="DF31" s="673"/>
      <c r="DG31" s="109"/>
      <c r="DH31" s="673"/>
      <c r="DI31" s="672"/>
      <c r="DJ31" s="673"/>
      <c r="DK31" s="672"/>
      <c r="DL31" s="673"/>
      <c r="DM31" s="672"/>
      <c r="DN31" s="324"/>
      <c r="DO31" s="410"/>
      <c r="DP31" s="324"/>
      <c r="DQ31" s="410"/>
      <c r="DR31" s="324"/>
      <c r="DS31" s="410"/>
      <c r="DT31" s="324"/>
      <c r="DU31" s="410"/>
      <c r="DV31" s="324"/>
      <c r="DW31" s="410"/>
      <c r="DX31" s="324"/>
      <c r="DY31" s="410"/>
      <c r="DZ31" s="324"/>
      <c r="EA31" s="410"/>
      <c r="EB31" s="324"/>
      <c r="EC31" s="410"/>
      <c r="ED31" s="324"/>
      <c r="EE31" s="410"/>
      <c r="EF31" s="324"/>
      <c r="EG31" s="410"/>
      <c r="EH31" s="324"/>
      <c r="EI31" s="410"/>
      <c r="EJ31" s="324"/>
      <c r="EK31" s="410"/>
      <c r="EL31" s="324"/>
      <c r="EM31" s="410"/>
      <c r="EN31" s="324"/>
      <c r="EO31" s="410"/>
      <c r="EP31" s="324"/>
      <c r="EQ31" s="410"/>
      <c r="ER31" s="324"/>
      <c r="ES31" s="410"/>
      <c r="ET31" s="324"/>
      <c r="EU31" s="410"/>
      <c r="EV31" s="324"/>
      <c r="EW31" s="410"/>
      <c r="EX31" s="324"/>
      <c r="EY31" s="410"/>
      <c r="EZ31" s="324"/>
      <c r="FA31" s="410"/>
      <c r="FB31" s="324"/>
      <c r="FC31" s="410"/>
      <c r="FD31" s="324"/>
      <c r="FE31" s="410"/>
      <c r="FF31" s="324"/>
      <c r="FG31" s="410"/>
      <c r="FH31" s="37"/>
      <c r="FI31" s="730"/>
      <c r="FJ31" s="673"/>
      <c r="FK31" s="109"/>
      <c r="FL31" s="707"/>
      <c r="FM31" s="707"/>
      <c r="FN31" s="707"/>
      <c r="GR31" s="285">
        <f>BC31</f>
        <v>0</v>
      </c>
    </row>
    <row r="32" spans="1:230" x14ac:dyDescent="0.25">
      <c r="A32" s="802"/>
      <c r="B32" s="56">
        <v>4.0999999999999996</v>
      </c>
      <c r="C32" s="7"/>
      <c r="D32" s="119"/>
      <c r="E32" s="1046" t="s">
        <v>242</v>
      </c>
      <c r="F32" s="1046"/>
      <c r="G32" s="1047"/>
      <c r="H32" s="387">
        <v>64</v>
      </c>
      <c r="I32" s="68">
        <v>63</v>
      </c>
      <c r="J32" s="90">
        <v>63</v>
      </c>
      <c r="K32" s="68">
        <v>63</v>
      </c>
      <c r="L32" s="90">
        <v>62.5</v>
      </c>
      <c r="M32" s="68">
        <v>62.1</v>
      </c>
      <c r="N32" s="90">
        <v>67</v>
      </c>
      <c r="O32" s="68">
        <v>66</v>
      </c>
      <c r="P32" s="90">
        <v>67</v>
      </c>
      <c r="Q32" s="68">
        <v>66</v>
      </c>
      <c r="R32" s="90">
        <v>67</v>
      </c>
      <c r="S32" s="68">
        <v>63.4</v>
      </c>
      <c r="T32" s="132" t="s">
        <v>29</v>
      </c>
      <c r="U32" s="150">
        <v>64.5</v>
      </c>
      <c r="V32" s="387">
        <v>61.3</v>
      </c>
      <c r="W32" s="68">
        <v>61.32</v>
      </c>
      <c r="X32" s="90">
        <v>59.37</v>
      </c>
      <c r="Y32" s="68">
        <v>60.32</v>
      </c>
      <c r="Z32" s="90">
        <v>60.32</v>
      </c>
      <c r="AA32" s="68">
        <v>61.3</v>
      </c>
      <c r="AB32" s="90">
        <v>60.227272727272727</v>
      </c>
      <c r="AC32" s="68">
        <v>59.09</v>
      </c>
      <c r="AD32" s="90">
        <v>59.63</v>
      </c>
      <c r="AE32" s="68">
        <v>57.14</v>
      </c>
      <c r="AF32" s="90">
        <v>59.141304347826086</v>
      </c>
      <c r="AG32" s="68">
        <v>60.09</v>
      </c>
      <c r="AH32" s="132" t="s">
        <v>29</v>
      </c>
      <c r="AI32" s="150">
        <v>59.937381422924908</v>
      </c>
      <c r="AJ32" s="387">
        <v>57.15</v>
      </c>
      <c r="AK32" s="68">
        <v>56.03</v>
      </c>
      <c r="AL32" s="90">
        <v>56.07</v>
      </c>
      <c r="AM32" s="68">
        <v>60.02</v>
      </c>
      <c r="AN32" s="90">
        <v>61.04</v>
      </c>
      <c r="AO32" s="68">
        <v>60.03</v>
      </c>
      <c r="AP32" s="198">
        <v>60</v>
      </c>
      <c r="AQ32" s="68">
        <v>61.02</v>
      </c>
      <c r="AR32" s="198">
        <v>63</v>
      </c>
      <c r="AS32" s="68">
        <v>59</v>
      </c>
      <c r="AT32" s="198">
        <v>62.02</v>
      </c>
      <c r="AU32" s="68">
        <v>60</v>
      </c>
      <c r="AV32" s="132" t="s">
        <v>29</v>
      </c>
      <c r="AW32" s="150">
        <f>SUM(AJ32:AU32)/$AV$4</f>
        <v>59.615000000000002</v>
      </c>
      <c r="AX32" s="387">
        <v>60.869565217391305</v>
      </c>
      <c r="AY32" s="68">
        <v>60.46</v>
      </c>
      <c r="AZ32" s="90">
        <v>60</v>
      </c>
      <c r="BA32" s="68">
        <v>58.994565217391305</v>
      </c>
      <c r="BB32" s="90">
        <v>59.01</v>
      </c>
      <c r="BC32" s="68">
        <v>60.05</v>
      </c>
      <c r="BD32" s="198">
        <v>60.021739130434781</v>
      </c>
      <c r="BE32" s="68">
        <v>60.15</v>
      </c>
      <c r="BF32" s="198">
        <v>63.732142857142861</v>
      </c>
      <c r="BG32" s="68">
        <v>61</v>
      </c>
      <c r="BH32" s="198">
        <v>60.011363636363633</v>
      </c>
      <c r="BI32" s="68">
        <v>60</v>
      </c>
      <c r="BJ32" s="132" t="s">
        <v>29</v>
      </c>
      <c r="BK32" s="150">
        <f>SUM(AX32:BI32)/$BJ$4</f>
        <v>60.358281338226988</v>
      </c>
      <c r="BL32" s="387">
        <v>61</v>
      </c>
      <c r="BM32" s="68">
        <v>62</v>
      </c>
      <c r="BN32" s="90">
        <v>63</v>
      </c>
      <c r="BO32" s="68">
        <v>63</v>
      </c>
      <c r="BP32" s="90">
        <v>63</v>
      </c>
      <c r="BQ32" s="68">
        <v>62</v>
      </c>
      <c r="BR32" s="198">
        <v>62</v>
      </c>
      <c r="BS32" s="68">
        <v>64</v>
      </c>
      <c r="BT32" s="198">
        <v>63</v>
      </c>
      <c r="BU32" s="198">
        <v>64</v>
      </c>
      <c r="BV32" s="198">
        <v>64</v>
      </c>
      <c r="BW32" s="198">
        <v>64</v>
      </c>
      <c r="BX32" s="132" t="s">
        <v>29</v>
      </c>
      <c r="BY32" s="150">
        <f>SUM(BL32:BW32)/$BX$4</f>
        <v>62.916666666666664</v>
      </c>
      <c r="BZ32" s="198">
        <v>63</v>
      </c>
      <c r="CA32" s="68">
        <v>63</v>
      </c>
      <c r="CB32" s="90">
        <v>71</v>
      </c>
      <c r="CC32" s="68">
        <v>70</v>
      </c>
      <c r="CD32" s="90">
        <v>70</v>
      </c>
      <c r="CE32" s="68">
        <v>72</v>
      </c>
      <c r="CF32" s="198">
        <v>74</v>
      </c>
      <c r="CG32" s="68">
        <v>74</v>
      </c>
      <c r="CH32" s="198">
        <v>74</v>
      </c>
      <c r="CI32" s="198">
        <v>68</v>
      </c>
      <c r="CJ32" s="198">
        <v>69</v>
      </c>
      <c r="CK32" s="198"/>
      <c r="CL32" s="132" t="s">
        <v>29</v>
      </c>
      <c r="CM32" s="150">
        <f>SUM(BZ32:CK32)/$CL$4</f>
        <v>69.818181818181813</v>
      </c>
      <c r="CN32" s="673">
        <f>AX32-AU32</f>
        <v>0.86956521739130466</v>
      </c>
      <c r="CO32" s="672">
        <f>CN32/AU32</f>
        <v>1.4492753623188411E-2</v>
      </c>
      <c r="CP32" s="673">
        <f>AY32-AX32</f>
        <v>-0.4095652173913038</v>
      </c>
      <c r="CQ32" s="672">
        <f>CP32/AX32</f>
        <v>-6.7285714285714197E-3</v>
      </c>
      <c r="CR32" s="673">
        <f>AZ32-AY32</f>
        <v>-0.46000000000000085</v>
      </c>
      <c r="CS32" s="672">
        <f>CR32/AY32</f>
        <v>-7.6083360899768578E-3</v>
      </c>
      <c r="CT32" s="673">
        <f>BA32-AZ32</f>
        <v>-1.0054347826086953</v>
      </c>
      <c r="CU32" s="672">
        <f>CT32/AZ32</f>
        <v>-1.6757246376811589E-2</v>
      </c>
      <c r="CV32" s="673">
        <f>BB32-BA32</f>
        <v>1.5434782608693354E-2</v>
      </c>
      <c r="CW32" s="672">
        <f>CV32/BA32</f>
        <v>2.6163058498383942E-4</v>
      </c>
      <c r="CX32" s="673">
        <f>BC32-BB32</f>
        <v>1.0399999999999991</v>
      </c>
      <c r="CY32" s="672">
        <f>CX32/BB32</f>
        <v>1.7624131503135049E-2</v>
      </c>
      <c r="CZ32" s="673">
        <f>BD32-BC32</f>
        <v>-2.8260869565215785E-2</v>
      </c>
      <c r="DA32" s="672">
        <f>CZ32/BC32</f>
        <v>-4.7062230749734862E-4</v>
      </c>
      <c r="DB32" s="673">
        <f>BE32-BD32</f>
        <v>0.12826086956521721</v>
      </c>
      <c r="DC32" s="672">
        <f>DB32/BD32</f>
        <v>2.1369069177834088E-3</v>
      </c>
      <c r="DD32" s="673">
        <f>BF32-BE32</f>
        <v>3.5821428571428626</v>
      </c>
      <c r="DE32" s="672">
        <f>DD32/BE32</f>
        <v>5.9553497209357653E-2</v>
      </c>
      <c r="DF32" s="673">
        <f>BG32-BF32</f>
        <v>-2.7321428571428612</v>
      </c>
      <c r="DG32" s="109">
        <f>DF32/BF32</f>
        <v>-4.2869151022695492E-2</v>
      </c>
      <c r="DH32" s="673">
        <f>BH32-BG32</f>
        <v>-0.98863636363636687</v>
      </c>
      <c r="DI32" s="672">
        <f>DH32/BG32</f>
        <v>-1.6207153502235522E-2</v>
      </c>
      <c r="DJ32" s="673">
        <f>BI32-BH32</f>
        <v>-1.1363636363633134E-2</v>
      </c>
      <c r="DK32" s="672">
        <f>DJ32/BH32</f>
        <v>-1.8935807612189279E-4</v>
      </c>
      <c r="DL32" s="673">
        <f>BL32-BI32</f>
        <v>1</v>
      </c>
      <c r="DM32" s="672">
        <f>DL32/BI32</f>
        <v>1.6666666666666666E-2</v>
      </c>
      <c r="DN32" s="324">
        <f>BM32-BL32</f>
        <v>1</v>
      </c>
      <c r="DO32" s="410">
        <f>DN32/BL32</f>
        <v>1.6393442622950821E-2</v>
      </c>
      <c r="DP32" s="324">
        <f>BN32-BM32</f>
        <v>1</v>
      </c>
      <c r="DQ32" s="410">
        <f>DP32/BM32</f>
        <v>1.6129032258064516E-2</v>
      </c>
      <c r="DR32" s="324">
        <f>BO32-BN32</f>
        <v>0</v>
      </c>
      <c r="DS32" s="410">
        <f>DR32/BN32</f>
        <v>0</v>
      </c>
      <c r="DT32" s="324">
        <f>BP32-BO32</f>
        <v>0</v>
      </c>
      <c r="DU32" s="410">
        <f>DT32/BO32</f>
        <v>0</v>
      </c>
      <c r="DV32" s="324">
        <f>BQ32-BP32</f>
        <v>-1</v>
      </c>
      <c r="DW32" s="410">
        <f>DV32/BP32</f>
        <v>-1.5873015873015872E-2</v>
      </c>
      <c r="DX32" s="324">
        <f>BR32-BQ32</f>
        <v>0</v>
      </c>
      <c r="DY32" s="410">
        <f>DX32/BQ32</f>
        <v>0</v>
      </c>
      <c r="DZ32" s="324">
        <f>BS32-BR32</f>
        <v>2</v>
      </c>
      <c r="EA32" s="410">
        <f>DZ32/BR32</f>
        <v>3.2258064516129031E-2</v>
      </c>
      <c r="EB32" s="324">
        <f>BT32-BS32</f>
        <v>-1</v>
      </c>
      <c r="EC32" s="410">
        <f>EB32/BS32</f>
        <v>-1.5625E-2</v>
      </c>
      <c r="ED32" s="324">
        <f>BU32-BT32</f>
        <v>1</v>
      </c>
      <c r="EE32" s="410">
        <f>ED32/BT32</f>
        <v>1.5873015873015872E-2</v>
      </c>
      <c r="EF32" s="324">
        <f>BV32-BU32</f>
        <v>0</v>
      </c>
      <c r="EG32" s="410">
        <f>EF32/BU32</f>
        <v>0</v>
      </c>
      <c r="EH32" s="324">
        <f>BW32-BV32</f>
        <v>0</v>
      </c>
      <c r="EI32" s="410">
        <f>EH32/BV32</f>
        <v>0</v>
      </c>
      <c r="EJ32" s="324">
        <f>BZ32-BW32</f>
        <v>-1</v>
      </c>
      <c r="EK32" s="410">
        <f>EJ32/BW32</f>
        <v>-1.5625E-2</v>
      </c>
      <c r="EL32" s="324">
        <f>CA32-BZ32</f>
        <v>0</v>
      </c>
      <c r="EM32" s="410">
        <f>EL32/BZ32</f>
        <v>0</v>
      </c>
      <c r="EN32" s="324">
        <f>CB32-CA32</f>
        <v>8</v>
      </c>
      <c r="EO32" s="410">
        <f>EN32/CA32</f>
        <v>0.12698412698412698</v>
      </c>
      <c r="EP32" s="324">
        <f>CC32-CB32</f>
        <v>-1</v>
      </c>
      <c r="EQ32" s="410">
        <f>EP32/CB32</f>
        <v>-1.4084507042253521E-2</v>
      </c>
      <c r="ER32" s="324">
        <f>CD32-CC32</f>
        <v>0</v>
      </c>
      <c r="ES32" s="410">
        <f>ER32/CC32</f>
        <v>0</v>
      </c>
      <c r="ET32" s="324">
        <f>CE32-CD32</f>
        <v>2</v>
      </c>
      <c r="EU32" s="410">
        <f>ET32/CD32</f>
        <v>2.8571428571428571E-2</v>
      </c>
      <c r="EV32" s="324">
        <f>CF32-CE32</f>
        <v>2</v>
      </c>
      <c r="EW32" s="410">
        <f>EV32/CE32</f>
        <v>2.7777777777777776E-2</v>
      </c>
      <c r="EX32" s="324">
        <f>CG32-CF32</f>
        <v>0</v>
      </c>
      <c r="EY32" s="410">
        <f>EX32/CF32</f>
        <v>0</v>
      </c>
      <c r="EZ32" s="324">
        <f>CH32-CG32</f>
        <v>0</v>
      </c>
      <c r="FA32" s="410">
        <f>EZ32/CG32</f>
        <v>0</v>
      </c>
      <c r="FB32" s="324">
        <f>CI32-CH32</f>
        <v>-6</v>
      </c>
      <c r="FC32" s="410">
        <f>FB32/CH32</f>
        <v>-8.1081081081081086E-2</v>
      </c>
      <c r="FD32" s="324">
        <f>CJ32-CI32</f>
        <v>1</v>
      </c>
      <c r="FE32" s="410">
        <f>FD32/CI32</f>
        <v>1.4705882352941176E-2</v>
      </c>
      <c r="FF32" s="324">
        <f>CK32-CJ32</f>
        <v>-69</v>
      </c>
      <c r="FG32" s="410">
        <f>FF32/CJ32</f>
        <v>-1</v>
      </c>
      <c r="FH32" s="217">
        <f>BV32</f>
        <v>64</v>
      </c>
      <c r="FI32" s="731">
        <f>CJ32</f>
        <v>69</v>
      </c>
      <c r="FJ32" s="673">
        <f>FI32-FH32</f>
        <v>5</v>
      </c>
      <c r="FK32" s="109">
        <f t="shared" ref="FK32:FK35" si="377">IF(ISERROR(FJ32/FH32),0,FJ32/FH32)</f>
        <v>7.8125E-2</v>
      </c>
      <c r="FL32" s="707"/>
      <c r="FM32" s="707"/>
      <c r="FN32" s="707"/>
      <c r="FO32" t="str">
        <f>E32</f>
        <v>Total Service Center Agents</v>
      </c>
      <c r="FP32" s="272" t="e">
        <f>#REF!</f>
        <v>#REF!</v>
      </c>
      <c r="FQ32" s="272" t="e">
        <f>#REF!</f>
        <v>#REF!</v>
      </c>
      <c r="FR32" s="272" t="e">
        <f>#REF!</f>
        <v>#REF!</v>
      </c>
      <c r="FS32" s="272" t="e">
        <f>#REF!</f>
        <v>#REF!</v>
      </c>
      <c r="FT32" s="272" t="e">
        <f>#REF!</f>
        <v>#REF!</v>
      </c>
      <c r="FU32" s="272" t="e">
        <f>#REF!</f>
        <v>#REF!</v>
      </c>
      <c r="FV32" s="272" t="e">
        <f>#REF!</f>
        <v>#REF!</v>
      </c>
      <c r="FW32" s="272" t="e">
        <f>#REF!</f>
        <v>#REF!</v>
      </c>
      <c r="FX32" s="272" t="e">
        <f>#REF!</f>
        <v>#REF!</v>
      </c>
      <c r="FY32" s="272" t="e">
        <f>#REF!</f>
        <v>#REF!</v>
      </c>
      <c r="FZ32" s="272" t="e">
        <f>#REF!</f>
        <v>#REF!</v>
      </c>
      <c r="GA32" s="273">
        <f t="shared" ref="GA32:GL32" si="378">AJ32</f>
        <v>57.15</v>
      </c>
      <c r="GB32" s="273">
        <f t="shared" si="378"/>
        <v>56.03</v>
      </c>
      <c r="GC32" s="273">
        <f t="shared" si="378"/>
        <v>56.07</v>
      </c>
      <c r="GD32" s="273">
        <f t="shared" si="378"/>
        <v>60.02</v>
      </c>
      <c r="GE32" s="273">
        <f t="shared" si="378"/>
        <v>61.04</v>
      </c>
      <c r="GF32" s="273">
        <f t="shared" si="378"/>
        <v>60.03</v>
      </c>
      <c r="GG32" s="273">
        <f t="shared" si="378"/>
        <v>60</v>
      </c>
      <c r="GH32" s="273">
        <f t="shared" si="378"/>
        <v>61.02</v>
      </c>
      <c r="GI32" s="273">
        <f t="shared" si="378"/>
        <v>63</v>
      </c>
      <c r="GJ32" s="273">
        <f t="shared" si="378"/>
        <v>59</v>
      </c>
      <c r="GK32" s="273">
        <f t="shared" si="378"/>
        <v>62.02</v>
      </c>
      <c r="GL32" s="273">
        <f t="shared" si="378"/>
        <v>60</v>
      </c>
      <c r="GM32" s="273">
        <f t="shared" ref="GM32:GQ35" si="379">AX32</f>
        <v>60.869565217391305</v>
      </c>
      <c r="GN32" s="273">
        <f t="shared" si="379"/>
        <v>60.46</v>
      </c>
      <c r="GO32" s="273">
        <f t="shared" si="379"/>
        <v>60</v>
      </c>
      <c r="GP32" s="273">
        <f t="shared" si="379"/>
        <v>58.994565217391305</v>
      </c>
      <c r="GQ32" s="273">
        <f t="shared" si="379"/>
        <v>59.01</v>
      </c>
      <c r="GR32" s="273">
        <f>BC32</f>
        <v>60.05</v>
      </c>
      <c r="GS32" s="273">
        <f t="shared" ref="GS32:GX35" si="380">BD32</f>
        <v>60.021739130434781</v>
      </c>
      <c r="GT32" s="273">
        <f t="shared" si="380"/>
        <v>60.15</v>
      </c>
      <c r="GU32" s="273">
        <f t="shared" si="380"/>
        <v>63.732142857142861</v>
      </c>
      <c r="GV32" s="273">
        <f t="shared" si="380"/>
        <v>61</v>
      </c>
      <c r="GW32" s="273">
        <f t="shared" si="380"/>
        <v>60.011363636363633</v>
      </c>
      <c r="GX32" s="273">
        <f t="shared" si="380"/>
        <v>60</v>
      </c>
      <c r="GY32" s="827">
        <f t="shared" ref="GY32:HJ35" si="381">BL32</f>
        <v>61</v>
      </c>
      <c r="GZ32" s="827">
        <f t="shared" si="381"/>
        <v>62</v>
      </c>
      <c r="HA32" s="827">
        <f t="shared" si="381"/>
        <v>63</v>
      </c>
      <c r="HB32" s="827">
        <f t="shared" si="381"/>
        <v>63</v>
      </c>
      <c r="HC32" s="827">
        <f t="shared" si="381"/>
        <v>63</v>
      </c>
      <c r="HD32" s="827">
        <f t="shared" si="381"/>
        <v>62</v>
      </c>
      <c r="HE32" s="827">
        <f t="shared" si="381"/>
        <v>62</v>
      </c>
      <c r="HF32" s="827">
        <f t="shared" si="381"/>
        <v>64</v>
      </c>
      <c r="HG32" s="827">
        <f t="shared" si="381"/>
        <v>63</v>
      </c>
      <c r="HH32" s="827">
        <f t="shared" si="381"/>
        <v>64</v>
      </c>
      <c r="HI32" s="827">
        <f t="shared" si="381"/>
        <v>64</v>
      </c>
      <c r="HJ32" s="827">
        <f t="shared" si="381"/>
        <v>64</v>
      </c>
      <c r="HK32" s="955">
        <f>BZ32</f>
        <v>63</v>
      </c>
      <c r="HL32" s="955">
        <f t="shared" ref="HL32:HV35" si="382">CA32</f>
        <v>63</v>
      </c>
      <c r="HM32" s="955">
        <f t="shared" si="382"/>
        <v>71</v>
      </c>
      <c r="HN32" s="955">
        <f t="shared" si="382"/>
        <v>70</v>
      </c>
      <c r="HO32" s="955">
        <f t="shared" si="382"/>
        <v>70</v>
      </c>
      <c r="HP32" s="955">
        <f t="shared" si="382"/>
        <v>72</v>
      </c>
      <c r="HQ32" s="955">
        <f t="shared" si="382"/>
        <v>74</v>
      </c>
      <c r="HR32" s="955">
        <f t="shared" si="382"/>
        <v>74</v>
      </c>
      <c r="HS32" s="955">
        <f t="shared" si="382"/>
        <v>74</v>
      </c>
      <c r="HT32" s="955">
        <f t="shared" si="382"/>
        <v>68</v>
      </c>
      <c r="HU32" s="955">
        <f t="shared" si="382"/>
        <v>69</v>
      </c>
      <c r="HV32" s="955">
        <f t="shared" si="382"/>
        <v>0</v>
      </c>
    </row>
    <row r="33" spans="1:230" s="32" customFormat="1" x14ac:dyDescent="0.25">
      <c r="A33" s="802"/>
      <c r="B33" s="56"/>
      <c r="C33" s="76" t="s">
        <v>228</v>
      </c>
      <c r="D33" s="455"/>
      <c r="E33" s="848" t="s">
        <v>230</v>
      </c>
      <c r="F33" s="848"/>
      <c r="G33" s="849"/>
      <c r="H33" s="851"/>
      <c r="I33" s="852"/>
      <c r="J33" s="853"/>
      <c r="K33" s="852"/>
      <c r="L33" s="853"/>
      <c r="M33" s="852"/>
      <c r="N33" s="853"/>
      <c r="O33" s="852"/>
      <c r="P33" s="853"/>
      <c r="Q33" s="852"/>
      <c r="R33" s="853"/>
      <c r="S33" s="852"/>
      <c r="T33" s="176"/>
      <c r="U33" s="854"/>
      <c r="V33" s="851"/>
      <c r="W33" s="852"/>
      <c r="X33" s="853"/>
      <c r="Y33" s="852"/>
      <c r="Z33" s="853"/>
      <c r="AA33" s="852"/>
      <c r="AB33" s="853"/>
      <c r="AC33" s="852"/>
      <c r="AD33" s="853"/>
      <c r="AE33" s="852"/>
      <c r="AF33" s="853"/>
      <c r="AG33" s="852"/>
      <c r="AH33" s="176"/>
      <c r="AI33" s="854"/>
      <c r="AJ33" s="851">
        <v>16</v>
      </c>
      <c r="AK33" s="852">
        <v>16</v>
      </c>
      <c r="AL33" s="853">
        <v>16</v>
      </c>
      <c r="AM33" s="852">
        <v>16</v>
      </c>
      <c r="AN33" s="853">
        <v>16</v>
      </c>
      <c r="AO33" s="852">
        <v>16</v>
      </c>
      <c r="AP33" s="855">
        <v>16</v>
      </c>
      <c r="AQ33" s="852">
        <v>16</v>
      </c>
      <c r="AR33" s="855">
        <v>16</v>
      </c>
      <c r="AS33" s="852">
        <v>16</v>
      </c>
      <c r="AT33" s="855">
        <v>16</v>
      </c>
      <c r="AU33" s="852">
        <v>16</v>
      </c>
      <c r="AV33" s="176" t="s">
        <v>29</v>
      </c>
      <c r="AW33" s="854">
        <v>16</v>
      </c>
      <c r="AX33" s="851">
        <v>16</v>
      </c>
      <c r="AY33" s="852">
        <v>16</v>
      </c>
      <c r="AZ33" s="853">
        <v>16</v>
      </c>
      <c r="BA33" s="852">
        <v>16</v>
      </c>
      <c r="BB33" s="853">
        <v>16</v>
      </c>
      <c r="BC33" s="852">
        <v>16</v>
      </c>
      <c r="BD33" s="855">
        <v>16</v>
      </c>
      <c r="BE33" s="852">
        <v>16</v>
      </c>
      <c r="BF33" s="855">
        <v>16</v>
      </c>
      <c r="BG33" s="862">
        <v>16</v>
      </c>
      <c r="BH33" s="863">
        <v>16</v>
      </c>
      <c r="BI33" s="852">
        <v>16</v>
      </c>
      <c r="BJ33" s="176" t="s">
        <v>29</v>
      </c>
      <c r="BK33" s="854">
        <f>SUM(AX33:BI33)/$BJ$4</f>
        <v>16</v>
      </c>
      <c r="BL33" s="851">
        <v>16</v>
      </c>
      <c r="BM33" s="852">
        <v>16</v>
      </c>
      <c r="BN33" s="853">
        <v>16</v>
      </c>
      <c r="BO33" s="852">
        <v>16</v>
      </c>
      <c r="BP33" s="853">
        <v>16</v>
      </c>
      <c r="BQ33" s="852">
        <v>16</v>
      </c>
      <c r="BR33" s="855">
        <v>16</v>
      </c>
      <c r="BS33" s="852">
        <v>16</v>
      </c>
      <c r="BT33" s="855">
        <v>16</v>
      </c>
      <c r="BU33" s="855">
        <v>16</v>
      </c>
      <c r="BV33" s="855">
        <v>16</v>
      </c>
      <c r="BW33" s="855">
        <v>16</v>
      </c>
      <c r="BX33" s="931" t="s">
        <v>29</v>
      </c>
      <c r="BY33" s="854">
        <f>SUM(BL33:BW33)/$BX$4</f>
        <v>16</v>
      </c>
      <c r="BZ33" s="855">
        <v>14</v>
      </c>
      <c r="CA33" s="852">
        <v>14</v>
      </c>
      <c r="CB33" s="853">
        <v>15</v>
      </c>
      <c r="CC33" s="852">
        <v>14</v>
      </c>
      <c r="CD33" s="853">
        <v>16</v>
      </c>
      <c r="CE33" s="852">
        <v>16</v>
      </c>
      <c r="CF33" s="855">
        <v>16</v>
      </c>
      <c r="CG33" s="852">
        <v>16</v>
      </c>
      <c r="CH33" s="855">
        <v>16</v>
      </c>
      <c r="CI33" s="855">
        <v>16</v>
      </c>
      <c r="CJ33" s="855">
        <v>16</v>
      </c>
      <c r="CK33" s="855"/>
      <c r="CL33" s="931" t="s">
        <v>29</v>
      </c>
      <c r="CM33" s="854">
        <f>SUM(BZ33:CK33)/$CL$4</f>
        <v>15.363636363636363</v>
      </c>
      <c r="CN33" s="857"/>
      <c r="CO33" s="678"/>
      <c r="CP33" s="857"/>
      <c r="CQ33" s="678"/>
      <c r="CR33" s="857"/>
      <c r="CS33" s="678"/>
      <c r="CT33" s="857"/>
      <c r="CU33" s="678"/>
      <c r="CV33" s="857"/>
      <c r="CW33" s="678"/>
      <c r="CX33" s="857"/>
      <c r="CY33" s="678"/>
      <c r="CZ33" s="857"/>
      <c r="DA33" s="678"/>
      <c r="DB33" s="857"/>
      <c r="DC33" s="678"/>
      <c r="DD33" s="857"/>
      <c r="DE33" s="678"/>
      <c r="DF33" s="857"/>
      <c r="DG33" s="117"/>
      <c r="DH33" s="857">
        <f>BH33-BG33</f>
        <v>0</v>
      </c>
      <c r="DI33" s="678">
        <f>DH33/BG33</f>
        <v>0</v>
      </c>
      <c r="DJ33" s="857">
        <f>BI33-BH33</f>
        <v>0</v>
      </c>
      <c r="DK33" s="678">
        <f>DJ33/BH33</f>
        <v>0</v>
      </c>
      <c r="DL33" s="857">
        <f>BL33-BI33</f>
        <v>0</v>
      </c>
      <c r="DM33" s="678">
        <f>DL33/BI33</f>
        <v>0</v>
      </c>
      <c r="DN33" s="856">
        <f>BM33-BL33</f>
        <v>0</v>
      </c>
      <c r="DO33" s="412">
        <f>DN33/BL33</f>
        <v>0</v>
      </c>
      <c r="DP33" s="856">
        <f>BN33-BM33</f>
        <v>0</v>
      </c>
      <c r="DQ33" s="412">
        <f>DP33/BM33</f>
        <v>0</v>
      </c>
      <c r="DR33" s="856">
        <f>BO33-BN33</f>
        <v>0</v>
      </c>
      <c r="DS33" s="412">
        <f>DR33/BN33</f>
        <v>0</v>
      </c>
      <c r="DT33" s="856">
        <f>BP33-BO33</f>
        <v>0</v>
      </c>
      <c r="DU33" s="412">
        <f>DT33/BO33</f>
        <v>0</v>
      </c>
      <c r="DV33" s="856">
        <f>BQ33-BP33</f>
        <v>0</v>
      </c>
      <c r="DW33" s="412">
        <f>DV33/BP33</f>
        <v>0</v>
      </c>
      <c r="DX33" s="856">
        <f>BR33-BQ33</f>
        <v>0</v>
      </c>
      <c r="DY33" s="412">
        <f>DX33/BQ33</f>
        <v>0</v>
      </c>
      <c r="DZ33" s="856">
        <f>BS33-BR33</f>
        <v>0</v>
      </c>
      <c r="EA33" s="412">
        <f>DZ33/BR33</f>
        <v>0</v>
      </c>
      <c r="EB33" s="856">
        <f>BT33-BS33</f>
        <v>0</v>
      </c>
      <c r="EC33" s="412">
        <f>EB33/BS33</f>
        <v>0</v>
      </c>
      <c r="ED33" s="856">
        <f>BU33-BT33</f>
        <v>0</v>
      </c>
      <c r="EE33" s="412">
        <f>ED33/BT33</f>
        <v>0</v>
      </c>
      <c r="EF33" s="856">
        <f>BV33-BU33</f>
        <v>0</v>
      </c>
      <c r="EG33" s="412">
        <f>EF33/BU33</f>
        <v>0</v>
      </c>
      <c r="EH33" s="856">
        <f>BW33-BV33</f>
        <v>0</v>
      </c>
      <c r="EI33" s="412">
        <f>EH33/BV33</f>
        <v>0</v>
      </c>
      <c r="EJ33" s="856">
        <f>BZ33-BW33</f>
        <v>-2</v>
      </c>
      <c r="EK33" s="412">
        <f>EJ33/BW33</f>
        <v>-0.125</v>
      </c>
      <c r="EL33" s="856">
        <f>CA33-BZ33</f>
        <v>0</v>
      </c>
      <c r="EM33" s="412">
        <f>EL33/BZ33</f>
        <v>0</v>
      </c>
      <c r="EN33" s="856">
        <f>CB33-CA33</f>
        <v>1</v>
      </c>
      <c r="EO33" s="412">
        <f>EN33/CA33</f>
        <v>7.1428571428571425E-2</v>
      </c>
      <c r="EP33" s="856">
        <f>CC33-CB33</f>
        <v>-1</v>
      </c>
      <c r="EQ33" s="412">
        <f>EP33/CB33</f>
        <v>-6.6666666666666666E-2</v>
      </c>
      <c r="ER33" s="856">
        <f>CD33-CC33</f>
        <v>2</v>
      </c>
      <c r="ES33" s="412">
        <f>ER33/CC33</f>
        <v>0.14285714285714285</v>
      </c>
      <c r="ET33" s="856">
        <f>CE33-CD33</f>
        <v>0</v>
      </c>
      <c r="EU33" s="412">
        <f>ET33/CD33</f>
        <v>0</v>
      </c>
      <c r="EV33" s="856">
        <f>CF33-CE33</f>
        <v>0</v>
      </c>
      <c r="EW33" s="412">
        <f>EV33/CE33</f>
        <v>0</v>
      </c>
      <c r="EX33" s="856">
        <f>CG33-CF33</f>
        <v>0</v>
      </c>
      <c r="EY33" s="412">
        <f>EX33/CF33</f>
        <v>0</v>
      </c>
      <c r="EZ33" s="856">
        <f>CH33-CG33</f>
        <v>0</v>
      </c>
      <c r="FA33" s="412">
        <f>EZ33/CG33</f>
        <v>0</v>
      </c>
      <c r="FB33" s="856">
        <f>CI33-CH33</f>
        <v>0</v>
      </c>
      <c r="FC33" s="412">
        <f>FB33/CH33</f>
        <v>0</v>
      </c>
      <c r="FD33" s="856">
        <f>CJ33-CI33</f>
        <v>0</v>
      </c>
      <c r="FE33" s="412">
        <f>FD33/CI33</f>
        <v>0</v>
      </c>
      <c r="FF33" s="856">
        <f>CK33-CJ33</f>
        <v>-16</v>
      </c>
      <c r="FG33" s="412">
        <f>FF33/CJ33</f>
        <v>-1</v>
      </c>
      <c r="FH33" s="858">
        <v>16</v>
      </c>
      <c r="FI33" s="859">
        <v>16</v>
      </c>
      <c r="FJ33" s="857">
        <f>FI33-FH33</f>
        <v>0</v>
      </c>
      <c r="FK33" s="117">
        <f t="shared" si="377"/>
        <v>0</v>
      </c>
      <c r="FL33" s="711"/>
      <c r="FM33" s="711"/>
      <c r="FN33" s="711"/>
      <c r="FO33" s="864" t="str">
        <f>E33</f>
        <v>Number Tier 1/Tier 2 Call Agents</v>
      </c>
      <c r="FP33" s="860"/>
      <c r="FQ33" s="860"/>
      <c r="FR33" s="860"/>
      <c r="FS33" s="860"/>
      <c r="FT33" s="860"/>
      <c r="FU33" s="860"/>
      <c r="FV33" s="860"/>
      <c r="FW33" s="860"/>
      <c r="FX33" s="860"/>
      <c r="FY33" s="860"/>
      <c r="FZ33" s="860"/>
      <c r="GA33" s="861"/>
      <c r="GB33" s="861"/>
      <c r="GC33" s="861"/>
      <c r="GD33" s="861"/>
      <c r="GE33" s="861"/>
      <c r="GF33" s="861"/>
      <c r="GG33" s="861"/>
      <c r="GH33" s="861"/>
      <c r="GI33" s="861"/>
      <c r="GJ33" s="861"/>
      <c r="GK33" s="861"/>
      <c r="GL33" s="861">
        <f>AU33</f>
        <v>16</v>
      </c>
      <c r="GM33" s="861">
        <f t="shared" si="379"/>
        <v>16</v>
      </c>
      <c r="GN33" s="861">
        <f t="shared" si="379"/>
        <v>16</v>
      </c>
      <c r="GO33" s="861">
        <f t="shared" si="379"/>
        <v>16</v>
      </c>
      <c r="GP33" s="861">
        <f t="shared" si="379"/>
        <v>16</v>
      </c>
      <c r="GQ33" s="861">
        <f t="shared" si="379"/>
        <v>16</v>
      </c>
      <c r="GR33" s="861">
        <f>BC33</f>
        <v>16</v>
      </c>
      <c r="GS33" s="861">
        <f t="shared" si="380"/>
        <v>16</v>
      </c>
      <c r="GT33" s="861">
        <f t="shared" si="380"/>
        <v>16</v>
      </c>
      <c r="GU33" s="861">
        <f t="shared" si="380"/>
        <v>16</v>
      </c>
      <c r="GV33" s="861">
        <f t="shared" si="380"/>
        <v>16</v>
      </c>
      <c r="GW33" s="861">
        <f t="shared" si="380"/>
        <v>16</v>
      </c>
      <c r="GX33" s="273">
        <f t="shared" si="380"/>
        <v>16</v>
      </c>
      <c r="GY33" s="827">
        <f t="shared" si="381"/>
        <v>16</v>
      </c>
      <c r="GZ33" s="827">
        <f t="shared" si="381"/>
        <v>16</v>
      </c>
      <c r="HA33" s="827">
        <f t="shared" si="381"/>
        <v>16</v>
      </c>
      <c r="HB33" s="827">
        <f t="shared" si="381"/>
        <v>16</v>
      </c>
      <c r="HC33" s="827">
        <f t="shared" si="381"/>
        <v>16</v>
      </c>
      <c r="HD33" s="827">
        <f t="shared" si="381"/>
        <v>16</v>
      </c>
      <c r="HE33" s="827">
        <f t="shared" si="381"/>
        <v>16</v>
      </c>
      <c r="HF33" s="827">
        <f t="shared" si="381"/>
        <v>16</v>
      </c>
      <c r="HG33" s="827">
        <f t="shared" si="381"/>
        <v>16</v>
      </c>
      <c r="HH33" s="827">
        <f t="shared" si="381"/>
        <v>16</v>
      </c>
      <c r="HI33" s="827">
        <f t="shared" si="381"/>
        <v>16</v>
      </c>
      <c r="HJ33" s="827">
        <f t="shared" si="381"/>
        <v>16</v>
      </c>
      <c r="HK33" s="955">
        <f>BZ33</f>
        <v>14</v>
      </c>
      <c r="HL33" s="955">
        <f t="shared" si="382"/>
        <v>14</v>
      </c>
      <c r="HM33" s="955">
        <f t="shared" si="382"/>
        <v>15</v>
      </c>
      <c r="HN33" s="955">
        <f t="shared" si="382"/>
        <v>14</v>
      </c>
      <c r="HO33" s="955">
        <f t="shared" si="382"/>
        <v>16</v>
      </c>
      <c r="HP33" s="955">
        <f t="shared" si="382"/>
        <v>16</v>
      </c>
      <c r="HQ33" s="955">
        <f t="shared" si="382"/>
        <v>16</v>
      </c>
      <c r="HR33" s="955">
        <f t="shared" si="382"/>
        <v>16</v>
      </c>
      <c r="HS33" s="955">
        <f t="shared" si="382"/>
        <v>16</v>
      </c>
      <c r="HT33" s="955">
        <f t="shared" si="382"/>
        <v>16</v>
      </c>
      <c r="HU33" s="955">
        <f t="shared" si="382"/>
        <v>16</v>
      </c>
      <c r="HV33" s="955">
        <f t="shared" si="382"/>
        <v>0</v>
      </c>
    </row>
    <row r="34" spans="1:230" s="93" customFormat="1" x14ac:dyDescent="0.25">
      <c r="A34" s="804"/>
      <c r="B34" s="85">
        <v>4.2</v>
      </c>
      <c r="C34" s="87"/>
      <c r="D34" s="459"/>
      <c r="E34" s="1068" t="s">
        <v>231</v>
      </c>
      <c r="F34" s="1068"/>
      <c r="G34" s="1069"/>
      <c r="H34" s="388">
        <v>72.5625</v>
      </c>
      <c r="I34" s="92">
        <v>66.857142857142861</v>
      </c>
      <c r="J34" s="91">
        <v>66.777777777777771</v>
      </c>
      <c r="K34" s="92">
        <v>84.634920634920633</v>
      </c>
      <c r="L34" s="91">
        <v>66.847999999999999</v>
      </c>
      <c r="M34" s="92">
        <v>69.533011272141707</v>
      </c>
      <c r="N34" s="91">
        <v>72.850746268656721</v>
      </c>
      <c r="O34" s="92">
        <v>71.484848484848484</v>
      </c>
      <c r="P34" s="91">
        <v>61.417910447761194</v>
      </c>
      <c r="Q34" s="92">
        <v>53.090909090909093</v>
      </c>
      <c r="R34" s="91">
        <v>68.985074626865668</v>
      </c>
      <c r="S34" s="92">
        <v>70.883280757097793</v>
      </c>
      <c r="T34" s="135" t="s">
        <v>29</v>
      </c>
      <c r="U34" s="155">
        <v>68.82717685151016</v>
      </c>
      <c r="V34" s="388">
        <f t="shared" ref="V34:Y34" si="383">V13/V32</f>
        <v>64.225122349102776</v>
      </c>
      <c r="W34" s="92">
        <f t="shared" si="383"/>
        <v>64.56294846705805</v>
      </c>
      <c r="X34" s="91">
        <f t="shared" si="383"/>
        <v>58.093313121104934</v>
      </c>
      <c r="Y34" s="92">
        <f t="shared" si="383"/>
        <v>71.634615384615387</v>
      </c>
      <c r="Z34" s="91">
        <v>58.504641909814325</v>
      </c>
      <c r="AA34" s="92">
        <v>59.575856443719417</v>
      </c>
      <c r="AB34" s="91">
        <v>72.027169811320761</v>
      </c>
      <c r="AC34" s="92">
        <v>68.877982738195968</v>
      </c>
      <c r="AD34" s="91">
        <v>74.358544356867341</v>
      </c>
      <c r="AE34" s="92">
        <v>62.933146657332863</v>
      </c>
      <c r="AF34" s="91">
        <v>57.100532990259147</v>
      </c>
      <c r="AG34" s="92">
        <v>53.519720419370941</v>
      </c>
      <c r="AH34" s="135" t="s">
        <v>29</v>
      </c>
      <c r="AI34" s="155">
        <v>63.784466220730167</v>
      </c>
      <c r="AJ34" s="388">
        <f>AJ13/AJ33</f>
        <v>230.6875</v>
      </c>
      <c r="AK34" s="92">
        <f t="shared" ref="AK34:AU34" si="384">AK13/AK33</f>
        <v>239.625</v>
      </c>
      <c r="AL34" s="91">
        <f t="shared" si="384"/>
        <v>200.4375</v>
      </c>
      <c r="AM34" s="92">
        <f t="shared" si="384"/>
        <v>415.3125</v>
      </c>
      <c r="AN34" s="91">
        <f t="shared" si="384"/>
        <v>233.375</v>
      </c>
      <c r="AO34" s="92">
        <f t="shared" si="384"/>
        <v>210.125</v>
      </c>
      <c r="AP34" s="218">
        <f t="shared" si="384"/>
        <v>271.3125</v>
      </c>
      <c r="AQ34" s="92">
        <f t="shared" si="384"/>
        <v>254.6875</v>
      </c>
      <c r="AR34" s="218">
        <f t="shared" si="384"/>
        <v>218.75</v>
      </c>
      <c r="AS34" s="92">
        <f t="shared" si="384"/>
        <v>236.5</v>
      </c>
      <c r="AT34" s="218">
        <f t="shared" si="384"/>
        <v>350.5</v>
      </c>
      <c r="AU34" s="92">
        <f t="shared" si="384"/>
        <v>242.1875</v>
      </c>
      <c r="AV34" s="135" t="s">
        <v>29</v>
      </c>
      <c r="AW34" s="155">
        <f>SUM(AJ34:AU34)/$AV$4</f>
        <v>258.625</v>
      </c>
      <c r="AX34" s="388">
        <f t="shared" ref="AX34:BE34" si="385">AX13/AX33</f>
        <v>268.1875</v>
      </c>
      <c r="AY34" s="92">
        <f t="shared" si="385"/>
        <v>259.75</v>
      </c>
      <c r="AZ34" s="91">
        <f t="shared" si="385"/>
        <v>330.5625</v>
      </c>
      <c r="BA34" s="92">
        <f t="shared" si="385"/>
        <v>967.1875</v>
      </c>
      <c r="BB34" s="91">
        <f t="shared" si="385"/>
        <v>402.3125</v>
      </c>
      <c r="BC34" s="92">
        <f t="shared" si="385"/>
        <v>336.1875</v>
      </c>
      <c r="BD34" s="218">
        <f t="shared" si="385"/>
        <v>369.4375</v>
      </c>
      <c r="BE34" s="92">
        <f t="shared" si="385"/>
        <v>259.375</v>
      </c>
      <c r="BF34" s="218">
        <f>BF13/BF33</f>
        <v>244.75</v>
      </c>
      <c r="BG34" s="92">
        <f>BG13/BG33</f>
        <v>231.6875</v>
      </c>
      <c r="BH34" s="218">
        <f>BH13/BH33</f>
        <v>220.8125</v>
      </c>
      <c r="BI34" s="92">
        <f>BI13/BI33</f>
        <v>232.875</v>
      </c>
      <c r="BJ34" s="135" t="s">
        <v>29</v>
      </c>
      <c r="BK34" s="155">
        <f>SUM(AX34:BI34)/$BJ$4</f>
        <v>343.59375</v>
      </c>
      <c r="BL34" s="388">
        <f t="shared" ref="BL34:BQ34" si="386">BL13/BL33</f>
        <v>250.0625</v>
      </c>
      <c r="BM34" s="92">
        <f t="shared" si="386"/>
        <v>234.9375</v>
      </c>
      <c r="BN34" s="910">
        <f t="shared" si="386"/>
        <v>263.75</v>
      </c>
      <c r="BO34" s="92">
        <f t="shared" si="386"/>
        <v>725.875</v>
      </c>
      <c r="BP34" s="91">
        <f t="shared" si="386"/>
        <v>232.5</v>
      </c>
      <c r="BQ34" s="92">
        <f t="shared" si="386"/>
        <v>244.75</v>
      </c>
      <c r="BR34" s="218">
        <f t="shared" ref="BR34" si="387">BR13/BR33</f>
        <v>312.5625</v>
      </c>
      <c r="BS34" s="92">
        <f t="shared" ref="BS34:BT34" si="388">BS13/BS33</f>
        <v>244.75</v>
      </c>
      <c r="BT34" s="218">
        <f t="shared" si="388"/>
        <v>264.5</v>
      </c>
      <c r="BU34" s="218">
        <f t="shared" ref="BU34:BV34" si="389">BU13/BU33</f>
        <v>309.875</v>
      </c>
      <c r="BV34" s="218">
        <f t="shared" si="389"/>
        <v>219.1875</v>
      </c>
      <c r="BW34" s="218">
        <f t="shared" ref="BW34" si="390">BW13/BW33</f>
        <v>220</v>
      </c>
      <c r="BX34" s="135" t="s">
        <v>29</v>
      </c>
      <c r="BY34" s="155">
        <f>SUM(BL34:BW34)/$BX$4</f>
        <v>293.5625</v>
      </c>
      <c r="BZ34" s="218">
        <f t="shared" ref="BZ34:CA34" si="391">BZ13/BZ33</f>
        <v>239</v>
      </c>
      <c r="CA34" s="92">
        <f t="shared" si="391"/>
        <v>217.21428571428572</v>
      </c>
      <c r="CB34" s="910">
        <f t="shared" ref="CB34:CC34" si="392">CB13/CB33</f>
        <v>227.46666666666667</v>
      </c>
      <c r="CC34" s="92">
        <f t="shared" si="392"/>
        <v>285.07142857142856</v>
      </c>
      <c r="CD34" s="91">
        <f t="shared" ref="CD34:CE34" si="393">CD13/CD33</f>
        <v>230</v>
      </c>
      <c r="CE34" s="92">
        <f t="shared" si="393"/>
        <v>225.5625</v>
      </c>
      <c r="CF34" s="218">
        <f t="shared" ref="CF34:CG34" si="394">CF13/CF33</f>
        <v>228.1875</v>
      </c>
      <c r="CG34" s="92">
        <f t="shared" si="394"/>
        <v>247.875</v>
      </c>
      <c r="CH34" s="218">
        <f t="shared" ref="CH34:CI34" si="395">CH13/CH33</f>
        <v>226.875</v>
      </c>
      <c r="CI34" s="218">
        <f t="shared" si="395"/>
        <v>198.875</v>
      </c>
      <c r="CJ34" s="218">
        <f t="shared" ref="CJ34" si="396">CJ13/CJ33</f>
        <v>189.9375</v>
      </c>
      <c r="CK34" s="218"/>
      <c r="CL34" s="135" t="s">
        <v>29</v>
      </c>
      <c r="CM34" s="155">
        <f>SUM(BZ34:CK34)/$CL$4</f>
        <v>228.733170995671</v>
      </c>
      <c r="CN34" s="673">
        <f>AX34-AU34</f>
        <v>26</v>
      </c>
      <c r="CO34" s="672">
        <f>CN34/AU34</f>
        <v>0.10735483870967742</v>
      </c>
      <c r="CP34" s="673">
        <f>AY34-AX34</f>
        <v>-8.4375</v>
      </c>
      <c r="CQ34" s="672">
        <f>CP34/AX34</f>
        <v>-3.1461197855977625E-2</v>
      </c>
      <c r="CR34" s="673">
        <f>AZ34-AY34</f>
        <v>70.8125</v>
      </c>
      <c r="CS34" s="672">
        <f>CR34/AY34</f>
        <v>0.2726179018286814</v>
      </c>
      <c r="CT34" s="673">
        <f>BA34-AZ34</f>
        <v>636.625</v>
      </c>
      <c r="CU34" s="672">
        <f>CT34/AZ34</f>
        <v>1.9258839100018907</v>
      </c>
      <c r="CV34" s="673">
        <f>BB34-BA34</f>
        <v>-564.875</v>
      </c>
      <c r="CW34" s="672">
        <f>CV34/BA34</f>
        <v>-0.58403877221324718</v>
      </c>
      <c r="CX34" s="673">
        <f>BC34-BB34</f>
        <v>-66.125</v>
      </c>
      <c r="CY34" s="672">
        <f>CX34/BB34</f>
        <v>-0.1643622805654808</v>
      </c>
      <c r="CZ34" s="673">
        <f>BD34-BC34</f>
        <v>33.25</v>
      </c>
      <c r="DA34" s="672">
        <f>CZ34/BC34</f>
        <v>9.8903141847927117E-2</v>
      </c>
      <c r="DB34" s="673">
        <f>BE34-BD34</f>
        <v>-110.0625</v>
      </c>
      <c r="DC34" s="672">
        <f>DB34/BD34</f>
        <v>-0.29791913381830487</v>
      </c>
      <c r="DD34" s="673">
        <f>BF34-BE34</f>
        <v>-14.625</v>
      </c>
      <c r="DE34" s="672">
        <f>DD34/BE34</f>
        <v>-5.6385542168674696E-2</v>
      </c>
      <c r="DF34" s="673">
        <f>BG34-BF34</f>
        <v>-13.0625</v>
      </c>
      <c r="DG34" s="109">
        <f>DF34/BF34</f>
        <v>-5.3370786516853931E-2</v>
      </c>
      <c r="DH34" s="673">
        <f>BH34-BG34</f>
        <v>-10.875</v>
      </c>
      <c r="DI34" s="672">
        <f>DH34/BG34</f>
        <v>-4.6938224979768003E-2</v>
      </c>
      <c r="DJ34" s="673">
        <f>BI34-BH34</f>
        <v>12.0625</v>
      </c>
      <c r="DK34" s="672">
        <f>DJ34/BH34</f>
        <v>5.4627795075007077E-2</v>
      </c>
      <c r="DL34" s="673">
        <f>BL34-BI34</f>
        <v>17.1875</v>
      </c>
      <c r="DM34" s="672">
        <f>DL34/BI34</f>
        <v>7.3805689747718728E-2</v>
      </c>
      <c r="DN34" s="324">
        <f>BM34-BL34</f>
        <v>-15.125</v>
      </c>
      <c r="DO34" s="410">
        <f>DN34/BL34</f>
        <v>-6.0484878780304924E-2</v>
      </c>
      <c r="DP34" s="324">
        <f>BN34-BM34</f>
        <v>28.8125</v>
      </c>
      <c r="DQ34" s="410">
        <f>DP34/BM34</f>
        <v>0.1226389997339718</v>
      </c>
      <c r="DR34" s="324">
        <f>BO34-BN34</f>
        <v>462.125</v>
      </c>
      <c r="DS34" s="410">
        <f>DR34/BN34</f>
        <v>1.7521327014218009</v>
      </c>
      <c r="DT34" s="324">
        <f>BP34-BO34</f>
        <v>-493.375</v>
      </c>
      <c r="DU34" s="410">
        <f>DT34/BO34</f>
        <v>-0.67969691751334593</v>
      </c>
      <c r="DV34" s="324">
        <f>BQ34-BP34</f>
        <v>12.25</v>
      </c>
      <c r="DW34" s="410">
        <f>DV34/BP34</f>
        <v>5.2688172043010753E-2</v>
      </c>
      <c r="DX34" s="324">
        <f>BR34-BQ34</f>
        <v>67.8125</v>
      </c>
      <c r="DY34" s="410">
        <f>DX34/BQ34</f>
        <v>0.27706843718079671</v>
      </c>
      <c r="DZ34" s="324">
        <f>BS34-BR34</f>
        <v>-67.8125</v>
      </c>
      <c r="EA34" s="410">
        <f>DZ34/BR34</f>
        <v>-0.21695660867826436</v>
      </c>
      <c r="EB34" s="324">
        <f>BT34-BS34</f>
        <v>19.75</v>
      </c>
      <c r="EC34" s="410">
        <f>EB34/BS34</f>
        <v>8.0694586312563835E-2</v>
      </c>
      <c r="ED34" s="324">
        <f>BU34-BT34</f>
        <v>45.375</v>
      </c>
      <c r="EE34" s="410">
        <f>ED34/BT34</f>
        <v>0.17155009451795841</v>
      </c>
      <c r="EF34" s="324">
        <f>BV34-BU34</f>
        <v>-90.6875</v>
      </c>
      <c r="EG34" s="410">
        <f>EF34/BU34</f>
        <v>-0.29265832997176283</v>
      </c>
      <c r="EH34" s="324">
        <f>BW34-BV34</f>
        <v>0.8125</v>
      </c>
      <c r="EI34" s="410">
        <f>EH34/BV34</f>
        <v>3.7068719703450244E-3</v>
      </c>
      <c r="EJ34" s="324">
        <f>BZ34-BW34</f>
        <v>19</v>
      </c>
      <c r="EK34" s="410">
        <f>EJ34/BW34</f>
        <v>8.6363636363636365E-2</v>
      </c>
      <c r="EL34" s="324">
        <f>CA34-BZ34</f>
        <v>-21.785714285714278</v>
      </c>
      <c r="EM34" s="410">
        <f>EL34/BZ34</f>
        <v>-9.1153616258218731E-2</v>
      </c>
      <c r="EN34" s="324">
        <f>CB34-CA34</f>
        <v>10.252380952380946</v>
      </c>
      <c r="EO34" s="410">
        <f>EN34/CA34</f>
        <v>4.7199386166831059E-2</v>
      </c>
      <c r="EP34" s="324">
        <f>CC34-CB34</f>
        <v>57.604761904761887</v>
      </c>
      <c r="EQ34" s="410">
        <f>EP34/CB34</f>
        <v>0.25324485010885939</v>
      </c>
      <c r="ER34" s="324">
        <f>CD34-CC34</f>
        <v>-55.071428571428555</v>
      </c>
      <c r="ES34" s="410">
        <f>ER34/CC34</f>
        <v>-0.19318466549736904</v>
      </c>
      <c r="ET34" s="324">
        <f>CE34-CD34</f>
        <v>-4.4375</v>
      </c>
      <c r="EU34" s="410">
        <f>ET34/CD34</f>
        <v>-1.9293478260869565E-2</v>
      </c>
      <c r="EV34" s="324">
        <f>CF34-CE34</f>
        <v>2.625</v>
      </c>
      <c r="EW34" s="410">
        <f>EV34/CE34</f>
        <v>1.1637572734829594E-2</v>
      </c>
      <c r="EX34" s="324">
        <f>CG34-CF34</f>
        <v>19.6875</v>
      </c>
      <c r="EY34" s="410">
        <f>EX34/CF34</f>
        <v>8.6277732128184056E-2</v>
      </c>
      <c r="EZ34" s="324">
        <f>CH34-CG34</f>
        <v>-21</v>
      </c>
      <c r="FA34" s="410">
        <f>EZ34/CG34</f>
        <v>-8.4720121028744322E-2</v>
      </c>
      <c r="FB34" s="324">
        <f>CI34-CH34</f>
        <v>-28</v>
      </c>
      <c r="FC34" s="410">
        <f>FB34/CH34</f>
        <v>-0.12341597796143251</v>
      </c>
      <c r="FD34" s="324">
        <f>CJ34-CI34</f>
        <v>-8.9375</v>
      </c>
      <c r="FE34" s="410">
        <f>FD34/CI34</f>
        <v>-4.4940289126335638E-2</v>
      </c>
      <c r="FF34" s="324">
        <f>CK34-CJ34</f>
        <v>-189.9375</v>
      </c>
      <c r="FG34" s="410">
        <f>FF34/CJ34</f>
        <v>-1</v>
      </c>
      <c r="FH34" s="218">
        <f>BV34</f>
        <v>219.1875</v>
      </c>
      <c r="FI34" s="732">
        <f>CJ34</f>
        <v>189.9375</v>
      </c>
      <c r="FJ34" s="673">
        <f>FI34-FH34</f>
        <v>-29.25</v>
      </c>
      <c r="FK34" s="109">
        <f t="shared" si="377"/>
        <v>-0.13344739093242086</v>
      </c>
      <c r="FL34" s="707"/>
      <c r="FM34" s="707"/>
      <c r="FN34" s="707"/>
      <c r="FO34" s="93" t="str">
        <f>E34</f>
        <v>Average Number of Calls/Call Agent</v>
      </c>
      <c r="FP34" s="286" t="e">
        <f>#REF!</f>
        <v>#REF!</v>
      </c>
      <c r="FQ34" s="286" t="e">
        <f>#REF!</f>
        <v>#REF!</v>
      </c>
      <c r="FR34" s="286" t="e">
        <f>#REF!</f>
        <v>#REF!</v>
      </c>
      <c r="FS34" s="286" t="e">
        <f>#REF!</f>
        <v>#REF!</v>
      </c>
      <c r="FT34" s="286" t="e">
        <f>#REF!</f>
        <v>#REF!</v>
      </c>
      <c r="FU34" s="286" t="e">
        <f>#REF!</f>
        <v>#REF!</v>
      </c>
      <c r="FV34" s="286" t="e">
        <f>#REF!</f>
        <v>#REF!</v>
      </c>
      <c r="FW34" s="286" t="e">
        <f>#REF!</f>
        <v>#REF!</v>
      </c>
      <c r="FX34" s="286" t="e">
        <f>#REF!</f>
        <v>#REF!</v>
      </c>
      <c r="FY34" s="286" t="e">
        <f>#REF!</f>
        <v>#REF!</v>
      </c>
      <c r="FZ34" s="286" t="e">
        <f>#REF!</f>
        <v>#REF!</v>
      </c>
      <c r="GA34" s="287">
        <f t="shared" ref="GA34:GK35" si="397">AJ34</f>
        <v>230.6875</v>
      </c>
      <c r="GB34" s="287">
        <f t="shared" si="397"/>
        <v>239.625</v>
      </c>
      <c r="GC34" s="287">
        <f t="shared" si="397"/>
        <v>200.4375</v>
      </c>
      <c r="GD34" s="287">
        <f t="shared" si="397"/>
        <v>415.3125</v>
      </c>
      <c r="GE34" s="287">
        <f t="shared" si="397"/>
        <v>233.375</v>
      </c>
      <c r="GF34" s="287">
        <f t="shared" si="397"/>
        <v>210.125</v>
      </c>
      <c r="GG34" s="287">
        <f t="shared" si="397"/>
        <v>271.3125</v>
      </c>
      <c r="GH34" s="287">
        <f t="shared" si="397"/>
        <v>254.6875</v>
      </c>
      <c r="GI34" s="287">
        <f t="shared" si="397"/>
        <v>218.75</v>
      </c>
      <c r="GJ34" s="287">
        <f t="shared" si="397"/>
        <v>236.5</v>
      </c>
      <c r="GK34" s="287">
        <f t="shared" si="397"/>
        <v>350.5</v>
      </c>
      <c r="GL34" s="287">
        <f>AU34</f>
        <v>242.1875</v>
      </c>
      <c r="GM34" s="287">
        <f t="shared" si="379"/>
        <v>268.1875</v>
      </c>
      <c r="GN34" s="287">
        <f t="shared" si="379"/>
        <v>259.75</v>
      </c>
      <c r="GO34" s="287">
        <f t="shared" si="379"/>
        <v>330.5625</v>
      </c>
      <c r="GP34" s="287">
        <f t="shared" si="379"/>
        <v>967.1875</v>
      </c>
      <c r="GQ34" s="287">
        <f t="shared" si="379"/>
        <v>402.3125</v>
      </c>
      <c r="GR34" s="287">
        <f>BC34</f>
        <v>336.1875</v>
      </c>
      <c r="GS34" s="287">
        <f t="shared" si="380"/>
        <v>369.4375</v>
      </c>
      <c r="GT34" s="287">
        <f t="shared" si="380"/>
        <v>259.375</v>
      </c>
      <c r="GU34" s="287">
        <f t="shared" si="380"/>
        <v>244.75</v>
      </c>
      <c r="GV34" s="287">
        <f t="shared" si="380"/>
        <v>231.6875</v>
      </c>
      <c r="GW34" s="287">
        <f t="shared" si="380"/>
        <v>220.8125</v>
      </c>
      <c r="GX34" s="287">
        <f t="shared" si="380"/>
        <v>232.875</v>
      </c>
      <c r="GY34" s="834">
        <f t="shared" si="381"/>
        <v>250.0625</v>
      </c>
      <c r="GZ34" s="834">
        <f t="shared" si="381"/>
        <v>234.9375</v>
      </c>
      <c r="HA34" s="834">
        <f t="shared" si="381"/>
        <v>263.75</v>
      </c>
      <c r="HB34" s="834">
        <f t="shared" si="381"/>
        <v>725.875</v>
      </c>
      <c r="HC34" s="834">
        <f t="shared" si="381"/>
        <v>232.5</v>
      </c>
      <c r="HD34" s="834">
        <f t="shared" si="381"/>
        <v>244.75</v>
      </c>
      <c r="HE34" s="834">
        <f t="shared" si="381"/>
        <v>312.5625</v>
      </c>
      <c r="HF34" s="834">
        <f t="shared" si="381"/>
        <v>244.75</v>
      </c>
      <c r="HG34" s="834">
        <f t="shared" si="381"/>
        <v>264.5</v>
      </c>
      <c r="HH34" s="834">
        <f t="shared" si="381"/>
        <v>309.875</v>
      </c>
      <c r="HI34" s="834">
        <f t="shared" si="381"/>
        <v>219.1875</v>
      </c>
      <c r="HJ34" s="834">
        <f t="shared" si="381"/>
        <v>220</v>
      </c>
      <c r="HK34" s="962">
        <f>BZ34</f>
        <v>239</v>
      </c>
      <c r="HL34" s="962">
        <f t="shared" si="382"/>
        <v>217.21428571428572</v>
      </c>
      <c r="HM34" s="962">
        <f t="shared" si="382"/>
        <v>227.46666666666667</v>
      </c>
      <c r="HN34" s="962">
        <f t="shared" si="382"/>
        <v>285.07142857142856</v>
      </c>
      <c r="HO34" s="962">
        <f t="shared" si="382"/>
        <v>230</v>
      </c>
      <c r="HP34" s="962">
        <f t="shared" si="382"/>
        <v>225.5625</v>
      </c>
      <c r="HQ34" s="962">
        <f t="shared" si="382"/>
        <v>228.1875</v>
      </c>
      <c r="HR34" s="962">
        <f t="shared" si="382"/>
        <v>247.875</v>
      </c>
      <c r="HS34" s="962">
        <f t="shared" si="382"/>
        <v>226.875</v>
      </c>
      <c r="HT34" s="962">
        <f t="shared" si="382"/>
        <v>198.875</v>
      </c>
      <c r="HU34" s="962">
        <f t="shared" si="382"/>
        <v>189.9375</v>
      </c>
      <c r="HV34" s="962">
        <f t="shared" si="382"/>
        <v>0</v>
      </c>
    </row>
    <row r="35" spans="1:230" s="94" customFormat="1" ht="15.75" thickBot="1" x14ac:dyDescent="0.3">
      <c r="A35" s="805"/>
      <c r="B35" s="1026">
        <v>4.3</v>
      </c>
      <c r="D35" s="460"/>
      <c r="E35" s="1066" t="s">
        <v>105</v>
      </c>
      <c r="F35" s="1066"/>
      <c r="G35" s="1067"/>
      <c r="H35" s="389">
        <v>1979.671875</v>
      </c>
      <c r="I35" s="96">
        <v>2011.7619047619048</v>
      </c>
      <c r="J35" s="95">
        <v>2013.3015873015872</v>
      </c>
      <c r="K35" s="96">
        <v>2009.0793650793651</v>
      </c>
      <c r="L35" s="95">
        <v>2031.12</v>
      </c>
      <c r="M35" s="96">
        <v>2040.9017713365538</v>
      </c>
      <c r="N35" s="95">
        <v>1888.2835820895523</v>
      </c>
      <c r="O35" s="96">
        <v>1906.8030303030303</v>
      </c>
      <c r="P35" s="95">
        <v>2331.1044776119402</v>
      </c>
      <c r="Q35" s="96">
        <v>1922</v>
      </c>
      <c r="R35" s="95">
        <v>1883.4328358208954</v>
      </c>
      <c r="S35" s="96">
        <v>1974.621451104101</v>
      </c>
      <c r="T35" s="136" t="s">
        <v>29</v>
      </c>
      <c r="U35" s="156">
        <v>1999.1162790697674</v>
      </c>
      <c r="V35" s="389">
        <f t="shared" ref="V35:Y35" si="398">V11/V32</f>
        <v>2052.3001631321372</v>
      </c>
      <c r="W35" s="96">
        <f t="shared" si="398"/>
        <v>2578.1637312459229</v>
      </c>
      <c r="X35" s="95">
        <f t="shared" si="398"/>
        <v>2149.2504631969009</v>
      </c>
      <c r="Y35" s="96">
        <f t="shared" si="398"/>
        <v>2107.526525198939</v>
      </c>
      <c r="Z35" s="95">
        <v>2110.5769230769229</v>
      </c>
      <c r="AA35" s="96">
        <v>2071.4845024469823</v>
      </c>
      <c r="AB35" s="95">
        <v>2645.9773584905661</v>
      </c>
      <c r="AC35" s="96">
        <v>2146.7761042477578</v>
      </c>
      <c r="AD35" s="95">
        <v>2084.9572362904578</v>
      </c>
      <c r="AE35" s="96">
        <v>2174.8337416870845</v>
      </c>
      <c r="AF35" s="95">
        <v>1710.3782392942474</v>
      </c>
      <c r="AG35" s="96">
        <v>1788.1511066733233</v>
      </c>
      <c r="AH35" s="136" t="s">
        <v>29</v>
      </c>
      <c r="AI35" s="156">
        <v>2136.0223001728468</v>
      </c>
      <c r="AJ35" s="389">
        <f t="shared" ref="AJ35:AN35" si="399">AJ11/AJ32</f>
        <v>1951.8635170603675</v>
      </c>
      <c r="AK35" s="96">
        <f t="shared" si="399"/>
        <v>2407.4424415491699</v>
      </c>
      <c r="AL35" s="95">
        <f t="shared" si="399"/>
        <v>1986.6238630283574</v>
      </c>
      <c r="AM35" s="96">
        <f t="shared" si="399"/>
        <v>1857.1642785738086</v>
      </c>
      <c r="AN35" s="95">
        <f t="shared" si="399"/>
        <v>1823.3453473132372</v>
      </c>
      <c r="AO35" s="96">
        <f t="shared" ref="AO35:AT35" si="400">AO11/AO32</f>
        <v>1850.8412460436448</v>
      </c>
      <c r="AP35" s="639">
        <f t="shared" si="400"/>
        <v>1850.3333333333333</v>
      </c>
      <c r="AQ35" s="96">
        <f t="shared" si="400"/>
        <v>2171.5503113733203</v>
      </c>
      <c r="AR35" s="639">
        <f t="shared" si="400"/>
        <v>1761.015873015873</v>
      </c>
      <c r="AS35" s="96">
        <f t="shared" si="400"/>
        <v>1886.7118644067796</v>
      </c>
      <c r="AT35" s="639">
        <f t="shared" si="400"/>
        <v>1799.4679135762656</v>
      </c>
      <c r="AU35" s="96">
        <f>AU11/AU32</f>
        <v>1873.9333333333334</v>
      </c>
      <c r="AV35" s="136" t="s">
        <v>29</v>
      </c>
      <c r="AW35" s="156">
        <f>SUM(AJ35:AU35)/$AV$4</f>
        <v>1935.0244435506245</v>
      </c>
      <c r="AX35" s="389">
        <f t="shared" ref="AX35:BC35" si="401">AX11/AX32</f>
        <v>1846.5550000000001</v>
      </c>
      <c r="AY35" s="96">
        <f t="shared" si="401"/>
        <v>2213.7446245451538</v>
      </c>
      <c r="AZ35" s="95">
        <f t="shared" si="401"/>
        <v>1845.2666666666667</v>
      </c>
      <c r="BA35" s="96">
        <f t="shared" si="401"/>
        <v>1875.613450023031</v>
      </c>
      <c r="BB35" s="95">
        <f t="shared" si="401"/>
        <v>1866.107439417048</v>
      </c>
      <c r="BC35" s="96">
        <f t="shared" si="401"/>
        <v>1828.3763530391341</v>
      </c>
      <c r="BD35" s="639">
        <f t="shared" ref="BD35:BI35" si="402">BD11/BD32</f>
        <v>2053.7225642883013</v>
      </c>
      <c r="BE35" s="96">
        <f t="shared" si="402"/>
        <v>1821.1138819617622</v>
      </c>
      <c r="BF35" s="639">
        <f t="shared" si="402"/>
        <v>1722.443261417764</v>
      </c>
      <c r="BG35" s="96">
        <f t="shared" si="402"/>
        <v>1810.7377049180327</v>
      </c>
      <c r="BH35" s="639">
        <f t="shared" si="402"/>
        <v>1854.6987313008901</v>
      </c>
      <c r="BI35" s="96">
        <f t="shared" si="402"/>
        <v>2270.0500000000002</v>
      </c>
      <c r="BJ35" s="136" t="s">
        <v>29</v>
      </c>
      <c r="BK35" s="156">
        <f>SUM(AX35:BI35)/$BJ$4</f>
        <v>1917.3691397981486</v>
      </c>
      <c r="BL35" s="901">
        <f t="shared" ref="BL35:BM35" si="403">BL11/BL32</f>
        <v>1866.1311475409836</v>
      </c>
      <c r="BM35" s="96">
        <f t="shared" si="403"/>
        <v>1861.516129032258</v>
      </c>
      <c r="BN35" s="911">
        <f t="shared" ref="BN35:BO35" si="404">BN11/BN32</f>
        <v>1839.2857142857142</v>
      </c>
      <c r="BO35" s="96">
        <f t="shared" si="404"/>
        <v>1850.7936507936508</v>
      </c>
      <c r="BP35" s="95">
        <f t="shared" ref="BP35:BQ35" si="405">BP11/BP32</f>
        <v>1864.5079365079366</v>
      </c>
      <c r="BQ35" s="96">
        <f t="shared" si="405"/>
        <v>1891.8225806451612</v>
      </c>
      <c r="BR35" s="639">
        <f t="shared" ref="BR35" si="406">BR11/BR32</f>
        <v>2299.4677419354839</v>
      </c>
      <c r="BS35" s="96">
        <f t="shared" ref="BS35:BT35" si="407">BS11/BS32</f>
        <v>1828.9375</v>
      </c>
      <c r="BT35" s="639">
        <f t="shared" si="407"/>
        <v>1864.6190476190477</v>
      </c>
      <c r="BU35" s="639">
        <f t="shared" ref="BU35:BV35" si="408">BU11/BU32</f>
        <v>1859.203125</v>
      </c>
      <c r="BV35" s="639">
        <f t="shared" si="408"/>
        <v>1872.4375</v>
      </c>
      <c r="BW35" s="639">
        <f t="shared" ref="BW35" si="409">BW11/BW32</f>
        <v>1892.71875</v>
      </c>
      <c r="BX35" s="136" t="s">
        <v>29</v>
      </c>
      <c r="BY35" s="156">
        <f>SUM(BL35:BW35)/$BX$4</f>
        <v>1899.2867352800197</v>
      </c>
      <c r="BZ35" s="639">
        <f t="shared" ref="BZ35:CA35" si="410">BZ11/BZ32</f>
        <v>2359</v>
      </c>
      <c r="CA35" s="96">
        <f t="shared" si="410"/>
        <v>1923.5079365079366</v>
      </c>
      <c r="CB35" s="911">
        <f t="shared" ref="CB35:CC35" si="411">CB11/CB32</f>
        <v>1699.3661971830986</v>
      </c>
      <c r="CC35" s="96">
        <f t="shared" si="411"/>
        <v>1724.6428571428571</v>
      </c>
      <c r="CD35" s="95">
        <f t="shared" ref="CD35:CE35" si="412">CD11/CD32</f>
        <v>1721.2</v>
      </c>
      <c r="CE35" s="96">
        <f t="shared" si="412"/>
        <v>2040.6944444444443</v>
      </c>
      <c r="CF35" s="639">
        <f t="shared" ref="CF35:CG35" si="413">CF11/CF32</f>
        <v>1657.7972972972973</v>
      </c>
      <c r="CG35" s="96">
        <f t="shared" si="413"/>
        <v>1602.8783783783783</v>
      </c>
      <c r="CH35" s="639">
        <f t="shared" ref="CH35:CI35" si="414">CH11/CH32</f>
        <v>1594.5</v>
      </c>
      <c r="CI35" s="639">
        <f t="shared" si="414"/>
        <v>1743.9852941176471</v>
      </c>
      <c r="CJ35" s="639">
        <f t="shared" ref="CJ35" si="415">CJ11/CJ32</f>
        <v>1722.2028985507247</v>
      </c>
      <c r="CK35" s="639"/>
      <c r="CL35" s="136" t="s">
        <v>29</v>
      </c>
      <c r="CM35" s="156">
        <f>SUM(BZ35:CK35)/$CL$4</f>
        <v>1799.0704821474894</v>
      </c>
      <c r="CN35" s="682">
        <f>AX35-AU35</f>
        <v>-27.37833333333333</v>
      </c>
      <c r="CO35" s="681">
        <f>CN35/AU35</f>
        <v>-1.4610089295243513E-2</v>
      </c>
      <c r="CP35" s="682">
        <f>AY35-AX35</f>
        <v>367.18962454515372</v>
      </c>
      <c r="CQ35" s="681">
        <f>CP35/AX35</f>
        <v>0.19885117125953666</v>
      </c>
      <c r="CR35" s="682">
        <f>AZ35-AY35</f>
        <v>-368.47795787848713</v>
      </c>
      <c r="CS35" s="681">
        <f>CR35/AY35</f>
        <v>-0.16645007458988018</v>
      </c>
      <c r="CT35" s="682">
        <f>BA35-AZ35</f>
        <v>30.346783356364313</v>
      </c>
      <c r="CU35" s="681">
        <f>CT35/AZ35</f>
        <v>1.6445744078379447E-2</v>
      </c>
      <c r="CV35" s="682">
        <f>BB35-BA35</f>
        <v>-9.506010605982965</v>
      </c>
      <c r="CW35" s="681">
        <f>CV35/BA35</f>
        <v>-5.0682141386148832E-3</v>
      </c>
      <c r="CX35" s="682">
        <f>BC35-BB35</f>
        <v>-37.731086377913925</v>
      </c>
      <c r="CY35" s="681">
        <f>CX35/BB35</f>
        <v>-2.0219139359789869E-2</v>
      </c>
      <c r="CZ35" s="682">
        <f>BD35-BC35</f>
        <v>225.34621124916725</v>
      </c>
      <c r="DA35" s="681">
        <f>CZ35/BC35</f>
        <v>0.12324935775645748</v>
      </c>
      <c r="DB35" s="682">
        <f>BE35-BD35</f>
        <v>-232.60868232653911</v>
      </c>
      <c r="DC35" s="681">
        <f>DB35/BD35</f>
        <v>-0.11326197918419789</v>
      </c>
      <c r="DD35" s="682">
        <f>BF35-BE35</f>
        <v>-98.670620543998211</v>
      </c>
      <c r="DE35" s="681">
        <f>DD35/BE35</f>
        <v>-5.4181466365907364E-2</v>
      </c>
      <c r="DF35" s="682">
        <f>BG35-BF35</f>
        <v>88.294443500268699</v>
      </c>
      <c r="DG35" s="193">
        <f>DF35/BF35</f>
        <v>5.1261162255987737E-2</v>
      </c>
      <c r="DH35" s="682">
        <f>BH35-BG35</f>
        <v>43.961026382857426</v>
      </c>
      <c r="DI35" s="681">
        <f>DH35/BG35</f>
        <v>2.4277964866726748E-2</v>
      </c>
      <c r="DJ35" s="682">
        <f>BI35-BH35</f>
        <v>415.35126869911005</v>
      </c>
      <c r="DK35" s="681">
        <f>DJ35/BH35</f>
        <v>0.22394541048064537</v>
      </c>
      <c r="DL35" s="682">
        <f>BL35-BI35</f>
        <v>-403.91885245901653</v>
      </c>
      <c r="DM35" s="681">
        <f>DL35/BI35</f>
        <v>-0.17793390121760161</v>
      </c>
      <c r="DN35" s="331">
        <f>BM35-BL35</f>
        <v>-4.6150185087255977</v>
      </c>
      <c r="DO35" s="413">
        <f>DN35/BL35</f>
        <v>-2.4730408228847396E-3</v>
      </c>
      <c r="DP35" s="331">
        <f>BN35-BM35</f>
        <v>-22.230414746543829</v>
      </c>
      <c r="DQ35" s="413">
        <f>DP35/BM35</f>
        <v>-1.1942101601934926E-2</v>
      </c>
      <c r="DR35" s="331">
        <f>BO35-BN35</f>
        <v>11.50793650793662</v>
      </c>
      <c r="DS35" s="413">
        <f>DR35/BN35</f>
        <v>6.2567421790723369E-3</v>
      </c>
      <c r="DT35" s="331">
        <f>BP35-BO35</f>
        <v>13.714285714285779</v>
      </c>
      <c r="DU35" s="413">
        <f>DT35/BO35</f>
        <v>7.4099485420240484E-3</v>
      </c>
      <c r="DV35" s="331">
        <f>BQ35-BP35</f>
        <v>27.314644137224604</v>
      </c>
      <c r="DW35" s="413">
        <f>DV35/BP35</f>
        <v>1.4649787004062095E-2</v>
      </c>
      <c r="DX35" s="331">
        <f>BR35-BQ35</f>
        <v>407.64516129032268</v>
      </c>
      <c r="DY35" s="413">
        <f>DX35/BQ35</f>
        <v>0.21547747947447851</v>
      </c>
      <c r="DZ35" s="331">
        <f>BS35-BR35</f>
        <v>-470.5302419354839</v>
      </c>
      <c r="EA35" s="413">
        <f>DZ35/BR35</f>
        <v>-0.20462571983698893</v>
      </c>
      <c r="EB35" s="331">
        <f>BT35-BS35</f>
        <v>35.681547619047706</v>
      </c>
      <c r="EC35" s="413">
        <f>EB35/BS35</f>
        <v>1.9509440655597968E-2</v>
      </c>
      <c r="ED35" s="331">
        <f>BU35-BT35</f>
        <v>-5.4159226190477057</v>
      </c>
      <c r="EE35" s="413">
        <f>ED35/BT35</f>
        <v>-2.9045732563782161E-3</v>
      </c>
      <c r="EF35" s="331">
        <f>BV35-BU35</f>
        <v>13.234375</v>
      </c>
      <c r="EG35" s="413">
        <f>EF35/BU35</f>
        <v>7.1183050534082979E-3</v>
      </c>
      <c r="EH35" s="331">
        <f>BW35-BV35</f>
        <v>20.28125</v>
      </c>
      <c r="EI35" s="413">
        <f>EH35/BV35</f>
        <v>1.0831469675222805E-2</v>
      </c>
      <c r="EJ35" s="331">
        <f>BZ35-BW35</f>
        <v>466.28125</v>
      </c>
      <c r="EK35" s="413">
        <f>EJ35/BW35</f>
        <v>0.24635527597536613</v>
      </c>
      <c r="EL35" s="331">
        <f>CA35-BZ35</f>
        <v>-435.49206349206338</v>
      </c>
      <c r="EM35" s="413">
        <f>EL35/BZ35</f>
        <v>-0.18460875942859831</v>
      </c>
      <c r="EN35" s="331">
        <f>CB35-CA35</f>
        <v>-224.141739324838</v>
      </c>
      <c r="EO35" s="413">
        <f>EN35/CA35</f>
        <v>-0.11652758747216803</v>
      </c>
      <c r="EP35" s="331">
        <f>CC35-CB35</f>
        <v>25.27665995975849</v>
      </c>
      <c r="EQ35" s="413">
        <f>EP35/CB35</f>
        <v>1.487416897055947E-2</v>
      </c>
      <c r="ER35" s="331">
        <f>CD35-CC35</f>
        <v>-3.4428571428570649</v>
      </c>
      <c r="ES35" s="413">
        <f>ER35/CC35</f>
        <v>-1.9962725201904705E-3</v>
      </c>
      <c r="ET35" s="331">
        <f>CE35-CD35</f>
        <v>319.4944444444443</v>
      </c>
      <c r="EU35" s="413">
        <f>ET35/CD35</f>
        <v>0.18562307950525464</v>
      </c>
      <c r="EV35" s="331">
        <f>CF35-CE35</f>
        <v>-382.89714714714705</v>
      </c>
      <c r="EW35" s="413">
        <f>EV35/CE35</f>
        <v>-0.18763080783090308</v>
      </c>
      <c r="EX35" s="331">
        <f>CG35-CF35</f>
        <v>-54.918918918918962</v>
      </c>
      <c r="EY35" s="413">
        <f>EX35/CF35</f>
        <v>-3.3127644138673126E-2</v>
      </c>
      <c r="EZ35" s="331">
        <f>CH35-CG35</f>
        <v>-8.3783783783783292</v>
      </c>
      <c r="FA35" s="413">
        <f>EZ35/CG35</f>
        <v>-5.2270830347432105E-3</v>
      </c>
      <c r="FB35" s="331">
        <f>CI35-CH35</f>
        <v>149.48529411764707</v>
      </c>
      <c r="FC35" s="413">
        <f>FB35/CH35</f>
        <v>9.3750576430007573E-2</v>
      </c>
      <c r="FD35" s="331">
        <f>CJ35-CI35</f>
        <v>-21.782395566922332</v>
      </c>
      <c r="FE35" s="413">
        <f>FD35/CI35</f>
        <v>-1.2490011034148617E-2</v>
      </c>
      <c r="FF35" s="331">
        <f>CK35-CJ35</f>
        <v>-1722.2028985507247</v>
      </c>
      <c r="FG35" s="413">
        <f>FF35/CJ35</f>
        <v>-1</v>
      </c>
      <c r="FH35" s="219">
        <f>BV35</f>
        <v>1872.4375</v>
      </c>
      <c r="FI35" s="733">
        <f>CJ35</f>
        <v>1722.2028985507247</v>
      </c>
      <c r="FJ35" s="682">
        <f>FI35-FH35</f>
        <v>-150.23460144927526</v>
      </c>
      <c r="FK35" s="193">
        <f t="shared" si="377"/>
        <v>-8.0234774965399519E-2</v>
      </c>
      <c r="FL35" s="705"/>
      <c r="FM35" s="705"/>
      <c r="FN35" s="705"/>
      <c r="FO35" s="94" t="str">
        <f>E35</f>
        <v>Employees Supported/Agent</v>
      </c>
      <c r="FP35" s="288" t="e">
        <f>#REF!</f>
        <v>#REF!</v>
      </c>
      <c r="FQ35" s="288" t="e">
        <f>#REF!</f>
        <v>#REF!</v>
      </c>
      <c r="FR35" s="288" t="e">
        <f>#REF!</f>
        <v>#REF!</v>
      </c>
      <c r="FS35" s="288" t="e">
        <f>#REF!</f>
        <v>#REF!</v>
      </c>
      <c r="FT35" s="288" t="e">
        <f>#REF!</f>
        <v>#REF!</v>
      </c>
      <c r="FU35" s="288" t="e">
        <f>#REF!</f>
        <v>#REF!</v>
      </c>
      <c r="FV35" s="288" t="e">
        <f>#REF!</f>
        <v>#REF!</v>
      </c>
      <c r="FW35" s="288" t="e">
        <f>#REF!</f>
        <v>#REF!</v>
      </c>
      <c r="FX35" s="288" t="e">
        <f>#REF!</f>
        <v>#REF!</v>
      </c>
      <c r="FY35" s="288" t="e">
        <f>#REF!</f>
        <v>#REF!</v>
      </c>
      <c r="FZ35" s="288" t="e">
        <f>#REF!</f>
        <v>#REF!</v>
      </c>
      <c r="GA35" s="289">
        <f t="shared" si="397"/>
        <v>1951.8635170603675</v>
      </c>
      <c r="GB35" s="289">
        <f t="shared" si="397"/>
        <v>2407.4424415491699</v>
      </c>
      <c r="GC35" s="289">
        <f t="shared" si="397"/>
        <v>1986.6238630283574</v>
      </c>
      <c r="GD35" s="289">
        <f t="shared" si="397"/>
        <v>1857.1642785738086</v>
      </c>
      <c r="GE35" s="289">
        <f t="shared" si="397"/>
        <v>1823.3453473132372</v>
      </c>
      <c r="GF35" s="289">
        <f t="shared" si="397"/>
        <v>1850.8412460436448</v>
      </c>
      <c r="GG35" s="289">
        <f t="shared" si="397"/>
        <v>1850.3333333333333</v>
      </c>
      <c r="GH35" s="289">
        <f t="shared" si="397"/>
        <v>2171.5503113733203</v>
      </c>
      <c r="GI35" s="289">
        <f t="shared" si="397"/>
        <v>1761.015873015873</v>
      </c>
      <c r="GJ35" s="289">
        <f t="shared" si="397"/>
        <v>1886.7118644067796</v>
      </c>
      <c r="GK35" s="289">
        <f t="shared" si="397"/>
        <v>1799.4679135762656</v>
      </c>
      <c r="GL35" s="289">
        <f>AU35</f>
        <v>1873.9333333333334</v>
      </c>
      <c r="GM35" s="289">
        <f t="shared" si="379"/>
        <v>1846.5550000000001</v>
      </c>
      <c r="GN35" s="289">
        <f t="shared" si="379"/>
        <v>2213.7446245451538</v>
      </c>
      <c r="GO35" s="289">
        <f t="shared" si="379"/>
        <v>1845.2666666666667</v>
      </c>
      <c r="GP35" s="289">
        <f t="shared" si="379"/>
        <v>1875.613450023031</v>
      </c>
      <c r="GQ35" s="289">
        <f t="shared" si="379"/>
        <v>1866.107439417048</v>
      </c>
      <c r="GR35" s="289">
        <f>BC35</f>
        <v>1828.3763530391341</v>
      </c>
      <c r="GS35" s="289">
        <f t="shared" si="380"/>
        <v>2053.7225642883013</v>
      </c>
      <c r="GT35" s="289">
        <f t="shared" si="380"/>
        <v>1821.1138819617622</v>
      </c>
      <c r="GU35" s="289">
        <f t="shared" si="380"/>
        <v>1722.443261417764</v>
      </c>
      <c r="GV35" s="289">
        <f t="shared" si="380"/>
        <v>1810.7377049180327</v>
      </c>
      <c r="GW35" s="289">
        <f t="shared" si="380"/>
        <v>1854.6987313008901</v>
      </c>
      <c r="GX35" s="289">
        <f t="shared" si="380"/>
        <v>2270.0500000000002</v>
      </c>
      <c r="GY35" s="835">
        <f t="shared" si="381"/>
        <v>1866.1311475409836</v>
      </c>
      <c r="GZ35" s="835">
        <f t="shared" si="381"/>
        <v>1861.516129032258</v>
      </c>
      <c r="HA35" s="835">
        <f t="shared" si="381"/>
        <v>1839.2857142857142</v>
      </c>
      <c r="HB35" s="835">
        <f t="shared" si="381"/>
        <v>1850.7936507936508</v>
      </c>
      <c r="HC35" s="835">
        <f t="shared" si="381"/>
        <v>1864.5079365079366</v>
      </c>
      <c r="HD35" s="835">
        <f t="shared" si="381"/>
        <v>1891.8225806451612</v>
      </c>
      <c r="HE35" s="835">
        <f t="shared" si="381"/>
        <v>2299.4677419354839</v>
      </c>
      <c r="HF35" s="835">
        <f t="shared" si="381"/>
        <v>1828.9375</v>
      </c>
      <c r="HG35" s="835">
        <f t="shared" si="381"/>
        <v>1864.6190476190477</v>
      </c>
      <c r="HH35" s="835">
        <f t="shared" si="381"/>
        <v>1859.203125</v>
      </c>
      <c r="HI35" s="835">
        <f t="shared" si="381"/>
        <v>1872.4375</v>
      </c>
      <c r="HJ35" s="835">
        <f t="shared" si="381"/>
        <v>1892.71875</v>
      </c>
      <c r="HK35" s="963">
        <f>BZ35</f>
        <v>2359</v>
      </c>
      <c r="HL35" s="963">
        <f t="shared" si="382"/>
        <v>1923.5079365079366</v>
      </c>
      <c r="HM35" s="963">
        <f t="shared" si="382"/>
        <v>1699.3661971830986</v>
      </c>
      <c r="HN35" s="963">
        <f t="shared" si="382"/>
        <v>1724.6428571428571</v>
      </c>
      <c r="HO35" s="963">
        <f t="shared" si="382"/>
        <v>1721.2</v>
      </c>
      <c r="HP35" s="963">
        <f t="shared" si="382"/>
        <v>2040.6944444444443</v>
      </c>
      <c r="HQ35" s="963">
        <f t="shared" si="382"/>
        <v>1657.7972972972973</v>
      </c>
      <c r="HR35" s="963">
        <f t="shared" si="382"/>
        <v>1602.8783783783783</v>
      </c>
      <c r="HS35" s="963">
        <f t="shared" si="382"/>
        <v>1594.5</v>
      </c>
      <c r="HT35" s="963">
        <f t="shared" si="382"/>
        <v>1743.9852941176471</v>
      </c>
      <c r="HU35" s="963">
        <f t="shared" si="382"/>
        <v>1722.2028985507247</v>
      </c>
      <c r="HV35" s="963">
        <f t="shared" si="382"/>
        <v>0</v>
      </c>
    </row>
    <row r="36" spans="1:230" ht="14.25" customHeight="1" x14ac:dyDescent="0.25">
      <c r="A36" s="802">
        <v>5</v>
      </c>
      <c r="B36" s="7" t="s">
        <v>162</v>
      </c>
      <c r="C36" s="9"/>
      <c r="D36" s="457"/>
      <c r="E36" s="458"/>
      <c r="F36" s="458"/>
      <c r="G36" s="458"/>
      <c r="H36" s="170"/>
      <c r="I36" s="67"/>
      <c r="K36" s="67"/>
      <c r="M36" s="67"/>
      <c r="O36" s="67"/>
      <c r="P36" s="402"/>
      <c r="Q36" s="67"/>
      <c r="S36" s="67"/>
      <c r="T36" s="137"/>
      <c r="U36" s="157"/>
      <c r="V36" s="170"/>
      <c r="W36" s="67"/>
      <c r="Y36" s="67"/>
      <c r="AA36" s="67"/>
      <c r="AC36" s="67"/>
      <c r="AD36" s="402"/>
      <c r="AE36" s="67"/>
      <c r="AG36" s="67"/>
      <c r="AH36" s="137"/>
      <c r="AI36" s="157"/>
      <c r="AJ36" s="170"/>
      <c r="AK36" s="67"/>
      <c r="AM36" s="67"/>
      <c r="AO36" s="67"/>
      <c r="AP36" s="27"/>
      <c r="AQ36" s="67"/>
      <c r="AR36" s="640"/>
      <c r="AS36" s="67"/>
      <c r="AT36" s="27"/>
      <c r="AU36" s="67"/>
      <c r="AV36" s="137"/>
      <c r="AW36" s="157"/>
      <c r="AX36" s="170"/>
      <c r="AY36" s="67"/>
      <c r="BA36" s="67"/>
      <c r="BC36" s="67"/>
      <c r="BD36" s="27"/>
      <c r="BE36" s="67"/>
      <c r="BF36" s="27"/>
      <c r="BG36" s="67"/>
      <c r="BH36" s="27"/>
      <c r="BI36" s="67"/>
      <c r="BJ36" s="137"/>
      <c r="BK36" s="157"/>
      <c r="BL36" s="170"/>
      <c r="BM36" s="67"/>
      <c r="BO36" s="67"/>
      <c r="BQ36" s="67"/>
      <c r="BR36" s="27"/>
      <c r="BS36" s="67"/>
      <c r="BT36" s="27"/>
      <c r="BV36" s="27"/>
      <c r="BX36" s="137"/>
      <c r="BY36" s="157"/>
      <c r="BZ36" s="27"/>
      <c r="CA36" s="67"/>
      <c r="CC36" s="67"/>
      <c r="CE36" s="67"/>
      <c r="CF36" s="27"/>
      <c r="CG36" s="67"/>
      <c r="CH36" s="27"/>
      <c r="CJ36" s="27"/>
      <c r="CL36" s="137"/>
      <c r="CM36" s="157"/>
      <c r="CN36" s="118"/>
      <c r="CO36" s="672"/>
      <c r="CP36" s="118"/>
      <c r="CQ36" s="672"/>
      <c r="CR36" s="118"/>
      <c r="CS36" s="672"/>
      <c r="CT36" s="118"/>
      <c r="CU36" s="672"/>
      <c r="CV36" s="118"/>
      <c r="CW36" s="672"/>
      <c r="CX36" s="118"/>
      <c r="CY36" s="672"/>
      <c r="CZ36" s="118"/>
      <c r="DA36" s="672"/>
      <c r="DB36" s="118"/>
      <c r="DC36" s="672"/>
      <c r="DD36" s="118"/>
      <c r="DE36" s="672"/>
      <c r="DF36" s="118"/>
      <c r="DG36" s="109"/>
      <c r="DH36" s="118"/>
      <c r="DI36" s="672"/>
      <c r="DJ36" s="118"/>
      <c r="DK36" s="672"/>
      <c r="DL36" s="118"/>
      <c r="DM36" s="672"/>
      <c r="DN36" s="327"/>
      <c r="DO36" s="410"/>
      <c r="DP36" s="327"/>
      <c r="DQ36" s="410"/>
      <c r="DR36" s="327"/>
      <c r="DS36" s="410"/>
      <c r="DT36" s="327"/>
      <c r="DU36" s="410"/>
      <c r="DV36" s="327"/>
      <c r="DW36" s="410"/>
      <c r="DX36" s="327"/>
      <c r="DY36" s="410"/>
      <c r="DZ36" s="327"/>
      <c r="EA36" s="410"/>
      <c r="EB36" s="327"/>
      <c r="EC36" s="410"/>
      <c r="ED36" s="327"/>
      <c r="EE36" s="410"/>
      <c r="EF36" s="327"/>
      <c r="EG36" s="410"/>
      <c r="EH36" s="327"/>
      <c r="EI36" s="410"/>
      <c r="EJ36" s="327"/>
      <c r="EK36" s="410"/>
      <c r="EL36" s="327"/>
      <c r="EM36" s="410"/>
      <c r="EN36" s="327"/>
      <c r="EO36" s="410"/>
      <c r="EP36" s="327"/>
      <c r="EQ36" s="410"/>
      <c r="ER36" s="327"/>
      <c r="ES36" s="410"/>
      <c r="ET36" s="327"/>
      <c r="EU36" s="410"/>
      <c r="EV36" s="327"/>
      <c r="EW36" s="410"/>
      <c r="EX36" s="327"/>
      <c r="EY36" s="410"/>
      <c r="EZ36" s="327"/>
      <c r="FA36" s="410"/>
      <c r="FB36" s="327"/>
      <c r="FC36" s="410"/>
      <c r="FD36" s="327"/>
      <c r="FE36" s="410"/>
      <c r="FF36" s="327"/>
      <c r="FG36" s="410"/>
      <c r="FH36" s="37"/>
      <c r="FI36" s="730"/>
      <c r="FJ36" s="111"/>
      <c r="FK36" s="109"/>
      <c r="FL36" s="707"/>
      <c r="FM36" s="707"/>
      <c r="FN36" s="707"/>
      <c r="FP36" s="290"/>
      <c r="FQ36" s="290"/>
      <c r="FR36" s="290"/>
      <c r="FS36" s="290"/>
      <c r="FT36" s="290"/>
      <c r="FU36" s="290"/>
      <c r="FV36" s="290"/>
      <c r="FW36" s="290"/>
      <c r="FX36" s="290"/>
      <c r="FY36" s="290"/>
      <c r="FZ36" s="290"/>
      <c r="GA36" s="291"/>
      <c r="GB36" s="291"/>
      <c r="GC36" s="291"/>
      <c r="GD36" s="291"/>
      <c r="GE36" s="291"/>
      <c r="GF36" s="291"/>
      <c r="GG36" s="291"/>
      <c r="GH36" s="291"/>
      <c r="GI36" s="291"/>
      <c r="GJ36" s="291"/>
      <c r="GK36" s="291"/>
      <c r="GL36" s="291"/>
      <c r="GM36" s="291"/>
      <c r="GN36" s="291"/>
      <c r="GO36" s="291"/>
      <c r="GP36" s="291"/>
      <c r="GQ36" s="291"/>
      <c r="GR36" s="291"/>
      <c r="GS36" s="291"/>
      <c r="GT36" s="291"/>
      <c r="GU36" s="291"/>
      <c r="GV36" s="291"/>
      <c r="GW36" s="291"/>
      <c r="GX36" s="291"/>
      <c r="GY36" s="836"/>
      <c r="GZ36" s="836"/>
      <c r="HA36" s="836"/>
      <c r="HB36" s="836"/>
      <c r="HC36" s="836"/>
      <c r="HD36" s="836"/>
      <c r="HE36" s="836"/>
      <c r="HF36" s="836"/>
      <c r="HG36" s="836"/>
      <c r="HH36" s="836"/>
      <c r="HI36" s="836"/>
      <c r="HJ36" s="836"/>
      <c r="HK36" s="964"/>
      <c r="HL36" s="964"/>
      <c r="HM36" s="964"/>
      <c r="HN36" s="964"/>
      <c r="HO36" s="964"/>
      <c r="HP36" s="964"/>
      <c r="HQ36" s="964"/>
      <c r="HR36" s="964"/>
      <c r="HS36" s="964"/>
      <c r="HT36" s="964"/>
      <c r="HU36" s="964"/>
      <c r="HV36" s="964"/>
    </row>
    <row r="37" spans="1:230" x14ac:dyDescent="0.25">
      <c r="A37" s="802"/>
      <c r="B37" s="56">
        <v>5.0999999999999996</v>
      </c>
      <c r="C37" s="7"/>
      <c r="D37" s="119"/>
      <c r="E37" s="1046" t="s">
        <v>237</v>
      </c>
      <c r="F37" s="1046"/>
      <c r="G37" s="1047"/>
      <c r="H37" s="376">
        <v>59966</v>
      </c>
      <c r="I37" s="70">
        <v>60026</v>
      </c>
      <c r="J37" s="23">
        <v>59647</v>
      </c>
      <c r="K37" s="70">
        <v>59726</v>
      </c>
      <c r="L37" s="23">
        <v>59905</v>
      </c>
      <c r="M37" s="70">
        <v>59823</v>
      </c>
      <c r="N37" s="23">
        <v>59417</v>
      </c>
      <c r="O37" s="70">
        <v>59116</v>
      </c>
      <c r="P37" s="23">
        <v>88984</v>
      </c>
      <c r="Q37" s="70">
        <v>59509</v>
      </c>
      <c r="R37" s="23">
        <v>59962</v>
      </c>
      <c r="S37" s="70">
        <v>59607</v>
      </c>
      <c r="T37" s="137">
        <v>745688</v>
      </c>
      <c r="U37" s="163">
        <v>62140.666666666664</v>
      </c>
      <c r="V37" s="376">
        <f>29935+30133+1</f>
        <v>60069</v>
      </c>
      <c r="W37" s="70">
        <f>30317+31306+31410+1</f>
        <v>93034</v>
      </c>
      <c r="X37" s="23">
        <f>31522+31413</f>
        <v>62935</v>
      </c>
      <c r="Y37" s="70">
        <f>31409+31354+1</f>
        <v>62764</v>
      </c>
      <c r="Z37" s="23">
        <v>62785</v>
      </c>
      <c r="AA37" s="70">
        <v>63000</v>
      </c>
      <c r="AB37" s="23">
        <v>95432</v>
      </c>
      <c r="AC37" s="70">
        <v>59971</v>
      </c>
      <c r="AD37" s="23">
        <v>60295</v>
      </c>
      <c r="AE37" s="70">
        <v>60522</v>
      </c>
      <c r="AF37" s="23">
        <v>37409</v>
      </c>
      <c r="AG37" s="70">
        <v>40405</v>
      </c>
      <c r="AH37" s="137">
        <v>758621</v>
      </c>
      <c r="AI37" s="163">
        <v>63218.416666666664</v>
      </c>
      <c r="AJ37" s="33">
        <f>22176+22431+3</f>
        <v>44610</v>
      </c>
      <c r="AK37" s="70">
        <f>22462+22963+22370+7</f>
        <v>67802</v>
      </c>
      <c r="AL37" s="23">
        <f>22201+22212+2</f>
        <v>44415</v>
      </c>
      <c r="AM37" s="70">
        <f>22145+22184+11</f>
        <v>44340</v>
      </c>
      <c r="AN37" s="23">
        <f>22079+22121+7</f>
        <v>44207</v>
      </c>
      <c r="AO37" s="70">
        <f>21979+21938+2</f>
        <v>43919</v>
      </c>
      <c r="AP37" s="659">
        <f>43533+6</f>
        <v>43539</v>
      </c>
      <c r="AQ37" s="70">
        <f>65107+3</f>
        <v>65110</v>
      </c>
      <c r="AR37" s="634">
        <f>43433+1</f>
        <v>43434</v>
      </c>
      <c r="AS37" s="70">
        <f>43740+4</f>
        <v>43744</v>
      </c>
      <c r="AT37" s="634">
        <f>44087+3</f>
        <v>44090</v>
      </c>
      <c r="AU37" s="70">
        <f>45031+17</f>
        <v>45048</v>
      </c>
      <c r="AV37" s="137">
        <f>SUM(AJ37:AU37)</f>
        <v>574258</v>
      </c>
      <c r="AW37" s="163">
        <f>SUM(AJ37:AU37)/$AV$4</f>
        <v>47854.833333333336</v>
      </c>
      <c r="AX37" s="33">
        <f>45084+10</f>
        <v>45094</v>
      </c>
      <c r="AY37" s="70">
        <f>66650+13</f>
        <v>66663</v>
      </c>
      <c r="AZ37" s="23">
        <f>43619+41</f>
        <v>43660</v>
      </c>
      <c r="BA37" s="70">
        <f>43675+78</f>
        <v>43753</v>
      </c>
      <c r="BB37" s="23">
        <f>43342+7</f>
        <v>43349</v>
      </c>
      <c r="BC37" s="70">
        <f>43071+34</f>
        <v>43105</v>
      </c>
      <c r="BD37" s="659">
        <f>56522+13</f>
        <v>56535</v>
      </c>
      <c r="BE37" s="70">
        <f>42998+12</f>
        <v>43010</v>
      </c>
      <c r="BF37" s="659">
        <f>43223+15</f>
        <v>43238</v>
      </c>
      <c r="BG37" s="70">
        <f>43834+16</f>
        <v>43850</v>
      </c>
      <c r="BH37" s="659">
        <f>44693+17</f>
        <v>44710</v>
      </c>
      <c r="BI37" s="70">
        <f>69474+16+10</f>
        <v>69500</v>
      </c>
      <c r="BJ37" s="137">
        <f>SUM(AX37:BI37)</f>
        <v>586467</v>
      </c>
      <c r="BK37" s="163">
        <f>SUM(AX37:BI37)/$BJ$4</f>
        <v>48872.25</v>
      </c>
      <c r="BL37" s="900">
        <f>23623+23515+13+100</f>
        <v>47251</v>
      </c>
      <c r="BM37" s="70">
        <f>24029+24480+17</f>
        <v>48526</v>
      </c>
      <c r="BN37" s="23">
        <f>24401+24849+33+6</f>
        <v>49289</v>
      </c>
      <c r="BO37" s="70">
        <f>24734+25229+6+8</f>
        <v>49977</v>
      </c>
      <c r="BP37" s="23">
        <f>25474+25546+6+8</f>
        <v>51034</v>
      </c>
      <c r="BQ37" s="70">
        <f>25509+25406+9+10</f>
        <v>50934</v>
      </c>
      <c r="BR37" s="659">
        <f>25406+25320+25299+8+4</f>
        <v>76037</v>
      </c>
      <c r="BS37" s="70">
        <f>25260+25381+42+12</f>
        <v>50695</v>
      </c>
      <c r="BT37" s="659">
        <f>25479+25470+156</f>
        <v>51105</v>
      </c>
      <c r="BU37" s="659">
        <f>26014+26476+8+1</f>
        <v>52499</v>
      </c>
      <c r="BV37" s="659">
        <f>26539+26764+0</f>
        <v>53303</v>
      </c>
      <c r="BW37" s="659">
        <f>26977+27203+2+2</f>
        <v>54184</v>
      </c>
      <c r="BX37" s="137">
        <f>SUM(BL37:BW37)</f>
        <v>634834</v>
      </c>
      <c r="BY37" s="163">
        <f>SUM(BL37:BW37)/$BX$4</f>
        <v>52902.833333333336</v>
      </c>
      <c r="BZ37" s="659">
        <f>27264+27234+27141+4+2</f>
        <v>81645</v>
      </c>
      <c r="CA37" s="70">
        <f>27089+26999+5+1</f>
        <v>54094</v>
      </c>
      <c r="CB37" s="23">
        <f>26840+26799+7+5</f>
        <v>53651</v>
      </c>
      <c r="CC37" s="70">
        <f>26672+27059+4+7</f>
        <v>53742</v>
      </c>
      <c r="CD37" s="23">
        <f>26628+26682+136+2</f>
        <v>53448</v>
      </c>
      <c r="CE37" s="70">
        <f>26350+26558+26430+2+7</f>
        <v>79347</v>
      </c>
      <c r="CF37" s="659">
        <f>27268+28098+3+2</f>
        <v>55371</v>
      </c>
      <c r="CG37" s="70">
        <f>25696+25533+6+6</f>
        <v>51241</v>
      </c>
      <c r="CH37" s="659">
        <f>25275+25366+12+11</f>
        <v>50664</v>
      </c>
      <c r="CI37" s="659">
        <f>25568+13+25748+4</f>
        <v>51333</v>
      </c>
      <c r="CJ37" s="659">
        <f>25729+25890</f>
        <v>51619</v>
      </c>
      <c r="CK37" s="659"/>
      <c r="CL37" s="137">
        <f>SUM(BZ37:CK37)</f>
        <v>636155</v>
      </c>
      <c r="CM37" s="163">
        <f>SUM(BZ37:CK37)/$CL$4</f>
        <v>57832.272727272728</v>
      </c>
      <c r="CN37" s="683">
        <f>AX37-AU37</f>
        <v>46</v>
      </c>
      <c r="CO37" s="672">
        <f>CN37/AU37</f>
        <v>1.021133013674303E-3</v>
      </c>
      <c r="CP37" s="683">
        <f>AY37-AX37</f>
        <v>21569</v>
      </c>
      <c r="CQ37" s="672">
        <f>CP37/AX37</f>
        <v>0.47831197055040581</v>
      </c>
      <c r="CR37" s="683">
        <f>AZ37-AY37</f>
        <v>-23003</v>
      </c>
      <c r="CS37" s="672">
        <f>CR37/AY37</f>
        <v>-0.34506397851881854</v>
      </c>
      <c r="CT37" s="683">
        <f>BA37-AZ37</f>
        <v>93</v>
      </c>
      <c r="CU37" s="672">
        <f>CT37/AZ37</f>
        <v>2.1300961978928082E-3</v>
      </c>
      <c r="CV37" s="683">
        <f>BB37-BA37</f>
        <v>-404</v>
      </c>
      <c r="CW37" s="672">
        <f>CV37/BA37</f>
        <v>-9.233652549539461E-3</v>
      </c>
      <c r="CX37" s="683">
        <f>BC37-BB37</f>
        <v>-244</v>
      </c>
      <c r="CY37" s="672">
        <f>CX37/BB37</f>
        <v>-5.628734226856444E-3</v>
      </c>
      <c r="CZ37" s="683">
        <f>BD37-BC37</f>
        <v>13430</v>
      </c>
      <c r="DA37" s="672">
        <f>CZ37/BC37</f>
        <v>0.31156478366778795</v>
      </c>
      <c r="DB37" s="683">
        <f>BE37-BD37</f>
        <v>-13525</v>
      </c>
      <c r="DC37" s="672">
        <f>DB37/BD37</f>
        <v>-0.23923233395241886</v>
      </c>
      <c r="DD37" s="683">
        <f>BF37-BE37</f>
        <v>228</v>
      </c>
      <c r="DE37" s="672">
        <f>DD37/BE37</f>
        <v>5.3010927691234597E-3</v>
      </c>
      <c r="DF37" s="683">
        <f>BG37-BF37</f>
        <v>612</v>
      </c>
      <c r="DG37" s="109">
        <f>DF37/BF37</f>
        <v>1.4154216198714095E-2</v>
      </c>
      <c r="DH37" s="683">
        <f>BH37-BG37</f>
        <v>860</v>
      </c>
      <c r="DI37" s="672">
        <f>DH37/BG37</f>
        <v>1.9612314709236033E-2</v>
      </c>
      <c r="DJ37" s="683">
        <f>BI37-BH37</f>
        <v>24790</v>
      </c>
      <c r="DK37" s="672">
        <f>DJ37/BH37</f>
        <v>0.55446208901811678</v>
      </c>
      <c r="DL37" s="683">
        <f>BL37-BI37</f>
        <v>-22249</v>
      </c>
      <c r="DM37" s="672">
        <f>DL37/BI37</f>
        <v>-0.32012949640287769</v>
      </c>
      <c r="DN37" s="332">
        <f>BM37-BL37</f>
        <v>1275</v>
      </c>
      <c r="DO37" s="410">
        <f>DN37/BL37</f>
        <v>2.698355590357876E-2</v>
      </c>
      <c r="DP37" s="332">
        <f>BN37-BM37</f>
        <v>763</v>
      </c>
      <c r="DQ37" s="410">
        <f>DP37/BM37</f>
        <v>1.5723529654205991E-2</v>
      </c>
      <c r="DR37" s="332">
        <f>BO37-BN37</f>
        <v>688</v>
      </c>
      <c r="DS37" s="410">
        <f>DR37/BN37</f>
        <v>1.3958489723873481E-2</v>
      </c>
      <c r="DT37" s="332">
        <f>BP37-BO37</f>
        <v>1057</v>
      </c>
      <c r="DU37" s="410">
        <f>DT37/BO37</f>
        <v>2.1149728875282631E-2</v>
      </c>
      <c r="DV37" s="332">
        <f>BQ37-BP37</f>
        <v>-100</v>
      </c>
      <c r="DW37" s="410">
        <f>DV37/BP37</f>
        <v>-1.9594779950621154E-3</v>
      </c>
      <c r="DX37" s="332">
        <f>BR37-BQ37</f>
        <v>25103</v>
      </c>
      <c r="DY37" s="410">
        <f>DX37/BQ37</f>
        <v>0.49285349668198059</v>
      </c>
      <c r="DZ37" s="332">
        <f>BS37-BR37</f>
        <v>-25342</v>
      </c>
      <c r="EA37" s="410">
        <f>DZ37/BR37</f>
        <v>-0.33328511119586518</v>
      </c>
      <c r="EB37" s="332">
        <f>BT37-BS37</f>
        <v>410</v>
      </c>
      <c r="EC37" s="410">
        <f>EB37/BS37</f>
        <v>8.0875826018345E-3</v>
      </c>
      <c r="ED37" s="332">
        <f>BU37-BT37</f>
        <v>1394</v>
      </c>
      <c r="EE37" s="410">
        <f>ED37/BT37</f>
        <v>2.7277174444770569E-2</v>
      </c>
      <c r="EF37" s="332">
        <f>BV37-BU37</f>
        <v>804</v>
      </c>
      <c r="EG37" s="410">
        <f>EF37/BU37</f>
        <v>1.5314577420522295E-2</v>
      </c>
      <c r="EH37" s="332">
        <f>BW37-BV37</f>
        <v>881</v>
      </c>
      <c r="EI37" s="410">
        <f>EH37/BV37</f>
        <v>1.6528150385531772E-2</v>
      </c>
      <c r="EJ37" s="332">
        <f>BZ37-BW37</f>
        <v>27461</v>
      </c>
      <c r="EK37" s="410">
        <f>EJ37/BW37</f>
        <v>0.50681012845120332</v>
      </c>
      <c r="EL37" s="332">
        <f>CA37-BZ37</f>
        <v>-27551</v>
      </c>
      <c r="EM37" s="410">
        <f>EL37/BZ37</f>
        <v>-0.33744871088247902</v>
      </c>
      <c r="EN37" s="332">
        <f>CB37-CA37</f>
        <v>-443</v>
      </c>
      <c r="EO37" s="410">
        <f>EN37/CA37</f>
        <v>-8.1894479979295297E-3</v>
      </c>
      <c r="EP37" s="332">
        <f>CC37-CB37</f>
        <v>91</v>
      </c>
      <c r="EQ37" s="410">
        <f>EP37/CB37</f>
        <v>1.696147322510298E-3</v>
      </c>
      <c r="ER37" s="332">
        <f>CD37-CC37</f>
        <v>-294</v>
      </c>
      <c r="ES37" s="410">
        <f>ER37/CC37</f>
        <v>-5.4705816679691864E-3</v>
      </c>
      <c r="ET37" s="332">
        <f>CE37-CD37</f>
        <v>25899</v>
      </c>
      <c r="EU37" s="410">
        <f>ET37/CD37</f>
        <v>0.48456443646160752</v>
      </c>
      <c r="EV37" s="332">
        <f>CF37-CE37</f>
        <v>-23976</v>
      </c>
      <c r="EW37" s="410">
        <f>EV37/CE37</f>
        <v>-0.30216643351355438</v>
      </c>
      <c r="EX37" s="332">
        <f>CG37-CF37</f>
        <v>-4130</v>
      </c>
      <c r="EY37" s="410">
        <f>EX37/CF37</f>
        <v>-7.4587780607177037E-2</v>
      </c>
      <c r="EZ37" s="332">
        <f>CH37-CG37</f>
        <v>-577</v>
      </c>
      <c r="FA37" s="410">
        <f>EZ37/CG37</f>
        <v>-1.1260514041490213E-2</v>
      </c>
      <c r="FB37" s="332">
        <f>CI37-CH37</f>
        <v>669</v>
      </c>
      <c r="FC37" s="410">
        <f>FB37/CH37</f>
        <v>1.3204642349597347E-2</v>
      </c>
      <c r="FD37" s="332">
        <f>CJ37-CI37</f>
        <v>286</v>
      </c>
      <c r="FE37" s="410">
        <f>FD37/CI37</f>
        <v>5.5714647497711028E-3</v>
      </c>
      <c r="FF37" s="332">
        <f>CK37-CJ37</f>
        <v>-51619</v>
      </c>
      <c r="FG37" s="410">
        <f>FF37/CJ37</f>
        <v>-1</v>
      </c>
      <c r="FH37" s="209">
        <f>BV37</f>
        <v>53303</v>
      </c>
      <c r="FI37" s="720">
        <f>CJ37</f>
        <v>51619</v>
      </c>
      <c r="FJ37" s="122">
        <f>FI37-FH37</f>
        <v>-1684</v>
      </c>
      <c r="FK37" s="109">
        <f t="shared" ref="FK37:FK39" si="416">IF(ISERROR(FJ37/FH37),0,FJ37/FH37)</f>
        <v>-3.1592968500834852E-2</v>
      </c>
      <c r="FL37" s="707"/>
      <c r="FM37" s="707"/>
      <c r="FN37" s="707"/>
      <c r="FO37" t="str">
        <f>E37</f>
        <v>Bi Weekly Payrolls</v>
      </c>
      <c r="FP37" s="270" t="e">
        <f>#REF!</f>
        <v>#REF!</v>
      </c>
      <c r="FQ37" s="270" t="e">
        <f>#REF!</f>
        <v>#REF!</v>
      </c>
      <c r="FR37" s="270" t="e">
        <f>#REF!</f>
        <v>#REF!</v>
      </c>
      <c r="FS37" s="270" t="e">
        <f>#REF!</f>
        <v>#REF!</v>
      </c>
      <c r="FT37" s="270" t="e">
        <f>#REF!</f>
        <v>#REF!</v>
      </c>
      <c r="FU37" s="270" t="e">
        <f>#REF!</f>
        <v>#REF!</v>
      </c>
      <c r="FV37" s="270" t="e">
        <f>#REF!</f>
        <v>#REF!</v>
      </c>
      <c r="FW37" s="270" t="e">
        <f>#REF!</f>
        <v>#REF!</v>
      </c>
      <c r="FX37" s="270" t="e">
        <f>#REF!</f>
        <v>#REF!</v>
      </c>
      <c r="FY37" s="270" t="e">
        <f>#REF!</f>
        <v>#REF!</v>
      </c>
      <c r="FZ37" s="270" t="e">
        <f>#REF!</f>
        <v>#REF!</v>
      </c>
      <c r="GA37" s="271">
        <f t="shared" ref="GA37:GL40" si="417">AJ37</f>
        <v>44610</v>
      </c>
      <c r="GB37" s="271">
        <f t="shared" si="417"/>
        <v>67802</v>
      </c>
      <c r="GC37" s="271">
        <f t="shared" si="417"/>
        <v>44415</v>
      </c>
      <c r="GD37" s="271">
        <f t="shared" si="417"/>
        <v>44340</v>
      </c>
      <c r="GE37" s="271">
        <f t="shared" si="417"/>
        <v>44207</v>
      </c>
      <c r="GF37" s="271">
        <f t="shared" si="417"/>
        <v>43919</v>
      </c>
      <c r="GG37" s="271">
        <f t="shared" si="417"/>
        <v>43539</v>
      </c>
      <c r="GH37" s="271">
        <f t="shared" si="417"/>
        <v>65110</v>
      </c>
      <c r="GI37" s="271">
        <f t="shared" si="417"/>
        <v>43434</v>
      </c>
      <c r="GJ37" s="271">
        <f t="shared" si="417"/>
        <v>43744</v>
      </c>
      <c r="GK37" s="271">
        <f t="shared" si="417"/>
        <v>44090</v>
      </c>
      <c r="GL37" s="271">
        <f t="shared" si="417"/>
        <v>45048</v>
      </c>
      <c r="GM37" s="271">
        <f t="shared" ref="GM37:GX40" si="418">AX37</f>
        <v>45094</v>
      </c>
      <c r="GN37" s="271">
        <f t="shared" si="418"/>
        <v>66663</v>
      </c>
      <c r="GO37" s="271">
        <f t="shared" si="418"/>
        <v>43660</v>
      </c>
      <c r="GP37" s="271">
        <f t="shared" si="418"/>
        <v>43753</v>
      </c>
      <c r="GQ37" s="271">
        <f t="shared" si="418"/>
        <v>43349</v>
      </c>
      <c r="GR37" s="271">
        <f t="shared" si="418"/>
        <v>43105</v>
      </c>
      <c r="GS37" s="271">
        <f t="shared" si="418"/>
        <v>56535</v>
      </c>
      <c r="GT37" s="271">
        <f t="shared" si="418"/>
        <v>43010</v>
      </c>
      <c r="GU37" s="271">
        <f t="shared" si="418"/>
        <v>43238</v>
      </c>
      <c r="GV37" s="271">
        <f t="shared" si="418"/>
        <v>43850</v>
      </c>
      <c r="GW37" s="271">
        <f t="shared" si="418"/>
        <v>44710</v>
      </c>
      <c r="GX37" s="271">
        <f t="shared" si="418"/>
        <v>69500</v>
      </c>
      <c r="GY37" s="826">
        <f t="shared" ref="GY37:HJ40" si="419">BL37</f>
        <v>47251</v>
      </c>
      <c r="GZ37" s="826">
        <f t="shared" si="419"/>
        <v>48526</v>
      </c>
      <c r="HA37" s="826">
        <f t="shared" si="419"/>
        <v>49289</v>
      </c>
      <c r="HB37" s="826">
        <f t="shared" si="419"/>
        <v>49977</v>
      </c>
      <c r="HC37" s="826">
        <f t="shared" si="419"/>
        <v>51034</v>
      </c>
      <c r="HD37" s="826">
        <f t="shared" si="419"/>
        <v>50934</v>
      </c>
      <c r="HE37" s="826">
        <f t="shared" si="419"/>
        <v>76037</v>
      </c>
      <c r="HF37" s="826">
        <f t="shared" si="419"/>
        <v>50695</v>
      </c>
      <c r="HG37" s="826">
        <f t="shared" si="419"/>
        <v>51105</v>
      </c>
      <c r="HH37" s="826">
        <f t="shared" si="419"/>
        <v>52499</v>
      </c>
      <c r="HI37" s="826">
        <f t="shared" si="419"/>
        <v>53303</v>
      </c>
      <c r="HJ37" s="826">
        <f t="shared" si="419"/>
        <v>54184</v>
      </c>
      <c r="HK37" s="954">
        <f>BZ37</f>
        <v>81645</v>
      </c>
      <c r="HL37" s="954">
        <f t="shared" ref="HL37:HV40" si="420">CA37</f>
        <v>54094</v>
      </c>
      <c r="HM37" s="954">
        <f t="shared" si="420"/>
        <v>53651</v>
      </c>
      <c r="HN37" s="954">
        <f t="shared" si="420"/>
        <v>53742</v>
      </c>
      <c r="HO37" s="954">
        <f t="shared" si="420"/>
        <v>53448</v>
      </c>
      <c r="HP37" s="954">
        <f t="shared" si="420"/>
        <v>79347</v>
      </c>
      <c r="HQ37" s="954">
        <f t="shared" si="420"/>
        <v>55371</v>
      </c>
      <c r="HR37" s="954">
        <f t="shared" si="420"/>
        <v>51241</v>
      </c>
      <c r="HS37" s="954">
        <f t="shared" si="420"/>
        <v>50664</v>
      </c>
      <c r="HT37" s="954">
        <f t="shared" si="420"/>
        <v>51333</v>
      </c>
      <c r="HU37" s="954">
        <f t="shared" si="420"/>
        <v>51619</v>
      </c>
      <c r="HV37" s="954">
        <f t="shared" si="420"/>
        <v>0</v>
      </c>
    </row>
    <row r="38" spans="1:230" s="2" customFormat="1" x14ac:dyDescent="0.25">
      <c r="A38" s="802"/>
      <c r="B38" s="56">
        <v>5.2</v>
      </c>
      <c r="C38" s="7"/>
      <c r="D38" s="119"/>
      <c r="E38" s="1046" t="s">
        <v>238</v>
      </c>
      <c r="F38" s="1046"/>
      <c r="G38" s="1047"/>
      <c r="H38" s="376">
        <v>66733</v>
      </c>
      <c r="I38" s="70">
        <v>66715</v>
      </c>
      <c r="J38" s="23">
        <v>67191</v>
      </c>
      <c r="K38" s="70">
        <v>66846</v>
      </c>
      <c r="L38" s="23">
        <v>67040</v>
      </c>
      <c r="M38" s="70">
        <v>66917</v>
      </c>
      <c r="N38" s="23">
        <v>67098</v>
      </c>
      <c r="O38" s="70">
        <v>66733</v>
      </c>
      <c r="P38" s="23">
        <v>67200</v>
      </c>
      <c r="Q38" s="70">
        <v>67343</v>
      </c>
      <c r="R38" s="23">
        <v>66228</v>
      </c>
      <c r="S38" s="70">
        <v>65584</v>
      </c>
      <c r="T38" s="137">
        <v>801628</v>
      </c>
      <c r="U38" s="163">
        <v>66802.333333333328</v>
      </c>
      <c r="V38" s="376">
        <f>65706+31</f>
        <v>65737</v>
      </c>
      <c r="W38" s="70">
        <f>65039+20</f>
        <v>65059</v>
      </c>
      <c r="X38" s="23">
        <f>64599+67</f>
        <v>64666</v>
      </c>
      <c r="Y38" s="70">
        <f>64358+4</f>
        <v>64362</v>
      </c>
      <c r="Z38" s="23">
        <v>64525</v>
      </c>
      <c r="AA38" s="70">
        <v>63982</v>
      </c>
      <c r="AB38" s="23">
        <v>63928</v>
      </c>
      <c r="AC38" s="70">
        <v>66882</v>
      </c>
      <c r="AD38" s="23">
        <v>64031</v>
      </c>
      <c r="AE38" s="70">
        <v>63748</v>
      </c>
      <c r="AF38" s="23">
        <v>63745</v>
      </c>
      <c r="AG38" s="70">
        <v>67045</v>
      </c>
      <c r="AH38" s="137">
        <v>777710</v>
      </c>
      <c r="AI38" s="163">
        <v>64809.166666666664</v>
      </c>
      <c r="AJ38" s="376">
        <f>66922+17</f>
        <v>66939</v>
      </c>
      <c r="AK38" s="70">
        <f>67074+13</f>
        <v>67087</v>
      </c>
      <c r="AL38" s="23">
        <f>66956+19</f>
        <v>66975</v>
      </c>
      <c r="AM38" s="70">
        <f>67117+10</f>
        <v>67127</v>
      </c>
      <c r="AN38" s="23">
        <f>67077+13</f>
        <v>67090</v>
      </c>
      <c r="AO38" s="70">
        <f>67166+21</f>
        <v>67187</v>
      </c>
      <c r="AP38" s="634">
        <f>67462+19</f>
        <v>67481</v>
      </c>
      <c r="AQ38" s="70">
        <f>67387+11</f>
        <v>67398</v>
      </c>
      <c r="AR38" s="634">
        <f>67501+9</f>
        <v>67510</v>
      </c>
      <c r="AS38" s="70">
        <f>67557+15</f>
        <v>67572</v>
      </c>
      <c r="AT38" s="634">
        <f>67496+17</f>
        <v>67513</v>
      </c>
      <c r="AU38" s="70">
        <f>67373+15</f>
        <v>67388</v>
      </c>
      <c r="AV38" s="137">
        <f>SUM(AJ38:AU38)</f>
        <v>807267</v>
      </c>
      <c r="AW38" s="163">
        <f>SUM(AJ38:AU38)/$AV$4</f>
        <v>67272.25</v>
      </c>
      <c r="AX38" s="376">
        <f>67288+17</f>
        <v>67305</v>
      </c>
      <c r="AY38" s="70">
        <f>67171+9</f>
        <v>67180</v>
      </c>
      <c r="AZ38" s="23">
        <f>67029+27</f>
        <v>67056</v>
      </c>
      <c r="BA38" s="70">
        <f>66890+8</f>
        <v>66898</v>
      </c>
      <c r="BB38" s="23">
        <f>66764+6</f>
        <v>66770</v>
      </c>
      <c r="BC38" s="70">
        <f>66681+8</f>
        <v>66689</v>
      </c>
      <c r="BD38" s="634">
        <f>66719+14</f>
        <v>66733</v>
      </c>
      <c r="BE38" s="70">
        <f>66521+9</f>
        <v>66530</v>
      </c>
      <c r="BF38" s="634">
        <f>66520+17</f>
        <v>66537</v>
      </c>
      <c r="BG38" s="70">
        <f>66589+16</f>
        <v>66605</v>
      </c>
      <c r="BH38" s="634">
        <f>66585+8</f>
        <v>66593</v>
      </c>
      <c r="BI38" s="70">
        <f>66693+10</f>
        <v>66703</v>
      </c>
      <c r="BJ38" s="137">
        <f>SUM(AX38:BI38)</f>
        <v>801599</v>
      </c>
      <c r="BK38" s="163">
        <f>SUM(AX38:BI38)/$BJ$4</f>
        <v>66799.916666666672</v>
      </c>
      <c r="BL38" s="376">
        <f>66572+11</f>
        <v>66583</v>
      </c>
      <c r="BM38" s="70">
        <f>66873+15</f>
        <v>66888</v>
      </c>
      <c r="BN38" s="23">
        <f>66551+35</f>
        <v>66586</v>
      </c>
      <c r="BO38" s="70">
        <f>66612+11</f>
        <v>66623</v>
      </c>
      <c r="BP38" s="23">
        <f>66427+3</f>
        <v>66430</v>
      </c>
      <c r="BQ38" s="70">
        <f>66332+27</f>
        <v>66359</v>
      </c>
      <c r="BR38" s="634">
        <f>66523+7</f>
        <v>66530</v>
      </c>
      <c r="BS38" s="70">
        <f>66345+12</f>
        <v>66357</v>
      </c>
      <c r="BT38" s="634">
        <f>66366+0</f>
        <v>66366</v>
      </c>
      <c r="BU38" s="634">
        <f>66482+8</f>
        <v>66490</v>
      </c>
      <c r="BV38" s="634">
        <f>66527+6</f>
        <v>66533</v>
      </c>
      <c r="BW38" s="634">
        <f>66927+23</f>
        <v>66950</v>
      </c>
      <c r="BX38" s="137">
        <f>SUM(BL38:BW38)</f>
        <v>798695</v>
      </c>
      <c r="BY38" s="163">
        <f>SUM(BL38:BW38)/$BX$4</f>
        <v>66557.916666666672</v>
      </c>
      <c r="BZ38" s="634">
        <f>66954+18</f>
        <v>66972</v>
      </c>
      <c r="CA38" s="70">
        <f>67062+25</f>
        <v>67087</v>
      </c>
      <c r="CB38" s="23">
        <f>66988+16</f>
        <v>67004</v>
      </c>
      <c r="CC38" s="70">
        <f>66969+14</f>
        <v>66983</v>
      </c>
      <c r="CD38" s="23">
        <f>67009+27</f>
        <v>67036</v>
      </c>
      <c r="CE38" s="70">
        <f>67538+45</f>
        <v>67583</v>
      </c>
      <c r="CF38" s="634">
        <f>67300+6</f>
        <v>67306</v>
      </c>
      <c r="CG38" s="70">
        <f>67336+36</f>
        <v>67372</v>
      </c>
      <c r="CH38" s="634">
        <f>67304+25</f>
        <v>67329</v>
      </c>
      <c r="CI38" s="634">
        <f>67231+27</f>
        <v>67258</v>
      </c>
      <c r="CJ38" s="634">
        <f>67189+24</f>
        <v>67213</v>
      </c>
      <c r="CK38" s="634"/>
      <c r="CL38" s="137">
        <f>SUM(BZ38:CK38)</f>
        <v>739143</v>
      </c>
      <c r="CM38" s="163">
        <f>SUM(BZ38:CK38)/$CL$4</f>
        <v>67194.818181818177</v>
      </c>
      <c r="CN38" s="683">
        <f>AX38-AU38</f>
        <v>-83</v>
      </c>
      <c r="CO38" s="672">
        <f>CN38/AU38</f>
        <v>-1.2316732949486555E-3</v>
      </c>
      <c r="CP38" s="683">
        <f>AY38-AX38</f>
        <v>-125</v>
      </c>
      <c r="CQ38" s="672">
        <f>CP38/AX38</f>
        <v>-1.8572171458286903E-3</v>
      </c>
      <c r="CR38" s="683">
        <f>AZ38-AY38</f>
        <v>-124</v>
      </c>
      <c r="CS38" s="672">
        <f>CR38/AY38</f>
        <v>-1.8457874367371241E-3</v>
      </c>
      <c r="CT38" s="683">
        <f>BA38-AZ38</f>
        <v>-158</v>
      </c>
      <c r="CU38" s="672">
        <f>CT38/AZ38</f>
        <v>-2.3562395609639706E-3</v>
      </c>
      <c r="CV38" s="683">
        <f>BB38-BA38</f>
        <v>-128</v>
      </c>
      <c r="CW38" s="672">
        <f>CV38/BA38</f>
        <v>-1.9133606385841131E-3</v>
      </c>
      <c r="CX38" s="683">
        <f>BC38-BB38</f>
        <v>-81</v>
      </c>
      <c r="CY38" s="672">
        <f>CX38/BB38</f>
        <v>-1.2131196645199941E-3</v>
      </c>
      <c r="CZ38" s="683">
        <f>BD38-BC38</f>
        <v>44</v>
      </c>
      <c r="DA38" s="672">
        <f>CZ38/BC38</f>
        <v>6.5977897404369539E-4</v>
      </c>
      <c r="DB38" s="683">
        <f>BE38-BD38</f>
        <v>-203</v>
      </c>
      <c r="DC38" s="672">
        <f>DB38/BD38</f>
        <v>-3.0419732366295535E-3</v>
      </c>
      <c r="DD38" s="683">
        <f>BF38-BE38</f>
        <v>7</v>
      </c>
      <c r="DE38" s="672">
        <f>DD38/BE38</f>
        <v>1.0521569216894635E-4</v>
      </c>
      <c r="DF38" s="683">
        <f>BG38-BF38</f>
        <v>68</v>
      </c>
      <c r="DG38" s="109">
        <f>DF38/BF38</f>
        <v>1.0219877662052692E-3</v>
      </c>
      <c r="DH38" s="683">
        <f>BH38-BG38</f>
        <v>-12</v>
      </c>
      <c r="DI38" s="672">
        <f>DH38/BG38</f>
        <v>-1.8016665415509345E-4</v>
      </c>
      <c r="DJ38" s="683">
        <f>BI38-BH38</f>
        <v>110</v>
      </c>
      <c r="DK38" s="672">
        <f>DJ38/BH38</f>
        <v>1.6518252669199466E-3</v>
      </c>
      <c r="DL38" s="683">
        <f>BL38-BI38</f>
        <v>-120</v>
      </c>
      <c r="DM38" s="672">
        <f>DL38/BI38</f>
        <v>-1.7990195343537772E-3</v>
      </c>
      <c r="DN38" s="332">
        <f>BM38-BL38</f>
        <v>305</v>
      </c>
      <c r="DO38" s="410">
        <f>DN38/BL38</f>
        <v>4.5807488397939418E-3</v>
      </c>
      <c r="DP38" s="332">
        <f>BN38-BM38</f>
        <v>-302</v>
      </c>
      <c r="DQ38" s="410">
        <f>DP38/BM38</f>
        <v>-4.5150101662480568E-3</v>
      </c>
      <c r="DR38" s="332">
        <f>BO38-BN38</f>
        <v>37</v>
      </c>
      <c r="DS38" s="410">
        <f>DR38/BN38</f>
        <v>5.5567236355990744E-4</v>
      </c>
      <c r="DT38" s="332">
        <f>BP38-BO38</f>
        <v>-193</v>
      </c>
      <c r="DU38" s="410">
        <f>DT38/BO38</f>
        <v>-2.896897467841436E-3</v>
      </c>
      <c r="DV38" s="332">
        <f>BQ38-BP38</f>
        <v>-71</v>
      </c>
      <c r="DW38" s="410">
        <f>DV38/BP38</f>
        <v>-1.0687942194791511E-3</v>
      </c>
      <c r="DX38" s="332">
        <f>BR38-BQ38</f>
        <v>171</v>
      </c>
      <c r="DY38" s="410">
        <f>DX38/BQ38</f>
        <v>2.5768923582332464E-3</v>
      </c>
      <c r="DZ38" s="332">
        <f>BS38-BR38</f>
        <v>-173</v>
      </c>
      <c r="EA38" s="410">
        <f>DZ38/BR38</f>
        <v>-2.6003306778896737E-3</v>
      </c>
      <c r="EB38" s="332">
        <f>BT38-BS38</f>
        <v>9</v>
      </c>
      <c r="EC38" s="410">
        <f>EB38/BS38</f>
        <v>1.356300013563E-4</v>
      </c>
      <c r="ED38" s="332">
        <f>BU38-BT38</f>
        <v>124</v>
      </c>
      <c r="EE38" s="410">
        <f>ED38/BT38</f>
        <v>1.8684266039839677E-3</v>
      </c>
      <c r="EF38" s="332">
        <f>BV38-BU38</f>
        <v>43</v>
      </c>
      <c r="EG38" s="410">
        <f>EF38/BU38</f>
        <v>6.4671379154760116E-4</v>
      </c>
      <c r="EH38" s="332">
        <f>BW38-BV38</f>
        <v>417</v>
      </c>
      <c r="EI38" s="410">
        <f>EH38/BV38</f>
        <v>6.2675664707739021E-3</v>
      </c>
      <c r="EJ38" s="332">
        <f>BZ38-BW38</f>
        <v>22</v>
      </c>
      <c r="EK38" s="410">
        <f>EJ38/BW38</f>
        <v>3.2860343539955193E-4</v>
      </c>
      <c r="EL38" s="332">
        <f>CA38-BZ38</f>
        <v>115</v>
      </c>
      <c r="EM38" s="410">
        <f>EL38/BZ38</f>
        <v>1.7171355193215075E-3</v>
      </c>
      <c r="EN38" s="332">
        <f>CB38-CA38</f>
        <v>-83</v>
      </c>
      <c r="EO38" s="410">
        <f>EN38/CA38</f>
        <v>-1.2371994574209609E-3</v>
      </c>
      <c r="EP38" s="332">
        <f>CC38-CB38</f>
        <v>-21</v>
      </c>
      <c r="EQ38" s="410">
        <f>EP38/CB38</f>
        <v>-3.1341412452987879E-4</v>
      </c>
      <c r="ER38" s="332">
        <f>CD38-CC38</f>
        <v>53</v>
      </c>
      <c r="ES38" s="410">
        <f>ER38/CC38</f>
        <v>7.9124553991311226E-4</v>
      </c>
      <c r="ET38" s="332">
        <f>CE38-CD38</f>
        <v>547</v>
      </c>
      <c r="EU38" s="410">
        <f>ET38/CD38</f>
        <v>8.1597947371561553E-3</v>
      </c>
      <c r="EV38" s="332">
        <f>CF38-CE38</f>
        <v>-277</v>
      </c>
      <c r="EW38" s="410">
        <f>EV38/CE38</f>
        <v>-4.0986638651731942E-3</v>
      </c>
      <c r="EX38" s="332">
        <f>CG38-CF38</f>
        <v>66</v>
      </c>
      <c r="EY38" s="410">
        <f>EX38/CF38</f>
        <v>9.8059608355867238E-4</v>
      </c>
      <c r="EZ38" s="332">
        <f>CH38-CG38</f>
        <v>-43</v>
      </c>
      <c r="FA38" s="410">
        <f>EZ38/CG38</f>
        <v>-6.3824734310989725E-4</v>
      </c>
      <c r="FB38" s="332">
        <f>CI38-CH38</f>
        <v>-71</v>
      </c>
      <c r="FC38" s="410">
        <f>FB38/CH38</f>
        <v>-1.0545233109061473E-3</v>
      </c>
      <c r="FD38" s="332">
        <f>CJ38-CI38</f>
        <v>-45</v>
      </c>
      <c r="FE38" s="410">
        <f>FD38/CI38</f>
        <v>-6.6906538999078179E-4</v>
      </c>
      <c r="FF38" s="332">
        <f>CK38-CJ38</f>
        <v>-67213</v>
      </c>
      <c r="FG38" s="410">
        <f>FF38/CJ38</f>
        <v>-1</v>
      </c>
      <c r="FH38" s="209">
        <f>BV38</f>
        <v>66533</v>
      </c>
      <c r="FI38" s="720">
        <f>CJ38</f>
        <v>67213</v>
      </c>
      <c r="FJ38" s="122">
        <f>FI38-FH38</f>
        <v>680</v>
      </c>
      <c r="FK38" s="109">
        <f t="shared" si="416"/>
        <v>1.0220492086633701E-2</v>
      </c>
      <c r="FL38" s="707"/>
      <c r="FM38" s="707"/>
      <c r="FN38" s="707"/>
      <c r="FO38" s="2" t="str">
        <f>E38</f>
        <v>Monthly Payrolls</v>
      </c>
      <c r="FP38" s="270" t="e">
        <f>#REF!</f>
        <v>#REF!</v>
      </c>
      <c r="FQ38" s="270" t="e">
        <f>#REF!</f>
        <v>#REF!</v>
      </c>
      <c r="FR38" s="270" t="e">
        <f>#REF!</f>
        <v>#REF!</v>
      </c>
      <c r="FS38" s="270" t="e">
        <f>#REF!</f>
        <v>#REF!</v>
      </c>
      <c r="FT38" s="270" t="e">
        <f>#REF!</f>
        <v>#REF!</v>
      </c>
      <c r="FU38" s="270" t="e">
        <f>#REF!</f>
        <v>#REF!</v>
      </c>
      <c r="FV38" s="270" t="e">
        <f>#REF!</f>
        <v>#REF!</v>
      </c>
      <c r="FW38" s="270" t="e">
        <f>#REF!</f>
        <v>#REF!</v>
      </c>
      <c r="FX38" s="270" t="e">
        <f>#REF!</f>
        <v>#REF!</v>
      </c>
      <c r="FY38" s="270" t="e">
        <f>#REF!</f>
        <v>#REF!</v>
      </c>
      <c r="FZ38" s="270" t="e">
        <f>#REF!</f>
        <v>#REF!</v>
      </c>
      <c r="GA38" s="271">
        <f t="shared" si="417"/>
        <v>66939</v>
      </c>
      <c r="GB38" s="271">
        <f t="shared" si="417"/>
        <v>67087</v>
      </c>
      <c r="GC38" s="271">
        <f t="shared" si="417"/>
        <v>66975</v>
      </c>
      <c r="GD38" s="271">
        <f t="shared" si="417"/>
        <v>67127</v>
      </c>
      <c r="GE38" s="271">
        <f t="shared" si="417"/>
        <v>67090</v>
      </c>
      <c r="GF38" s="271">
        <f t="shared" si="417"/>
        <v>67187</v>
      </c>
      <c r="GG38" s="271">
        <f t="shared" si="417"/>
        <v>67481</v>
      </c>
      <c r="GH38" s="271">
        <f t="shared" si="417"/>
        <v>67398</v>
      </c>
      <c r="GI38" s="271">
        <f t="shared" si="417"/>
        <v>67510</v>
      </c>
      <c r="GJ38" s="271">
        <f t="shared" si="417"/>
        <v>67572</v>
      </c>
      <c r="GK38" s="271">
        <f t="shared" si="417"/>
        <v>67513</v>
      </c>
      <c r="GL38" s="271">
        <f t="shared" si="417"/>
        <v>67388</v>
      </c>
      <c r="GM38" s="271">
        <f t="shared" si="418"/>
        <v>67305</v>
      </c>
      <c r="GN38" s="271">
        <f t="shared" si="418"/>
        <v>67180</v>
      </c>
      <c r="GO38" s="271">
        <f t="shared" si="418"/>
        <v>67056</v>
      </c>
      <c r="GP38" s="271">
        <f t="shared" si="418"/>
        <v>66898</v>
      </c>
      <c r="GQ38" s="271">
        <f t="shared" si="418"/>
        <v>66770</v>
      </c>
      <c r="GR38" s="271">
        <f t="shared" si="418"/>
        <v>66689</v>
      </c>
      <c r="GS38" s="271">
        <f t="shared" si="418"/>
        <v>66733</v>
      </c>
      <c r="GT38" s="271">
        <f t="shared" si="418"/>
        <v>66530</v>
      </c>
      <c r="GU38" s="271">
        <f t="shared" si="418"/>
        <v>66537</v>
      </c>
      <c r="GV38" s="271">
        <f t="shared" si="418"/>
        <v>66605</v>
      </c>
      <c r="GW38" s="271">
        <f t="shared" si="418"/>
        <v>66593</v>
      </c>
      <c r="GX38" s="271">
        <f t="shared" si="418"/>
        <v>66703</v>
      </c>
      <c r="GY38" s="826">
        <f t="shared" si="419"/>
        <v>66583</v>
      </c>
      <c r="GZ38" s="826">
        <f t="shared" si="419"/>
        <v>66888</v>
      </c>
      <c r="HA38" s="826">
        <f t="shared" si="419"/>
        <v>66586</v>
      </c>
      <c r="HB38" s="826">
        <f t="shared" si="419"/>
        <v>66623</v>
      </c>
      <c r="HC38" s="826">
        <f t="shared" si="419"/>
        <v>66430</v>
      </c>
      <c r="HD38" s="826">
        <f t="shared" si="419"/>
        <v>66359</v>
      </c>
      <c r="HE38" s="826">
        <f t="shared" si="419"/>
        <v>66530</v>
      </c>
      <c r="HF38" s="826">
        <f t="shared" si="419"/>
        <v>66357</v>
      </c>
      <c r="HG38" s="826">
        <f t="shared" si="419"/>
        <v>66366</v>
      </c>
      <c r="HH38" s="826">
        <f t="shared" si="419"/>
        <v>66490</v>
      </c>
      <c r="HI38" s="826">
        <f t="shared" si="419"/>
        <v>66533</v>
      </c>
      <c r="HJ38" s="826">
        <f t="shared" si="419"/>
        <v>66950</v>
      </c>
      <c r="HK38" s="954">
        <f>BZ38</f>
        <v>66972</v>
      </c>
      <c r="HL38" s="954">
        <f t="shared" si="420"/>
        <v>67087</v>
      </c>
      <c r="HM38" s="954">
        <f t="shared" si="420"/>
        <v>67004</v>
      </c>
      <c r="HN38" s="954">
        <f t="shared" si="420"/>
        <v>66983</v>
      </c>
      <c r="HO38" s="954">
        <f t="shared" si="420"/>
        <v>67036</v>
      </c>
      <c r="HP38" s="954">
        <f t="shared" si="420"/>
        <v>67583</v>
      </c>
      <c r="HQ38" s="954">
        <f t="shared" si="420"/>
        <v>67306</v>
      </c>
      <c r="HR38" s="954">
        <f t="shared" si="420"/>
        <v>67372</v>
      </c>
      <c r="HS38" s="954">
        <f t="shared" si="420"/>
        <v>67329</v>
      </c>
      <c r="HT38" s="954">
        <f t="shared" si="420"/>
        <v>67258</v>
      </c>
      <c r="HU38" s="954">
        <f t="shared" si="420"/>
        <v>67213</v>
      </c>
      <c r="HV38" s="954">
        <f t="shared" si="420"/>
        <v>0</v>
      </c>
    </row>
    <row r="39" spans="1:230" s="29" customFormat="1" x14ac:dyDescent="0.25">
      <c r="A39" s="802"/>
      <c r="B39" s="58">
        <v>5.3</v>
      </c>
      <c r="C39" s="28"/>
      <c r="D39" s="120"/>
      <c r="E39" s="1052" t="s">
        <v>163</v>
      </c>
      <c r="F39" s="1052"/>
      <c r="G39" s="1053"/>
      <c r="H39" s="390">
        <v>126699</v>
      </c>
      <c r="I39" s="71">
        <v>126741</v>
      </c>
      <c r="J39" s="34">
        <v>126838</v>
      </c>
      <c r="K39" s="71">
        <v>126572</v>
      </c>
      <c r="L39" s="34">
        <v>126945</v>
      </c>
      <c r="M39" s="71">
        <v>126740</v>
      </c>
      <c r="N39" s="34">
        <v>126515</v>
      </c>
      <c r="O39" s="71">
        <v>125849</v>
      </c>
      <c r="P39" s="34">
        <v>156184</v>
      </c>
      <c r="Q39" s="71">
        <v>126852</v>
      </c>
      <c r="R39" s="34">
        <v>126190</v>
      </c>
      <c r="S39" s="71">
        <v>125191</v>
      </c>
      <c r="T39" s="138">
        <v>1547316</v>
      </c>
      <c r="U39" s="158">
        <v>128943</v>
      </c>
      <c r="V39" s="390">
        <f t="shared" ref="V39:Y39" si="421">SUM(V37:V38)</f>
        <v>125806</v>
      </c>
      <c r="W39" s="71">
        <f t="shared" si="421"/>
        <v>158093</v>
      </c>
      <c r="X39" s="34">
        <f t="shared" si="421"/>
        <v>127601</v>
      </c>
      <c r="Y39" s="71">
        <f t="shared" si="421"/>
        <v>127126</v>
      </c>
      <c r="Z39" s="34">
        <v>127310</v>
      </c>
      <c r="AA39" s="71">
        <v>126982</v>
      </c>
      <c r="AB39" s="34">
        <v>159360</v>
      </c>
      <c r="AC39" s="71">
        <v>126853</v>
      </c>
      <c r="AD39" s="34">
        <v>124326</v>
      </c>
      <c r="AE39" s="71">
        <v>124270</v>
      </c>
      <c r="AF39" s="34">
        <v>101154</v>
      </c>
      <c r="AG39" s="71">
        <v>107450</v>
      </c>
      <c r="AH39" s="138">
        <v>1536331</v>
      </c>
      <c r="AI39" s="158">
        <v>128027.58333333333</v>
      </c>
      <c r="AJ39" s="390">
        <f>SUM(AJ37:AJ38)</f>
        <v>111549</v>
      </c>
      <c r="AK39" s="71">
        <f t="shared" ref="AK39:AU39" si="422">SUM(AK37:AK38)</f>
        <v>134889</v>
      </c>
      <c r="AL39" s="34">
        <f t="shared" si="422"/>
        <v>111390</v>
      </c>
      <c r="AM39" s="71">
        <f t="shared" si="422"/>
        <v>111467</v>
      </c>
      <c r="AN39" s="34">
        <f t="shared" si="422"/>
        <v>111297</v>
      </c>
      <c r="AO39" s="71">
        <f t="shared" si="422"/>
        <v>111106</v>
      </c>
      <c r="AP39" s="641">
        <f t="shared" si="422"/>
        <v>111020</v>
      </c>
      <c r="AQ39" s="71">
        <f t="shared" si="422"/>
        <v>132508</v>
      </c>
      <c r="AR39" s="641">
        <f t="shared" si="422"/>
        <v>110944</v>
      </c>
      <c r="AS39" s="71">
        <f t="shared" si="422"/>
        <v>111316</v>
      </c>
      <c r="AT39" s="641">
        <f t="shared" si="422"/>
        <v>111603</v>
      </c>
      <c r="AU39" s="71">
        <f t="shared" si="422"/>
        <v>112436</v>
      </c>
      <c r="AV39" s="138">
        <f>SUM(AJ39:AU39)</f>
        <v>1381525</v>
      </c>
      <c r="AW39" s="158">
        <f>SUM(AJ39:AU39)/$AV$4</f>
        <v>115127.08333333333</v>
      </c>
      <c r="AX39" s="390">
        <f t="shared" ref="AX39:BC39" si="423">SUM(AX37:AX38)</f>
        <v>112399</v>
      </c>
      <c r="AY39" s="71">
        <f t="shared" si="423"/>
        <v>133843</v>
      </c>
      <c r="AZ39" s="34">
        <f t="shared" si="423"/>
        <v>110716</v>
      </c>
      <c r="BA39" s="71">
        <f t="shared" si="423"/>
        <v>110651</v>
      </c>
      <c r="BB39" s="34">
        <f t="shared" si="423"/>
        <v>110119</v>
      </c>
      <c r="BC39" s="71">
        <f t="shared" si="423"/>
        <v>109794</v>
      </c>
      <c r="BD39" s="641">
        <f t="shared" ref="BD39:BI39" si="424">SUM(BD37:BD38)</f>
        <v>123268</v>
      </c>
      <c r="BE39" s="71">
        <f t="shared" si="424"/>
        <v>109540</v>
      </c>
      <c r="BF39" s="641">
        <f t="shared" si="424"/>
        <v>109775</v>
      </c>
      <c r="BG39" s="71">
        <f t="shared" si="424"/>
        <v>110455</v>
      </c>
      <c r="BH39" s="641">
        <f t="shared" si="424"/>
        <v>111303</v>
      </c>
      <c r="BI39" s="71">
        <f t="shared" si="424"/>
        <v>136203</v>
      </c>
      <c r="BJ39" s="138">
        <f>SUM(AX39:BI39)</f>
        <v>1388066</v>
      </c>
      <c r="BK39" s="158">
        <f>SUM(AX39:BI39)/$BJ$4</f>
        <v>115672.16666666667</v>
      </c>
      <c r="BL39" s="390">
        <f t="shared" ref="BL39" si="425">SUM(BL37:BL38)</f>
        <v>113834</v>
      </c>
      <c r="BM39" s="71">
        <f t="shared" ref="BM39:BN39" si="426">SUM(BM37:BM38)</f>
        <v>115414</v>
      </c>
      <c r="BN39" s="34">
        <f t="shared" si="426"/>
        <v>115875</v>
      </c>
      <c r="BO39" s="71">
        <f t="shared" ref="BO39" si="427">SUM(BO37:BO38)</f>
        <v>116600</v>
      </c>
      <c r="BP39" s="34">
        <f t="shared" ref="BP39:BQ39" si="428">SUM(BP37:BP38)</f>
        <v>117464</v>
      </c>
      <c r="BQ39" s="71">
        <f t="shared" si="428"/>
        <v>117293</v>
      </c>
      <c r="BR39" s="641">
        <f t="shared" ref="BR39" si="429">SUM(BR37:BR38)</f>
        <v>142567</v>
      </c>
      <c r="BS39" s="71">
        <f t="shared" ref="BS39:BT39" si="430">SUM(BS37:BS38)</f>
        <v>117052</v>
      </c>
      <c r="BT39" s="641">
        <f t="shared" si="430"/>
        <v>117471</v>
      </c>
      <c r="BU39" s="641">
        <f t="shared" ref="BU39" si="431">SUM(BU37:BU38)</f>
        <v>118989</v>
      </c>
      <c r="BV39" s="641">
        <f t="shared" ref="BV39:BW39" si="432">SUM(BV37:BV38)</f>
        <v>119836</v>
      </c>
      <c r="BW39" s="641">
        <f t="shared" si="432"/>
        <v>121134</v>
      </c>
      <c r="BX39" s="138">
        <f>SUM(BL39:BW39)</f>
        <v>1433529</v>
      </c>
      <c r="BY39" s="158">
        <f>SUM(BL39:BW39)/$BX$4</f>
        <v>119460.75</v>
      </c>
      <c r="BZ39" s="641">
        <f t="shared" ref="BZ39:CA39" si="433">SUM(BZ37:BZ38)</f>
        <v>148617</v>
      </c>
      <c r="CA39" s="71">
        <f t="shared" si="433"/>
        <v>121181</v>
      </c>
      <c r="CB39" s="34">
        <f t="shared" ref="CB39:CC39" si="434">SUM(CB37:CB38)</f>
        <v>120655</v>
      </c>
      <c r="CC39" s="71">
        <f t="shared" si="434"/>
        <v>120725</v>
      </c>
      <c r="CD39" s="34">
        <f t="shared" ref="CD39:CE39" si="435">SUM(CD37:CD38)</f>
        <v>120484</v>
      </c>
      <c r="CE39" s="71">
        <f t="shared" si="435"/>
        <v>146930</v>
      </c>
      <c r="CF39" s="641">
        <f t="shared" ref="CF39:CG39" si="436">SUM(CF37:CF38)</f>
        <v>122677</v>
      </c>
      <c r="CG39" s="71">
        <f t="shared" si="436"/>
        <v>118613</v>
      </c>
      <c r="CH39" s="641">
        <f t="shared" ref="CH39:CI39" si="437">SUM(CH37:CH38)</f>
        <v>117993</v>
      </c>
      <c r="CI39" s="641">
        <f t="shared" si="437"/>
        <v>118591</v>
      </c>
      <c r="CJ39" s="641">
        <f t="shared" ref="CJ39" si="438">SUM(CJ37:CJ38)</f>
        <v>118832</v>
      </c>
      <c r="CK39" s="641"/>
      <c r="CL39" s="138">
        <f>SUM(BZ39:CK39)</f>
        <v>1375298</v>
      </c>
      <c r="CM39" s="158">
        <f>SUM(BZ39:CK39)/$CL$4</f>
        <v>125027.09090909091</v>
      </c>
      <c r="CN39" s="684">
        <f>AX39-AU39</f>
        <v>-37</v>
      </c>
      <c r="CO39" s="685">
        <f>CN39/AU39</f>
        <v>-3.2907609662385711E-4</v>
      </c>
      <c r="CP39" s="684">
        <f>AY39-AX39</f>
        <v>21444</v>
      </c>
      <c r="CQ39" s="685">
        <f>CP39/AX39</f>
        <v>0.1907846155214904</v>
      </c>
      <c r="CR39" s="684">
        <f>AZ39-AY39</f>
        <v>-23127</v>
      </c>
      <c r="CS39" s="685">
        <f>CR39/AY39</f>
        <v>-0.17279200257017552</v>
      </c>
      <c r="CT39" s="684">
        <f>BA39-AZ39</f>
        <v>-65</v>
      </c>
      <c r="CU39" s="685">
        <f>CT39/AZ39</f>
        <v>-5.8708768380360567E-4</v>
      </c>
      <c r="CV39" s="684">
        <f>BB39-BA39</f>
        <v>-532</v>
      </c>
      <c r="CW39" s="685">
        <f>CV39/BA39</f>
        <v>-4.8079095534608813E-3</v>
      </c>
      <c r="CX39" s="684">
        <f>BC39-BB39</f>
        <v>-325</v>
      </c>
      <c r="CY39" s="685">
        <f>CX39/BB39</f>
        <v>-2.9513526276119472E-3</v>
      </c>
      <c r="CZ39" s="684">
        <f>BD39-BC39</f>
        <v>13474</v>
      </c>
      <c r="DA39" s="685">
        <f>CZ39/BC39</f>
        <v>0.12272073155181522</v>
      </c>
      <c r="DB39" s="684">
        <f>BE39-BD39</f>
        <v>-13728</v>
      </c>
      <c r="DC39" s="685">
        <f>DB39/BD39</f>
        <v>-0.11136710257325502</v>
      </c>
      <c r="DD39" s="684">
        <f>BF39-BE39</f>
        <v>235</v>
      </c>
      <c r="DE39" s="685">
        <f>DD39/BE39</f>
        <v>2.1453350374292498E-3</v>
      </c>
      <c r="DF39" s="684">
        <f>BG39-BF39</f>
        <v>680</v>
      </c>
      <c r="DG39" s="112">
        <f>DF39/BF39</f>
        <v>6.1944887269414712E-3</v>
      </c>
      <c r="DH39" s="684">
        <f>BH39-BG39</f>
        <v>848</v>
      </c>
      <c r="DI39" s="685">
        <f>DH39/BG39</f>
        <v>7.6773346611742335E-3</v>
      </c>
      <c r="DJ39" s="684">
        <f>BI39-BH39</f>
        <v>24900</v>
      </c>
      <c r="DK39" s="685">
        <f>DJ39/BH39</f>
        <v>0.22371364653243847</v>
      </c>
      <c r="DL39" s="684">
        <f>BL39-BI39</f>
        <v>-22369</v>
      </c>
      <c r="DM39" s="685">
        <f>DL39/BI39</f>
        <v>-0.16423279957122824</v>
      </c>
      <c r="DN39" s="333">
        <f>BM39-BL39</f>
        <v>1580</v>
      </c>
      <c r="DO39" s="414">
        <f>DN39/BL39</f>
        <v>1.3879860147231934E-2</v>
      </c>
      <c r="DP39" s="333">
        <f>BN39-BM39</f>
        <v>461</v>
      </c>
      <c r="DQ39" s="414">
        <f>DP39/BM39</f>
        <v>3.9943161141629269E-3</v>
      </c>
      <c r="DR39" s="333">
        <f>BO39-BN39</f>
        <v>725</v>
      </c>
      <c r="DS39" s="414">
        <f>DR39/BN39</f>
        <v>6.2567421790722761E-3</v>
      </c>
      <c r="DT39" s="333">
        <f>BP39-BO39</f>
        <v>864</v>
      </c>
      <c r="DU39" s="414">
        <f>DT39/BO39</f>
        <v>7.4099485420240137E-3</v>
      </c>
      <c r="DV39" s="333">
        <f>BQ39-BP39</f>
        <v>-171</v>
      </c>
      <c r="DW39" s="414">
        <f>DV39/BP39</f>
        <v>-1.4557651706054622E-3</v>
      </c>
      <c r="DX39" s="333">
        <f>BR39-BQ39</f>
        <v>25274</v>
      </c>
      <c r="DY39" s="414">
        <f>DX39/BQ39</f>
        <v>0.21547747947447846</v>
      </c>
      <c r="DZ39" s="333">
        <f>BS39-BR39</f>
        <v>-25515</v>
      </c>
      <c r="EA39" s="414">
        <f>DZ39/BR39</f>
        <v>-0.17896848499302082</v>
      </c>
      <c r="EB39" s="333">
        <f>BT39-BS39</f>
        <v>419</v>
      </c>
      <c r="EC39" s="414">
        <f>EB39/BS39</f>
        <v>3.5796056453542015E-3</v>
      </c>
      <c r="ED39" s="333">
        <f>BU39-BT39</f>
        <v>1518</v>
      </c>
      <c r="EE39" s="414">
        <f>ED39/BT39</f>
        <v>1.2922338279234875E-2</v>
      </c>
      <c r="EF39" s="333">
        <f>BV39-BU39</f>
        <v>847</v>
      </c>
      <c r="EG39" s="414">
        <f>EF39/BU39</f>
        <v>7.1183050534082979E-3</v>
      </c>
      <c r="EH39" s="333">
        <f>BW39-BV39</f>
        <v>1298</v>
      </c>
      <c r="EI39" s="414">
        <f>EH39/BV39</f>
        <v>1.0831469675222805E-2</v>
      </c>
      <c r="EJ39" s="333">
        <f>BZ39-BW39</f>
        <v>27483</v>
      </c>
      <c r="EK39" s="414">
        <f>EJ39/BW39</f>
        <v>0.22688097478825103</v>
      </c>
      <c r="EL39" s="333">
        <f>CA39-BZ39</f>
        <v>-27436</v>
      </c>
      <c r="EM39" s="414">
        <f>EL39/BZ39</f>
        <v>-0.18460875942859833</v>
      </c>
      <c r="EN39" s="333">
        <f>CB39-CA39</f>
        <v>-526</v>
      </c>
      <c r="EO39" s="414">
        <f>EN39/CA39</f>
        <v>-4.340614452760746E-3</v>
      </c>
      <c r="EP39" s="333">
        <f>CC39-CB39</f>
        <v>70</v>
      </c>
      <c r="EQ39" s="414">
        <f>EP39/CB39</f>
        <v>5.8016659069247021E-4</v>
      </c>
      <c r="ER39" s="333">
        <f>CD39-CC39</f>
        <v>-241</v>
      </c>
      <c r="ES39" s="414">
        <f>ER39/CC39</f>
        <v>-1.9962725201905156E-3</v>
      </c>
      <c r="ET39" s="333">
        <f>CE39-CD39</f>
        <v>26446</v>
      </c>
      <c r="EU39" s="414">
        <f>ET39/CD39</f>
        <v>0.2194980246339763</v>
      </c>
      <c r="EV39" s="333">
        <f>CF39-CE39</f>
        <v>-24253</v>
      </c>
      <c r="EW39" s="414">
        <f>EV39/CE39</f>
        <v>-0.16506499693731708</v>
      </c>
      <c r="EX39" s="333">
        <f>CG39-CF39</f>
        <v>-4064</v>
      </c>
      <c r="EY39" s="414">
        <f>EX39/CF39</f>
        <v>-3.3127644138673099E-2</v>
      </c>
      <c r="EZ39" s="333">
        <f>CH39-CG39</f>
        <v>-620</v>
      </c>
      <c r="FA39" s="414">
        <f>EZ39/CG39</f>
        <v>-5.2270830347432408E-3</v>
      </c>
      <c r="FB39" s="333">
        <f>CI39-CH39</f>
        <v>598</v>
      </c>
      <c r="FC39" s="414">
        <f>FB39/CH39</f>
        <v>5.0680972600069497E-3</v>
      </c>
      <c r="FD39" s="333">
        <f>CJ39-CI39</f>
        <v>241</v>
      </c>
      <c r="FE39" s="414">
        <f>FD39/CI39</f>
        <v>2.0321946859373813E-3</v>
      </c>
      <c r="FF39" s="333">
        <f>CK39-CJ39</f>
        <v>-118832</v>
      </c>
      <c r="FG39" s="414">
        <f>FF39/CJ39</f>
        <v>-1</v>
      </c>
      <c r="FH39" s="220">
        <f>BV39</f>
        <v>119836</v>
      </c>
      <c r="FI39" s="734">
        <f>CJ39</f>
        <v>118832</v>
      </c>
      <c r="FJ39" s="230">
        <f>FI39-FH39</f>
        <v>-1004</v>
      </c>
      <c r="FK39" s="112">
        <f t="shared" si="416"/>
        <v>-8.3781167595714141E-3</v>
      </c>
      <c r="FL39" s="709"/>
      <c r="FM39" s="709"/>
      <c r="FN39" s="709"/>
      <c r="FO39" s="29" t="str">
        <f>E39</f>
        <v>Total Payrolls Processed</v>
      </c>
      <c r="FP39" s="292" t="e">
        <f>#REF!</f>
        <v>#REF!</v>
      </c>
      <c r="FQ39" s="292" t="e">
        <f>#REF!</f>
        <v>#REF!</v>
      </c>
      <c r="FR39" s="292" t="e">
        <f>#REF!</f>
        <v>#REF!</v>
      </c>
      <c r="FS39" s="292" t="e">
        <f>#REF!</f>
        <v>#REF!</v>
      </c>
      <c r="FT39" s="292" t="e">
        <f>#REF!</f>
        <v>#REF!</v>
      </c>
      <c r="FU39" s="292" t="e">
        <f>#REF!</f>
        <v>#REF!</v>
      </c>
      <c r="FV39" s="292" t="e">
        <f>#REF!</f>
        <v>#REF!</v>
      </c>
      <c r="FW39" s="292" t="e">
        <f>#REF!</f>
        <v>#REF!</v>
      </c>
      <c r="FX39" s="292" t="e">
        <f>#REF!</f>
        <v>#REF!</v>
      </c>
      <c r="FY39" s="292" t="e">
        <f>#REF!</f>
        <v>#REF!</v>
      </c>
      <c r="FZ39" s="292" t="e">
        <f>#REF!</f>
        <v>#REF!</v>
      </c>
      <c r="GA39" s="293">
        <f t="shared" si="417"/>
        <v>111549</v>
      </c>
      <c r="GB39" s="293">
        <f t="shared" si="417"/>
        <v>134889</v>
      </c>
      <c r="GC39" s="293">
        <f t="shared" si="417"/>
        <v>111390</v>
      </c>
      <c r="GD39" s="293">
        <f t="shared" si="417"/>
        <v>111467</v>
      </c>
      <c r="GE39" s="293">
        <f t="shared" si="417"/>
        <v>111297</v>
      </c>
      <c r="GF39" s="293">
        <f t="shared" si="417"/>
        <v>111106</v>
      </c>
      <c r="GG39" s="293">
        <f t="shared" si="417"/>
        <v>111020</v>
      </c>
      <c r="GH39" s="293">
        <f t="shared" si="417"/>
        <v>132508</v>
      </c>
      <c r="GI39" s="293">
        <f t="shared" si="417"/>
        <v>110944</v>
      </c>
      <c r="GJ39" s="293">
        <f t="shared" si="417"/>
        <v>111316</v>
      </c>
      <c r="GK39" s="293">
        <f t="shared" si="417"/>
        <v>111603</v>
      </c>
      <c r="GL39" s="293">
        <f t="shared" si="417"/>
        <v>112436</v>
      </c>
      <c r="GM39" s="293">
        <f t="shared" si="418"/>
        <v>112399</v>
      </c>
      <c r="GN39" s="293">
        <f t="shared" si="418"/>
        <v>133843</v>
      </c>
      <c r="GO39" s="293">
        <f t="shared" si="418"/>
        <v>110716</v>
      </c>
      <c r="GP39" s="293">
        <f t="shared" si="418"/>
        <v>110651</v>
      </c>
      <c r="GQ39" s="293">
        <f t="shared" si="418"/>
        <v>110119</v>
      </c>
      <c r="GR39" s="293">
        <f t="shared" si="418"/>
        <v>109794</v>
      </c>
      <c r="GS39" s="293">
        <f t="shared" si="418"/>
        <v>123268</v>
      </c>
      <c r="GT39" s="293">
        <f t="shared" si="418"/>
        <v>109540</v>
      </c>
      <c r="GU39" s="293">
        <f t="shared" si="418"/>
        <v>109775</v>
      </c>
      <c r="GV39" s="293">
        <f t="shared" si="418"/>
        <v>110455</v>
      </c>
      <c r="GW39" s="293">
        <f t="shared" si="418"/>
        <v>111303</v>
      </c>
      <c r="GX39" s="293">
        <f t="shared" si="418"/>
        <v>136203</v>
      </c>
      <c r="GY39" s="837">
        <f t="shared" si="419"/>
        <v>113834</v>
      </c>
      <c r="GZ39" s="837">
        <f t="shared" si="419"/>
        <v>115414</v>
      </c>
      <c r="HA39" s="837">
        <f t="shared" si="419"/>
        <v>115875</v>
      </c>
      <c r="HB39" s="837">
        <f t="shared" si="419"/>
        <v>116600</v>
      </c>
      <c r="HC39" s="837">
        <f t="shared" si="419"/>
        <v>117464</v>
      </c>
      <c r="HD39" s="837">
        <f t="shared" si="419"/>
        <v>117293</v>
      </c>
      <c r="HE39" s="837">
        <f t="shared" si="419"/>
        <v>142567</v>
      </c>
      <c r="HF39" s="837">
        <f t="shared" si="419"/>
        <v>117052</v>
      </c>
      <c r="HG39" s="837">
        <f t="shared" si="419"/>
        <v>117471</v>
      </c>
      <c r="HH39" s="837">
        <f t="shared" si="419"/>
        <v>118989</v>
      </c>
      <c r="HI39" s="837">
        <f t="shared" si="419"/>
        <v>119836</v>
      </c>
      <c r="HJ39" s="837">
        <f t="shared" si="419"/>
        <v>121134</v>
      </c>
      <c r="HK39" s="965">
        <f>BZ39</f>
        <v>148617</v>
      </c>
      <c r="HL39" s="965">
        <f t="shared" si="420"/>
        <v>121181</v>
      </c>
      <c r="HM39" s="965">
        <f t="shared" si="420"/>
        <v>120655</v>
      </c>
      <c r="HN39" s="965">
        <f t="shared" si="420"/>
        <v>120725</v>
      </c>
      <c r="HO39" s="965">
        <f t="shared" si="420"/>
        <v>120484</v>
      </c>
      <c r="HP39" s="965">
        <f t="shared" si="420"/>
        <v>146930</v>
      </c>
      <c r="HQ39" s="965">
        <f t="shared" si="420"/>
        <v>122677</v>
      </c>
      <c r="HR39" s="965">
        <f t="shared" si="420"/>
        <v>118613</v>
      </c>
      <c r="HS39" s="965">
        <f t="shared" si="420"/>
        <v>117993</v>
      </c>
      <c r="HT39" s="965">
        <f t="shared" si="420"/>
        <v>118591</v>
      </c>
      <c r="HU39" s="965">
        <f t="shared" si="420"/>
        <v>118832</v>
      </c>
      <c r="HV39" s="965">
        <f t="shared" si="420"/>
        <v>0</v>
      </c>
    </row>
    <row r="40" spans="1:230" s="194" customFormat="1" ht="15.75" thickBot="1" x14ac:dyDescent="0.3">
      <c r="A40" s="803"/>
      <c r="B40" s="57">
        <v>5.4</v>
      </c>
      <c r="C40" s="4"/>
      <c r="D40" s="456"/>
      <c r="E40" s="1048" t="s">
        <v>18</v>
      </c>
      <c r="F40" s="1048"/>
      <c r="G40" s="1049"/>
      <c r="H40" s="391">
        <v>1.4996172029771348E-4</v>
      </c>
      <c r="I40" s="188">
        <v>4.4184596933904578E-4</v>
      </c>
      <c r="J40" s="319">
        <v>3.9420362982702345E-5</v>
      </c>
      <c r="K40" s="188">
        <v>2.7336219701039723E-3</v>
      </c>
      <c r="L40" s="189">
        <v>7.5623301429753043E-4</v>
      </c>
      <c r="M40" s="188">
        <v>2.9193624743569511E-4</v>
      </c>
      <c r="N40" s="189">
        <v>7.1137809745879934E-5</v>
      </c>
      <c r="O40" s="188">
        <v>1.1124442784606949E-4</v>
      </c>
      <c r="P40" s="189">
        <v>1.6647031706192695E-4</v>
      </c>
      <c r="Q40" s="188">
        <v>8.6715227193895247E-5</v>
      </c>
      <c r="R40" s="189">
        <v>1.1094381488232031E-4</v>
      </c>
      <c r="S40" s="188">
        <v>4.1536532178830749E-4</v>
      </c>
      <c r="T40" s="144">
        <v>4.4270207249197965E-4</v>
      </c>
      <c r="U40" s="191">
        <v>4.4270207249197965E-4</v>
      </c>
      <c r="V40" s="391">
        <f>V5/V39</f>
        <v>2.5435988744574982E-4</v>
      </c>
      <c r="W40" s="188">
        <f>W5/W39</f>
        <v>1.3283320577128652E-4</v>
      </c>
      <c r="X40" s="189">
        <f>X5/X39</f>
        <v>5.2507425490395845E-4</v>
      </c>
      <c r="Y40" s="190">
        <f>Y5/Y39</f>
        <v>3.9331057376146498E-5</v>
      </c>
      <c r="Z40" s="189">
        <v>8.7974236116565867E-4</v>
      </c>
      <c r="AA40" s="188">
        <v>3.3626813249121924E-3</v>
      </c>
      <c r="AB40" s="189">
        <v>1.5687751004016064E-4</v>
      </c>
      <c r="AC40" s="188">
        <v>1.261302452444956E-4</v>
      </c>
      <c r="AD40" s="189">
        <v>8.0433698502324538E-5</v>
      </c>
      <c r="AE40" s="188">
        <v>1.6898688339905046E-4</v>
      </c>
      <c r="AF40" s="189">
        <v>2.4714791308302192E-4</v>
      </c>
      <c r="AG40" s="188">
        <v>1.3959981386691485E-4</v>
      </c>
      <c r="AH40" s="144">
        <v>5.0509948702460604E-4</v>
      </c>
      <c r="AI40" s="191">
        <v>5.0509948702460604E-4</v>
      </c>
      <c r="AJ40" s="391">
        <f t="shared" ref="AJ40:AV40" si="439">AJ5/AJ39</f>
        <v>1.792934046921084E-4</v>
      </c>
      <c r="AK40" s="188">
        <f t="shared" si="439"/>
        <v>1.4827005908561855E-4</v>
      </c>
      <c r="AL40" s="189">
        <f t="shared" si="439"/>
        <v>1.8852679773767844E-4</v>
      </c>
      <c r="AM40" s="190">
        <f t="shared" si="439"/>
        <v>1.8839656579974342E-4</v>
      </c>
      <c r="AN40" s="189">
        <f t="shared" si="439"/>
        <v>1.7969936296575829E-4</v>
      </c>
      <c r="AO40" s="627">
        <f t="shared" si="439"/>
        <v>2.0700952243803215E-4</v>
      </c>
      <c r="AP40" s="642">
        <f t="shared" si="439"/>
        <v>2.5220680958385876E-4</v>
      </c>
      <c r="AQ40" s="627">
        <f t="shared" si="439"/>
        <v>1.0565399824916231E-4</v>
      </c>
      <c r="AR40" s="642">
        <f t="shared" si="439"/>
        <v>9.0135563888087689E-5</v>
      </c>
      <c r="AS40" s="627">
        <f t="shared" si="439"/>
        <v>1.7068525638722196E-4</v>
      </c>
      <c r="AT40" s="642">
        <f t="shared" si="439"/>
        <v>1.7920665215092783E-4</v>
      </c>
      <c r="AU40" s="627">
        <f t="shared" si="439"/>
        <v>2.8460635383684943E-4</v>
      </c>
      <c r="AV40" s="144">
        <f t="shared" si="439"/>
        <v>1.7951177141202655E-4</v>
      </c>
      <c r="AW40" s="191">
        <f>SUM(AJ40:AU40)/$AV$4</f>
        <v>1.8114086223458724E-4</v>
      </c>
      <c r="AX40" s="391">
        <f t="shared" ref="AX40:BH40" si="440">AX5/AX39</f>
        <v>2.402156602816751E-4</v>
      </c>
      <c r="AY40" s="188">
        <f t="shared" si="440"/>
        <v>1.6437168921796432E-4</v>
      </c>
      <c r="AZ40" s="189">
        <f t="shared" si="440"/>
        <v>6.1418403844069511E-4</v>
      </c>
      <c r="BA40" s="190">
        <f t="shared" si="440"/>
        <v>7.7721846164969133E-4</v>
      </c>
      <c r="BB40" s="189">
        <f t="shared" si="440"/>
        <v>1.1805410510447789E-4</v>
      </c>
      <c r="BC40" s="627">
        <f t="shared" si="440"/>
        <v>3.8253456473031315E-4</v>
      </c>
      <c r="BD40" s="642">
        <f t="shared" si="440"/>
        <v>2.1903494824285298E-4</v>
      </c>
      <c r="BE40" s="627">
        <f t="shared" si="440"/>
        <v>1.9171079057878402E-4</v>
      </c>
      <c r="BF40" s="642">
        <f t="shared" si="440"/>
        <v>2.9150535185606925E-4</v>
      </c>
      <c r="BG40" s="627">
        <f t="shared" si="440"/>
        <v>2.8971074193110319E-4</v>
      </c>
      <c r="BH40" s="642">
        <f t="shared" si="440"/>
        <v>2.2461209491208683E-4</v>
      </c>
      <c r="BI40" s="627">
        <f t="shared" ref="BI40" si="441">BI5/BI39</f>
        <v>2.6431135878064358E-4</v>
      </c>
      <c r="BJ40" s="144">
        <f>BJ5/BJ39</f>
        <v>3.105039673905996E-4</v>
      </c>
      <c r="BK40" s="191">
        <f>SUM(AX40:BI40)/$BJ$4</f>
        <v>3.1478865047719645E-4</v>
      </c>
      <c r="BL40" s="391">
        <f t="shared" ref="BL40:BX40" si="442">BL5/BL39</f>
        <v>1.0893054799093417E-3</v>
      </c>
      <c r="BM40" s="188">
        <f t="shared" ref="BM40:BN40" si="443">BM5/BM39</f>
        <v>2.7726272375968252E-4</v>
      </c>
      <c r="BN40" s="189">
        <f t="shared" si="443"/>
        <v>6.3861920172599788E-4</v>
      </c>
      <c r="BO40" s="190">
        <f t="shared" ref="BO40" si="444">BO5/BO39</f>
        <v>2.144082332761578E-4</v>
      </c>
      <c r="BP40" s="189">
        <f t="shared" ref="BP40:BQ40" si="445">BP5/BP39</f>
        <v>1.4472519239937343E-4</v>
      </c>
      <c r="BQ40" s="627">
        <f t="shared" si="445"/>
        <v>3.9218026651206806E-4</v>
      </c>
      <c r="BR40" s="642">
        <f t="shared" ref="BR40" si="446">BR5/BR39</f>
        <v>1.3327067273632748E-4</v>
      </c>
      <c r="BS40" s="627">
        <f t="shared" ref="BS40:BU40" si="447">BS5/BS39</f>
        <v>5.6385196323001743E-4</v>
      </c>
      <c r="BT40" s="642">
        <f t="shared" si="447"/>
        <v>1.3279873330439003E-3</v>
      </c>
      <c r="BU40" s="642">
        <f t="shared" si="447"/>
        <v>1.4287034936002487E-4</v>
      </c>
      <c r="BV40" s="642">
        <f t="shared" ref="BV40:BW40" si="448">BV5/BV39</f>
        <v>5.0068426850028375E-5</v>
      </c>
      <c r="BW40" s="642">
        <f t="shared" si="448"/>
        <v>2.2289365496062211E-4</v>
      </c>
      <c r="BX40" s="144">
        <f t="shared" si="442"/>
        <v>4.24825727278625E-4</v>
      </c>
      <c r="BY40" s="191">
        <f>SUM(BL40:BW40)/$BX$4</f>
        <v>4.331202914802952E-4</v>
      </c>
      <c r="BZ40" s="642">
        <f t="shared" ref="BZ40:CA40" si="449">BZ5/BZ39</f>
        <v>1.6148892791537981E-4</v>
      </c>
      <c r="CA40" s="188">
        <f t="shared" si="449"/>
        <v>2.5581568067601355E-4</v>
      </c>
      <c r="CB40" s="189">
        <f t="shared" ref="CB40:CC40" si="450">CB5/CB39</f>
        <v>2.3206663627698811E-4</v>
      </c>
      <c r="CC40" s="190">
        <f t="shared" si="450"/>
        <v>2.0708221163802029E-4</v>
      </c>
      <c r="CD40" s="189">
        <f t="shared" ref="CD40:CE40" si="451">CD5/CD39</f>
        <v>1.3694764450051459E-3</v>
      </c>
      <c r="CE40" s="627">
        <f t="shared" si="451"/>
        <v>3.6752194922752329E-4</v>
      </c>
      <c r="CF40" s="642">
        <f t="shared" ref="CF40:CG40" si="452">CF5/CF39</f>
        <v>8.9666359627314004E-5</v>
      </c>
      <c r="CG40" s="627">
        <f t="shared" si="452"/>
        <v>3.0350804717863976E-4</v>
      </c>
      <c r="CH40" s="642">
        <f t="shared" ref="CH40:CI40" si="453">CH5/CH39</f>
        <v>4.0680379344537387E-4</v>
      </c>
      <c r="CI40" s="642">
        <f t="shared" si="453"/>
        <v>3.7102309618773768E-4</v>
      </c>
      <c r="CJ40" s="642">
        <f t="shared" ref="CJ40" si="454">CJ5/CJ39</f>
        <v>2.0196580045778916E-4</v>
      </c>
      <c r="CK40" s="642"/>
      <c r="CL40" s="144">
        <f t="shared" ref="CL40" si="455">CL5/CL39</f>
        <v>3.5628641937965447E-4</v>
      </c>
      <c r="CM40" s="191">
        <f>SUM(BZ40:CK40)/$CL$4</f>
        <v>3.6058354069417507E-4</v>
      </c>
      <c r="CN40" s="686">
        <f>AX40-AU40</f>
        <v>-4.4390693555174338E-5</v>
      </c>
      <c r="CO40" s="687">
        <f>CN40/AU40</f>
        <v>-0.15597225064279943</v>
      </c>
      <c r="CP40" s="686">
        <f>AY40-AX40</f>
        <v>-7.5843971063710777E-5</v>
      </c>
      <c r="CQ40" s="687">
        <f>CP40/AX40</f>
        <v>-0.31573283346629732</v>
      </c>
      <c r="CR40" s="686">
        <f>AZ40-AY40</f>
        <v>4.4981234922273077E-4</v>
      </c>
      <c r="CS40" s="687">
        <f>CR40/AY40</f>
        <v>2.7365561025917255</v>
      </c>
      <c r="CT40" s="686">
        <f>BA40-AZ40</f>
        <v>1.6303442320899622E-4</v>
      </c>
      <c r="CU40" s="687">
        <f>CT40/AZ40</f>
        <v>0.26544881176481216</v>
      </c>
      <c r="CV40" s="686">
        <f>BB40-BA40</f>
        <v>-6.5916435654521344E-4</v>
      </c>
      <c r="CW40" s="687">
        <f>CV40/BA40</f>
        <v>-0.8481069211172606</v>
      </c>
      <c r="CX40" s="686">
        <f>BC40-BB40</f>
        <v>2.6448045962583526E-4</v>
      </c>
      <c r="CY40" s="687">
        <f>CX40/BB40</f>
        <v>2.2403325948874886</v>
      </c>
      <c r="CZ40" s="686">
        <f>BD40-BC40</f>
        <v>-1.6349961648746018E-4</v>
      </c>
      <c r="DA40" s="687">
        <f>CZ40/BC40</f>
        <v>-0.42741135458629054</v>
      </c>
      <c r="DB40" s="686">
        <f>BE40-BD40</f>
        <v>-2.7324157664068959E-5</v>
      </c>
      <c r="DC40" s="687">
        <f>DB40/BD40</f>
        <v>-0.12474793581238712</v>
      </c>
      <c r="DD40" s="686">
        <f>BF40-BE40</f>
        <v>9.9794561277285229E-5</v>
      </c>
      <c r="DE40" s="687">
        <f>DD40/BE40</f>
        <v>0.52054744011018206</v>
      </c>
      <c r="DF40" s="686">
        <f>BG40-BF40</f>
        <v>-1.7946099249660594E-6</v>
      </c>
      <c r="DG40" s="250">
        <f>DF40/BF40</f>
        <v>-6.156353266035911E-3</v>
      </c>
      <c r="DH40" s="686">
        <f>BH40-BG40</f>
        <v>-6.509864701901636E-5</v>
      </c>
      <c r="DI40" s="687">
        <f>DH40/BG40</f>
        <v>-0.22470222051517036</v>
      </c>
      <c r="DJ40" s="686">
        <f>BI40-BH40</f>
        <v>3.9699263868556752E-5</v>
      </c>
      <c r="DK40" s="687">
        <f>DJ40/BH40</f>
        <v>0.17674588665447888</v>
      </c>
      <c r="DL40" s="686">
        <f>BL40-BI40</f>
        <v>8.2499412112869812E-4</v>
      </c>
      <c r="DM40" s="687">
        <f>DL40/BI40</f>
        <v>3.1212965077803356</v>
      </c>
      <c r="DN40" s="405">
        <f>BM40-BL40</f>
        <v>-8.1204275614965918E-4</v>
      </c>
      <c r="DO40" s="415">
        <f>DN40/BL40</f>
        <v>-0.745468347609196</v>
      </c>
      <c r="DP40" s="405">
        <f>BN40-BM40</f>
        <v>3.6135647796631536E-4</v>
      </c>
      <c r="DQ40" s="415">
        <f>DP40/BM40</f>
        <v>1.3032998921251351</v>
      </c>
      <c r="DR40" s="405">
        <f>BO40-BN40</f>
        <v>-4.2421096844984008E-4</v>
      </c>
      <c r="DS40" s="415">
        <f>DR40/BN40</f>
        <v>-0.66426278336655697</v>
      </c>
      <c r="DT40" s="405">
        <f>BP40-BO40</f>
        <v>-6.9683040876784369E-5</v>
      </c>
      <c r="DU40" s="415">
        <f>DT40/BO40</f>
        <v>-0.32500170264932232</v>
      </c>
      <c r="DV40" s="405">
        <f>BQ40-BP40</f>
        <v>2.4745507411269465E-4</v>
      </c>
      <c r="DW40" s="415">
        <f>DV40/BP40</f>
        <v>1.709827225033739</v>
      </c>
      <c r="DX40" s="405">
        <f>BR40-BQ40</f>
        <v>-2.5890959377574058E-4</v>
      </c>
      <c r="DY40" s="415">
        <f>DX40/BQ40</f>
        <v>-0.6601800648421291</v>
      </c>
      <c r="DZ40" s="405">
        <f>BS40-BR40</f>
        <v>4.3058129049368995E-4</v>
      </c>
      <c r="EA40" s="415">
        <f>DZ40/BR40</f>
        <v>3.2308780443059946</v>
      </c>
      <c r="EB40" s="405">
        <f>BT40-BS40</f>
        <v>7.6413536981388285E-4</v>
      </c>
      <c r="EC40" s="415">
        <f>EB40/BS40</f>
        <v>1.3552056561735548</v>
      </c>
      <c r="ED40" s="405">
        <f>BU40-BT40</f>
        <v>-1.1851169836838754E-3</v>
      </c>
      <c r="EE40" s="415">
        <f>ED40/BT40</f>
        <v>-0.89241587942518286</v>
      </c>
      <c r="EF40" s="405">
        <f>BV40-BU40</f>
        <v>-9.2801922509996501E-5</v>
      </c>
      <c r="EG40" s="415">
        <f>EF40/BU40</f>
        <v>-0.64955340926717497</v>
      </c>
      <c r="EH40" s="1021">
        <f>BW40-BV40</f>
        <v>1.7282522811059374E-4</v>
      </c>
      <c r="EI40" s="415">
        <f>EH40/BV40</f>
        <v>3.4517806726435185</v>
      </c>
      <c r="EJ40" s="405">
        <f>BZ40-BW40</f>
        <v>-6.1404727045242299E-5</v>
      </c>
      <c r="EK40" s="415">
        <f>EJ40/BW40</f>
        <v>-0.27548889651475483</v>
      </c>
      <c r="EL40" s="405">
        <f>CA40-BZ40</f>
        <v>9.4326752760633738E-5</v>
      </c>
      <c r="EM40" s="415">
        <f>EL40/BZ40</f>
        <v>0.58410662562612936</v>
      </c>
      <c r="EN40" s="405">
        <f>CB40-CA40</f>
        <v>-2.3749044399025437E-5</v>
      </c>
      <c r="EO40" s="415">
        <f>EN40/CA40</f>
        <v>-9.2836546752203278E-2</v>
      </c>
      <c r="EP40" s="405">
        <f>CC40-CB40</f>
        <v>-2.4984424638967818E-5</v>
      </c>
      <c r="EQ40" s="415">
        <f>EP40/CB40</f>
        <v>-0.10766056267195222</v>
      </c>
      <c r="ER40" s="405">
        <f>CD40-CC40</f>
        <v>1.1623942333671257E-3</v>
      </c>
      <c r="ES40" s="415">
        <f>ER40/CC40</f>
        <v>5.6132017529298501</v>
      </c>
      <c r="ET40" s="405">
        <f>CE40-CD40</f>
        <v>-1.0019544957776227E-3</v>
      </c>
      <c r="EU40" s="415">
        <f>ET40/CD40</f>
        <v>-0.73163324526830964</v>
      </c>
      <c r="EV40" s="405">
        <f>CF40-CE40</f>
        <v>-2.7785558960020929E-4</v>
      </c>
      <c r="EW40" s="415">
        <f>EV40/CE40</f>
        <v>-0.75602447740664358</v>
      </c>
      <c r="EX40" s="405">
        <f>CG40-CF40</f>
        <v>2.1384168755132576E-4</v>
      </c>
      <c r="EY40" s="415">
        <f>EX40/CF40</f>
        <v>2.3848597003394536</v>
      </c>
      <c r="EZ40" s="405">
        <f>CH40-CG40</f>
        <v>1.0329574626673411E-4</v>
      </c>
      <c r="FA40" s="415">
        <f>EZ40/CG40</f>
        <v>0.3403393986648926</v>
      </c>
      <c r="FB40" s="405">
        <f>CI40-CH40</f>
        <v>-3.578069725763619E-5</v>
      </c>
      <c r="FC40" s="415">
        <f>FB40/CH40</f>
        <v>-8.7955662740005561E-2</v>
      </c>
      <c r="FD40" s="405">
        <f>CJ40-CI40</f>
        <v>-1.6905729572994852E-4</v>
      </c>
      <c r="FE40" s="415">
        <f>FD40/CI40</f>
        <v>-0.45565167631614378</v>
      </c>
      <c r="FF40" s="405">
        <f>CK40-CJ40</f>
        <v>-2.0196580045778916E-4</v>
      </c>
      <c r="FG40" s="415">
        <f>FF40/CJ40</f>
        <v>-1</v>
      </c>
      <c r="FH40" s="192">
        <f>BV40</f>
        <v>5.0068426850028375E-5</v>
      </c>
      <c r="FI40" s="751">
        <f>CJ40</f>
        <v>2.0196580045778916E-4</v>
      </c>
      <c r="FJ40" s="686">
        <f>(FI40-FH40)*100</f>
        <v>1.5189737360776079E-2</v>
      </c>
      <c r="FK40" s="250">
        <f>IF(ISERROR((FJ40/FH40)/100),0,(FJ40/FH40)/100)</f>
        <v>3.0337956106099369</v>
      </c>
      <c r="FL40" s="705"/>
      <c r="FM40" s="705"/>
      <c r="FN40" s="705"/>
      <c r="FO40" s="985" t="str">
        <f>E40</f>
        <v>Payrolls Processed Off-Cycle %</v>
      </c>
      <c r="FP40" s="294" t="e">
        <f>#REF!</f>
        <v>#REF!</v>
      </c>
      <c r="FQ40" s="294" t="e">
        <f>#REF!</f>
        <v>#REF!</v>
      </c>
      <c r="FR40" s="294" t="e">
        <f>#REF!</f>
        <v>#REF!</v>
      </c>
      <c r="FS40" s="294" t="e">
        <f>#REF!</f>
        <v>#REF!</v>
      </c>
      <c r="FT40" s="294" t="e">
        <f>#REF!</f>
        <v>#REF!</v>
      </c>
      <c r="FU40" s="294" t="e">
        <f>#REF!</f>
        <v>#REF!</v>
      </c>
      <c r="FV40" s="294" t="e">
        <f>#REF!</f>
        <v>#REF!</v>
      </c>
      <c r="FW40" s="294" t="e">
        <f>#REF!</f>
        <v>#REF!</v>
      </c>
      <c r="FX40" s="294" t="e">
        <f>#REF!</f>
        <v>#REF!</v>
      </c>
      <c r="FY40" s="294" t="e">
        <f>#REF!</f>
        <v>#REF!</v>
      </c>
      <c r="FZ40" s="294" t="e">
        <f>#REF!</f>
        <v>#REF!</v>
      </c>
      <c r="GA40" s="295">
        <f t="shared" si="417"/>
        <v>1.792934046921084E-4</v>
      </c>
      <c r="GB40" s="295">
        <f t="shared" si="417"/>
        <v>1.4827005908561855E-4</v>
      </c>
      <c r="GC40" s="295">
        <f t="shared" si="417"/>
        <v>1.8852679773767844E-4</v>
      </c>
      <c r="GD40" s="295">
        <f t="shared" si="417"/>
        <v>1.8839656579974342E-4</v>
      </c>
      <c r="GE40" s="295">
        <f t="shared" si="417"/>
        <v>1.7969936296575829E-4</v>
      </c>
      <c r="GF40" s="295">
        <f t="shared" si="417"/>
        <v>2.0700952243803215E-4</v>
      </c>
      <c r="GG40" s="295">
        <f t="shared" si="417"/>
        <v>2.5220680958385876E-4</v>
      </c>
      <c r="GH40" s="295">
        <f t="shared" si="417"/>
        <v>1.0565399824916231E-4</v>
      </c>
      <c r="GI40" s="295">
        <f t="shared" si="417"/>
        <v>9.0135563888087689E-5</v>
      </c>
      <c r="GJ40" s="295">
        <f t="shared" si="417"/>
        <v>1.7068525638722196E-4</v>
      </c>
      <c r="GK40" s="295">
        <f t="shared" si="417"/>
        <v>1.7920665215092783E-4</v>
      </c>
      <c r="GL40" s="295">
        <f t="shared" si="417"/>
        <v>2.8460635383684943E-4</v>
      </c>
      <c r="GM40" s="295">
        <f t="shared" si="418"/>
        <v>2.402156602816751E-4</v>
      </c>
      <c r="GN40" s="295">
        <f t="shared" si="418"/>
        <v>1.6437168921796432E-4</v>
      </c>
      <c r="GO40" s="295">
        <f t="shared" si="418"/>
        <v>6.1418403844069511E-4</v>
      </c>
      <c r="GP40" s="295">
        <f t="shared" si="418"/>
        <v>7.7721846164969133E-4</v>
      </c>
      <c r="GQ40" s="295">
        <f t="shared" si="418"/>
        <v>1.1805410510447789E-4</v>
      </c>
      <c r="GR40" s="295">
        <f t="shared" si="418"/>
        <v>3.8253456473031315E-4</v>
      </c>
      <c r="GS40" s="295">
        <f t="shared" si="418"/>
        <v>2.1903494824285298E-4</v>
      </c>
      <c r="GT40" s="295">
        <f t="shared" si="418"/>
        <v>1.9171079057878402E-4</v>
      </c>
      <c r="GU40" s="295">
        <f t="shared" si="418"/>
        <v>2.9150535185606925E-4</v>
      </c>
      <c r="GV40" s="295">
        <f t="shared" si="418"/>
        <v>2.8971074193110319E-4</v>
      </c>
      <c r="GW40" s="295">
        <f t="shared" si="418"/>
        <v>2.2461209491208683E-4</v>
      </c>
      <c r="GX40" s="295">
        <f t="shared" si="418"/>
        <v>2.6431135878064358E-4</v>
      </c>
      <c r="GY40" s="838">
        <f t="shared" si="419"/>
        <v>1.0893054799093417E-3</v>
      </c>
      <c r="GZ40" s="838">
        <f t="shared" si="419"/>
        <v>2.7726272375968252E-4</v>
      </c>
      <c r="HA40" s="838">
        <f t="shared" si="419"/>
        <v>6.3861920172599788E-4</v>
      </c>
      <c r="HB40" s="838">
        <f t="shared" si="419"/>
        <v>2.144082332761578E-4</v>
      </c>
      <c r="HC40" s="838">
        <f t="shared" si="419"/>
        <v>1.4472519239937343E-4</v>
      </c>
      <c r="HD40" s="838">
        <f t="shared" si="419"/>
        <v>3.9218026651206806E-4</v>
      </c>
      <c r="HE40" s="838">
        <f t="shared" si="419"/>
        <v>1.3327067273632748E-4</v>
      </c>
      <c r="HF40" s="838">
        <f t="shared" si="419"/>
        <v>5.6385196323001743E-4</v>
      </c>
      <c r="HG40" s="838">
        <f t="shared" si="419"/>
        <v>1.3279873330439003E-3</v>
      </c>
      <c r="HH40" s="838">
        <f t="shared" si="419"/>
        <v>1.4287034936002487E-4</v>
      </c>
      <c r="HI40" s="838">
        <f t="shared" si="419"/>
        <v>5.0068426850028375E-5</v>
      </c>
      <c r="HJ40" s="838">
        <f t="shared" si="419"/>
        <v>2.2289365496062211E-4</v>
      </c>
      <c r="HK40" s="966">
        <f>BZ40</f>
        <v>1.6148892791537981E-4</v>
      </c>
      <c r="HL40" s="966">
        <f t="shared" si="420"/>
        <v>2.5581568067601355E-4</v>
      </c>
      <c r="HM40" s="966">
        <f t="shared" si="420"/>
        <v>2.3206663627698811E-4</v>
      </c>
      <c r="HN40" s="966">
        <f t="shared" si="420"/>
        <v>2.0708221163802029E-4</v>
      </c>
      <c r="HO40" s="966">
        <f t="shared" si="420"/>
        <v>1.3694764450051459E-3</v>
      </c>
      <c r="HP40" s="966">
        <f t="shared" si="420"/>
        <v>3.6752194922752329E-4</v>
      </c>
      <c r="HQ40" s="966">
        <f t="shared" si="420"/>
        <v>8.9666359627314004E-5</v>
      </c>
      <c r="HR40" s="966">
        <f t="shared" si="420"/>
        <v>3.0350804717863976E-4</v>
      </c>
      <c r="HS40" s="966">
        <f t="shared" si="420"/>
        <v>4.0680379344537387E-4</v>
      </c>
      <c r="HT40" s="966">
        <f t="shared" si="420"/>
        <v>3.7102309618773768E-4</v>
      </c>
      <c r="HU40" s="966">
        <f t="shared" si="420"/>
        <v>2.0196580045778916E-4</v>
      </c>
      <c r="HV40" s="966">
        <f t="shared" si="420"/>
        <v>0</v>
      </c>
    </row>
    <row r="41" spans="1:230" ht="15.75" customHeight="1" x14ac:dyDescent="0.25">
      <c r="A41" s="802">
        <v>6</v>
      </c>
      <c r="B41" s="7" t="s">
        <v>16</v>
      </c>
      <c r="C41" s="9"/>
      <c r="D41" s="457"/>
      <c r="E41" s="458"/>
      <c r="F41" s="458"/>
      <c r="G41" s="458"/>
      <c r="H41" s="170"/>
      <c r="I41" s="67"/>
      <c r="J41" s="321"/>
      <c r="K41" s="67"/>
      <c r="M41" s="67"/>
      <c r="O41" s="67"/>
      <c r="Q41" s="67"/>
      <c r="S41" s="67"/>
      <c r="T41" s="139"/>
      <c r="U41" s="154"/>
      <c r="V41" s="170"/>
      <c r="W41" s="67"/>
      <c r="X41" s="321"/>
      <c r="Y41" s="67"/>
      <c r="AA41" s="67"/>
      <c r="AC41" s="67"/>
      <c r="AE41" s="67"/>
      <c r="AG41" s="67"/>
      <c r="AH41" s="139"/>
      <c r="AI41" s="154"/>
      <c r="AJ41" s="170"/>
      <c r="AK41" s="67"/>
      <c r="AL41" s="321"/>
      <c r="AM41" s="67"/>
      <c r="AO41" s="67"/>
      <c r="AP41" s="27"/>
      <c r="AQ41" s="67"/>
      <c r="AR41" s="27"/>
      <c r="AS41" s="67"/>
      <c r="AT41" s="27"/>
      <c r="AU41" s="67"/>
      <c r="AV41" s="139"/>
      <c r="AW41" s="154"/>
      <c r="AX41" s="170"/>
      <c r="AY41" s="67"/>
      <c r="AZ41" s="321"/>
      <c r="BA41" s="67"/>
      <c r="BC41" s="67"/>
      <c r="BD41" s="27"/>
      <c r="BE41" s="67"/>
      <c r="BF41" s="27"/>
      <c r="BG41" s="67"/>
      <c r="BH41" s="27"/>
      <c r="BI41" s="67"/>
      <c r="BJ41" s="139"/>
      <c r="BK41" s="154"/>
      <c r="BL41" s="170"/>
      <c r="BM41" s="67"/>
      <c r="BN41" s="321"/>
      <c r="BO41" s="67"/>
      <c r="BQ41" s="67"/>
      <c r="BR41" s="27"/>
      <c r="BS41" s="67"/>
      <c r="BT41" s="27"/>
      <c r="BV41" s="27"/>
      <c r="BX41" s="139"/>
      <c r="BY41" s="154"/>
      <c r="BZ41" s="27"/>
      <c r="CA41" s="67"/>
      <c r="CB41" s="321"/>
      <c r="CC41" s="67"/>
      <c r="CE41" s="67"/>
      <c r="CF41" s="27"/>
      <c r="CG41" s="67"/>
      <c r="CH41" s="27"/>
      <c r="CJ41" s="27"/>
      <c r="CL41" s="139"/>
      <c r="CM41" s="154"/>
      <c r="CN41" s="118"/>
      <c r="CO41" s="672"/>
      <c r="CP41" s="118"/>
      <c r="CQ41" s="672"/>
      <c r="CR41" s="118"/>
      <c r="CS41" s="672"/>
      <c r="CT41" s="118"/>
      <c r="CU41" s="672"/>
      <c r="CV41" s="118"/>
      <c r="CW41" s="672"/>
      <c r="CX41" s="118"/>
      <c r="CY41" s="672"/>
      <c r="CZ41" s="118"/>
      <c r="DA41" s="672"/>
      <c r="DB41" s="118"/>
      <c r="DC41" s="672"/>
      <c r="DD41" s="118"/>
      <c r="DE41" s="672"/>
      <c r="DF41" s="118"/>
      <c r="DG41" s="109"/>
      <c r="DH41" s="118"/>
      <c r="DI41" s="672"/>
      <c r="DJ41" s="118"/>
      <c r="DK41" s="672"/>
      <c r="DL41" s="118"/>
      <c r="DM41" s="672"/>
      <c r="DN41" s="327"/>
      <c r="DO41" s="410"/>
      <c r="DP41" s="327"/>
      <c r="DQ41" s="410"/>
      <c r="DR41" s="327"/>
      <c r="DS41" s="410"/>
      <c r="DT41" s="327"/>
      <c r="DU41" s="410"/>
      <c r="DV41" s="327"/>
      <c r="DW41" s="410"/>
      <c r="DX41" s="327"/>
      <c r="DY41" s="410"/>
      <c r="DZ41" s="327"/>
      <c r="EA41" s="410"/>
      <c r="EB41" s="327"/>
      <c r="EC41" s="410"/>
      <c r="ED41" s="327"/>
      <c r="EE41" s="410"/>
      <c r="EF41" s="327"/>
      <c r="EG41" s="410"/>
      <c r="EH41" s="327"/>
      <c r="EI41" s="410"/>
      <c r="EJ41" s="327"/>
      <c r="EK41" s="410"/>
      <c r="EL41" s="327"/>
      <c r="EM41" s="410"/>
      <c r="EN41" s="327"/>
      <c r="EO41" s="410"/>
      <c r="EP41" s="327"/>
      <c r="EQ41" s="410"/>
      <c r="ER41" s="327"/>
      <c r="ES41" s="410"/>
      <c r="ET41" s="327"/>
      <c r="EU41" s="410"/>
      <c r="EV41" s="327"/>
      <c r="EW41" s="410"/>
      <c r="EX41" s="327"/>
      <c r="EY41" s="410"/>
      <c r="EZ41" s="327"/>
      <c r="FA41" s="410"/>
      <c r="FB41" s="327"/>
      <c r="FC41" s="410"/>
      <c r="FD41" s="327"/>
      <c r="FE41" s="410"/>
      <c r="FF41" s="327"/>
      <c r="FG41" s="410"/>
      <c r="FH41" s="37"/>
      <c r="FI41" s="730"/>
      <c r="FJ41" s="111"/>
      <c r="FK41" s="109"/>
      <c r="FL41" s="707"/>
      <c r="FM41" s="707"/>
      <c r="FN41" s="707"/>
    </row>
    <row r="42" spans="1:230" x14ac:dyDescent="0.25">
      <c r="A42" s="802"/>
      <c r="B42" s="56">
        <v>6.1</v>
      </c>
      <c r="C42" s="56"/>
      <c r="D42" s="461"/>
      <c r="E42" s="1046" t="s">
        <v>15</v>
      </c>
      <c r="F42" s="1046"/>
      <c r="G42" s="1047"/>
      <c r="H42" s="392">
        <v>119.4</v>
      </c>
      <c r="I42" s="68">
        <v>117.97</v>
      </c>
      <c r="J42" s="21">
        <v>118.6</v>
      </c>
      <c r="K42" s="68">
        <v>117.74404761904761</v>
      </c>
      <c r="L42" s="21">
        <v>116.03267045454545</v>
      </c>
      <c r="M42" s="68">
        <v>116.7</v>
      </c>
      <c r="N42" s="21">
        <v>121.61</v>
      </c>
      <c r="O42" s="68">
        <v>119.9</v>
      </c>
      <c r="P42" s="21">
        <v>120.31</v>
      </c>
      <c r="Q42" s="68">
        <v>118.5</v>
      </c>
      <c r="R42" s="21">
        <v>119.3</v>
      </c>
      <c r="S42" s="68">
        <v>116.6</v>
      </c>
      <c r="T42" s="132" t="s">
        <v>29</v>
      </c>
      <c r="U42" s="150">
        <v>118.55555983946608</v>
      </c>
      <c r="V42" s="392">
        <v>110.4</v>
      </c>
      <c r="W42" s="68">
        <v>109.63</v>
      </c>
      <c r="X42" s="21">
        <v>106.66</v>
      </c>
      <c r="Y42" s="68">
        <v>108.17</v>
      </c>
      <c r="Z42" s="21">
        <v>106.07</v>
      </c>
      <c r="AA42" s="68">
        <v>103.88</v>
      </c>
      <c r="AB42" s="21">
        <v>104.63352272727272</v>
      </c>
      <c r="AC42" s="68">
        <v>104.51</v>
      </c>
      <c r="AD42" s="21">
        <v>105.34</v>
      </c>
      <c r="AE42" s="68">
        <v>105.74</v>
      </c>
      <c r="AF42" s="21">
        <v>107.68478260869566</v>
      </c>
      <c r="AG42" s="68">
        <v>108.69</v>
      </c>
      <c r="AH42" s="132" t="s">
        <v>29</v>
      </c>
      <c r="AI42" s="150">
        <v>106.78402544466405</v>
      </c>
      <c r="AJ42" s="392">
        <v>104.68</v>
      </c>
      <c r="AK42" s="68">
        <v>102.35</v>
      </c>
      <c r="AL42" s="21">
        <v>103.07</v>
      </c>
      <c r="AM42" s="68">
        <v>105.07</v>
      </c>
      <c r="AN42" s="21">
        <v>105.56</v>
      </c>
      <c r="AO42" s="68">
        <v>104.53</v>
      </c>
      <c r="AP42" s="643">
        <v>107.68</v>
      </c>
      <c r="AQ42" s="68">
        <v>107.99</v>
      </c>
      <c r="AR42" s="643">
        <v>111.2</v>
      </c>
      <c r="AS42" s="68">
        <v>105.78</v>
      </c>
      <c r="AT42" s="643">
        <v>108.12</v>
      </c>
      <c r="AU42" s="68">
        <v>105.27</v>
      </c>
      <c r="AV42" s="132" t="s">
        <v>29</v>
      </c>
      <c r="AW42" s="150">
        <f>SUM(AJ42:AU42)/$AV$4</f>
        <v>105.94166666666668</v>
      </c>
      <c r="AX42" s="392">
        <v>104.87771739130434</v>
      </c>
      <c r="AY42" s="68">
        <v>105.01</v>
      </c>
      <c r="AZ42" s="21">
        <v>104.51</v>
      </c>
      <c r="BA42" s="68">
        <v>100.68206521739131</v>
      </c>
      <c r="BB42" s="21">
        <v>102.38</v>
      </c>
      <c r="BC42" s="68">
        <v>104.6</v>
      </c>
      <c r="BD42" s="643">
        <v>105.45380434782609</v>
      </c>
      <c r="BE42" s="68">
        <v>103.953125</v>
      </c>
      <c r="BF42" s="643">
        <v>107.64285714285714</v>
      </c>
      <c r="BG42" s="68">
        <v>103.84943181818181</v>
      </c>
      <c r="BH42" s="643">
        <v>103.05397727272728</v>
      </c>
      <c r="BI42" s="68">
        <v>98</v>
      </c>
      <c r="BJ42" s="132" t="s">
        <v>29</v>
      </c>
      <c r="BK42" s="150">
        <f>SUM(AX42:BI42)/$BJ$4</f>
        <v>103.66774818252399</v>
      </c>
      <c r="BL42" s="392">
        <v>98</v>
      </c>
      <c r="BM42" s="68">
        <v>98</v>
      </c>
      <c r="BN42" s="21">
        <v>99</v>
      </c>
      <c r="BO42" s="68">
        <v>99</v>
      </c>
      <c r="BP42" s="21">
        <v>99</v>
      </c>
      <c r="BQ42" s="68">
        <v>98</v>
      </c>
      <c r="BR42" s="643">
        <v>98</v>
      </c>
      <c r="BS42" s="68">
        <v>100</v>
      </c>
      <c r="BT42" s="643">
        <v>99</v>
      </c>
      <c r="BU42" s="643">
        <v>100</v>
      </c>
      <c r="BV42" s="643">
        <v>99</v>
      </c>
      <c r="BW42" s="643">
        <v>101</v>
      </c>
      <c r="BX42" s="132" t="s">
        <v>29</v>
      </c>
      <c r="BY42" s="150">
        <f>SUM(BL42:BW42)/$BX$4</f>
        <v>99</v>
      </c>
      <c r="BZ42" s="643">
        <v>100</v>
      </c>
      <c r="CA42" s="68">
        <v>99</v>
      </c>
      <c r="CB42" s="21">
        <v>107</v>
      </c>
      <c r="CC42" s="68">
        <v>106</v>
      </c>
      <c r="CD42" s="21">
        <v>105</v>
      </c>
      <c r="CE42" s="68">
        <v>106</v>
      </c>
      <c r="CF42" s="643">
        <v>110</v>
      </c>
      <c r="CG42" s="68">
        <v>109</v>
      </c>
      <c r="CH42" s="643">
        <v>109</v>
      </c>
      <c r="CI42" s="643">
        <v>103</v>
      </c>
      <c r="CJ42" s="643">
        <v>103</v>
      </c>
      <c r="CK42" s="643"/>
      <c r="CL42" s="132" t="s">
        <v>29</v>
      </c>
      <c r="CM42" s="150">
        <f>SUM(BZ42:CK42)/$CL$4</f>
        <v>105.18181818181819</v>
      </c>
      <c r="CN42" s="118">
        <f>AX42-AU42</f>
        <v>-0.3922826086956519</v>
      </c>
      <c r="CO42" s="672">
        <f>CN42/AU42</f>
        <v>-3.7264425638420433E-3</v>
      </c>
      <c r="CP42" s="118">
        <f>AY42-AX42</f>
        <v>0.132282608695661</v>
      </c>
      <c r="CQ42" s="672">
        <f>CP42/AX42</f>
        <v>1.2613032776267197E-3</v>
      </c>
      <c r="CR42" s="118">
        <f>AZ42-AY42</f>
        <v>-0.5</v>
      </c>
      <c r="CS42" s="672">
        <f>CR42/AY42</f>
        <v>-4.7614512903532994E-3</v>
      </c>
      <c r="CT42" s="118">
        <f>BA42-AZ42</f>
        <v>-3.8279347826086934</v>
      </c>
      <c r="CU42" s="672">
        <f>CT42/AZ42</f>
        <v>-3.6627449838376167E-2</v>
      </c>
      <c r="CV42" s="118">
        <f>BB42-BA42</f>
        <v>1.6979347826086837</v>
      </c>
      <c r="CW42" s="672">
        <f>CV42/BA42</f>
        <v>1.6864322150549123E-2</v>
      </c>
      <c r="CX42" s="118">
        <f>BC42-BB42</f>
        <v>2.2199999999999989</v>
      </c>
      <c r="CY42" s="672">
        <f>CX42/BB42</f>
        <v>2.1683922641140836E-2</v>
      </c>
      <c r="CZ42" s="118">
        <f>BD42-BC42</f>
        <v>0.85380434782609882</v>
      </c>
      <c r="DA42" s="672">
        <f>CZ42/BC42</f>
        <v>8.1625654667887085E-3</v>
      </c>
      <c r="DB42" s="118">
        <f>BE42-BD42</f>
        <v>-1.5006793478260931</v>
      </c>
      <c r="DC42" s="672">
        <f>DB42/BD42</f>
        <v>-1.4230680031953056E-2</v>
      </c>
      <c r="DD42" s="118">
        <f>BF42-BE42</f>
        <v>3.6897321428571388</v>
      </c>
      <c r="DE42" s="672">
        <f>DD42/BE42</f>
        <v>3.5494191664340431E-2</v>
      </c>
      <c r="DF42" s="118">
        <f>BG42-BF42</f>
        <v>-3.7934253246753258</v>
      </c>
      <c r="DG42" s="109">
        <f>DF42/BF42</f>
        <v>-3.5240845750135745E-2</v>
      </c>
      <c r="DH42" s="118">
        <f>BH42-BG42</f>
        <v>-0.79545454545453254</v>
      </c>
      <c r="DI42" s="672">
        <f>DH42/BG42</f>
        <v>-7.6596908767609211E-3</v>
      </c>
      <c r="DJ42" s="118">
        <f>BI42-BH42</f>
        <v>-5.0539772727272805</v>
      </c>
      <c r="DK42" s="672">
        <f>DJ42/BH42</f>
        <v>-4.904203997243288E-2</v>
      </c>
      <c r="DL42" s="118">
        <f>BL42-BI42</f>
        <v>0</v>
      </c>
      <c r="DM42" s="672">
        <f>DL42/BI42</f>
        <v>0</v>
      </c>
      <c r="DN42" s="327">
        <f>BM42-BL42</f>
        <v>0</v>
      </c>
      <c r="DO42" s="410">
        <f>DN42/BL42</f>
        <v>0</v>
      </c>
      <c r="DP42" s="327">
        <f>BN42-BM42</f>
        <v>1</v>
      </c>
      <c r="DQ42" s="410">
        <f>DP42/BM42</f>
        <v>1.020408163265306E-2</v>
      </c>
      <c r="DR42" s="327">
        <f>BO42-BN42</f>
        <v>0</v>
      </c>
      <c r="DS42" s="410">
        <f>DR42/BN42</f>
        <v>0</v>
      </c>
      <c r="DT42" s="327">
        <f>BP42-BO42</f>
        <v>0</v>
      </c>
      <c r="DU42" s="410">
        <f>DT42/BO42</f>
        <v>0</v>
      </c>
      <c r="DV42" s="327">
        <f>BQ42-BP42</f>
        <v>-1</v>
      </c>
      <c r="DW42" s="410">
        <f>DV42/BP42</f>
        <v>-1.0101010101010102E-2</v>
      </c>
      <c r="DX42" s="327">
        <f>BR42-BQ42</f>
        <v>0</v>
      </c>
      <c r="DY42" s="410">
        <f>DX42/BQ42</f>
        <v>0</v>
      </c>
      <c r="DZ42" s="327">
        <f>BS42-BR42</f>
        <v>2</v>
      </c>
      <c r="EA42" s="410">
        <f>DZ42/BR42</f>
        <v>2.0408163265306121E-2</v>
      </c>
      <c r="EB42" s="327">
        <f>BT42-BS42</f>
        <v>-1</v>
      </c>
      <c r="EC42" s="410">
        <f>EB42/BS42</f>
        <v>-0.01</v>
      </c>
      <c r="ED42" s="327">
        <f>BU42-BT42</f>
        <v>1</v>
      </c>
      <c r="EE42" s="410">
        <f>ED42/BT42</f>
        <v>1.0101010101010102E-2</v>
      </c>
      <c r="EF42" s="327">
        <f>BV42-BU42</f>
        <v>-1</v>
      </c>
      <c r="EG42" s="410">
        <f>EF42/BU42</f>
        <v>-0.01</v>
      </c>
      <c r="EH42" s="327">
        <f>BW42-BV42</f>
        <v>2</v>
      </c>
      <c r="EI42" s="410">
        <f>EH42/BV42</f>
        <v>2.0202020202020204E-2</v>
      </c>
      <c r="EJ42" s="327">
        <f>BZ42-BW42</f>
        <v>-1</v>
      </c>
      <c r="EK42" s="410">
        <f>EJ42/BW42</f>
        <v>-9.9009900990099011E-3</v>
      </c>
      <c r="EL42" s="327">
        <f>CA42-BZ42</f>
        <v>-1</v>
      </c>
      <c r="EM42" s="410">
        <f>EL42/BZ42</f>
        <v>-0.01</v>
      </c>
      <c r="EN42" s="327">
        <f>CB42-CA42</f>
        <v>8</v>
      </c>
      <c r="EO42" s="410">
        <f>EN42/CA42</f>
        <v>8.0808080808080815E-2</v>
      </c>
      <c r="EP42" s="327">
        <f>CC42-CB42</f>
        <v>-1</v>
      </c>
      <c r="EQ42" s="410">
        <f>EP42/CB42</f>
        <v>-9.3457943925233638E-3</v>
      </c>
      <c r="ER42" s="327">
        <f>CD42-CC42</f>
        <v>-1</v>
      </c>
      <c r="ES42" s="410">
        <f>ER42/CC42</f>
        <v>-9.433962264150943E-3</v>
      </c>
      <c r="ET42" s="327">
        <f>CE42-CD42</f>
        <v>1</v>
      </c>
      <c r="EU42" s="410">
        <f>ET42/CD42</f>
        <v>9.5238095238095247E-3</v>
      </c>
      <c r="EV42" s="327">
        <f>CF42-CE42</f>
        <v>4</v>
      </c>
      <c r="EW42" s="410">
        <f>EV42/CE42</f>
        <v>3.7735849056603772E-2</v>
      </c>
      <c r="EX42" s="327">
        <f>CG42-CF42</f>
        <v>-1</v>
      </c>
      <c r="EY42" s="410">
        <f>EX42/CF42</f>
        <v>-9.0909090909090905E-3</v>
      </c>
      <c r="EZ42" s="327">
        <f>CH42-CG42</f>
        <v>0</v>
      </c>
      <c r="FA42" s="410">
        <f>EZ42/CG42</f>
        <v>0</v>
      </c>
      <c r="FB42" s="327">
        <f>CI42-CH42</f>
        <v>-6</v>
      </c>
      <c r="FC42" s="410">
        <f>FB42/CH42</f>
        <v>-5.5045871559633031E-2</v>
      </c>
      <c r="FD42" s="327">
        <f>CJ42-CI42</f>
        <v>0</v>
      </c>
      <c r="FE42" s="410">
        <f>FD42/CI42</f>
        <v>0</v>
      </c>
      <c r="FF42" s="327">
        <f>CK42-CJ42</f>
        <v>-103</v>
      </c>
      <c r="FG42" s="410">
        <f>FF42/CJ42</f>
        <v>-1</v>
      </c>
      <c r="FH42" s="217">
        <f>BV42</f>
        <v>99</v>
      </c>
      <c r="FI42" s="731">
        <f>CJ42</f>
        <v>103</v>
      </c>
      <c r="FJ42" s="111">
        <f>FI42-FH42</f>
        <v>4</v>
      </c>
      <c r="FK42" s="109">
        <f t="shared" ref="FK42:FK43" si="456">IF(ISERROR(FJ42/FH42),0,FJ42/FH42)</f>
        <v>4.0404040404040407E-2</v>
      </c>
      <c r="FL42" s="707"/>
      <c r="FM42" s="707"/>
      <c r="FN42" s="707"/>
      <c r="FO42" t="str">
        <f>E42</f>
        <v>Total Number ERP Employees</v>
      </c>
      <c r="FP42" s="272" t="e">
        <f>#REF!</f>
        <v>#REF!</v>
      </c>
      <c r="FQ42" s="272" t="e">
        <f>#REF!</f>
        <v>#REF!</v>
      </c>
      <c r="FR42" s="272" t="e">
        <f>#REF!</f>
        <v>#REF!</v>
      </c>
      <c r="FS42" s="272" t="e">
        <f>#REF!</f>
        <v>#REF!</v>
      </c>
      <c r="FT42" s="272" t="e">
        <f>#REF!</f>
        <v>#REF!</v>
      </c>
      <c r="FU42" s="272" t="e">
        <f>#REF!</f>
        <v>#REF!</v>
      </c>
      <c r="FV42" s="272" t="e">
        <f>#REF!</f>
        <v>#REF!</v>
      </c>
      <c r="FW42" s="272" t="e">
        <f>#REF!</f>
        <v>#REF!</v>
      </c>
      <c r="FX42" s="272" t="e">
        <f>#REF!</f>
        <v>#REF!</v>
      </c>
      <c r="FY42" s="272" t="e">
        <f>#REF!</f>
        <v>#REF!</v>
      </c>
      <c r="FZ42" s="272" t="e">
        <f>#REF!</f>
        <v>#REF!</v>
      </c>
      <c r="GA42" s="273">
        <f t="shared" ref="GA42:GL43" si="457">AJ42</f>
        <v>104.68</v>
      </c>
      <c r="GB42" s="273">
        <f t="shared" si="457"/>
        <v>102.35</v>
      </c>
      <c r="GC42" s="273">
        <f t="shared" si="457"/>
        <v>103.07</v>
      </c>
      <c r="GD42" s="273">
        <f t="shared" si="457"/>
        <v>105.07</v>
      </c>
      <c r="GE42" s="273">
        <f t="shared" si="457"/>
        <v>105.56</v>
      </c>
      <c r="GF42" s="273">
        <f t="shared" si="457"/>
        <v>104.53</v>
      </c>
      <c r="GG42" s="273">
        <f t="shared" si="457"/>
        <v>107.68</v>
      </c>
      <c r="GH42" s="273">
        <f t="shared" si="457"/>
        <v>107.99</v>
      </c>
      <c r="GI42" s="273">
        <f t="shared" si="457"/>
        <v>111.2</v>
      </c>
      <c r="GJ42" s="273">
        <f t="shared" si="457"/>
        <v>105.78</v>
      </c>
      <c r="GK42" s="273">
        <f t="shared" si="457"/>
        <v>108.12</v>
      </c>
      <c r="GL42" s="273">
        <f t="shared" si="457"/>
        <v>105.27</v>
      </c>
      <c r="GM42" s="273">
        <f t="shared" ref="GM42:GX43" si="458">AX42</f>
        <v>104.87771739130434</v>
      </c>
      <c r="GN42" s="273">
        <f t="shared" si="458"/>
        <v>105.01</v>
      </c>
      <c r="GO42" s="273">
        <f t="shared" si="458"/>
        <v>104.51</v>
      </c>
      <c r="GP42" s="273">
        <f t="shared" si="458"/>
        <v>100.68206521739131</v>
      </c>
      <c r="GQ42" s="273">
        <f t="shared" si="458"/>
        <v>102.38</v>
      </c>
      <c r="GR42" s="273">
        <f t="shared" si="458"/>
        <v>104.6</v>
      </c>
      <c r="GS42" s="273">
        <f t="shared" si="458"/>
        <v>105.45380434782609</v>
      </c>
      <c r="GT42" s="273">
        <f t="shared" si="458"/>
        <v>103.953125</v>
      </c>
      <c r="GU42" s="273">
        <f t="shared" si="458"/>
        <v>107.64285714285714</v>
      </c>
      <c r="GV42" s="273">
        <f t="shared" si="458"/>
        <v>103.84943181818181</v>
      </c>
      <c r="GW42" s="273">
        <f t="shared" si="458"/>
        <v>103.05397727272728</v>
      </c>
      <c r="GX42" s="273">
        <f t="shared" si="458"/>
        <v>98</v>
      </c>
      <c r="GY42" s="827">
        <f t="shared" ref="GY42:HJ43" si="459">BL42</f>
        <v>98</v>
      </c>
      <c r="GZ42" s="827">
        <f t="shared" si="459"/>
        <v>98</v>
      </c>
      <c r="HA42" s="827">
        <f t="shared" si="459"/>
        <v>99</v>
      </c>
      <c r="HB42" s="827">
        <f t="shared" si="459"/>
        <v>99</v>
      </c>
      <c r="HC42" s="827">
        <f t="shared" si="459"/>
        <v>99</v>
      </c>
      <c r="HD42" s="827">
        <f t="shared" si="459"/>
        <v>98</v>
      </c>
      <c r="HE42" s="827">
        <f t="shared" si="459"/>
        <v>98</v>
      </c>
      <c r="HF42" s="827">
        <f t="shared" si="459"/>
        <v>100</v>
      </c>
      <c r="HG42" s="827">
        <f t="shared" si="459"/>
        <v>99</v>
      </c>
      <c r="HH42" s="827">
        <f t="shared" si="459"/>
        <v>100</v>
      </c>
      <c r="HI42" s="827">
        <f t="shared" si="459"/>
        <v>99</v>
      </c>
      <c r="HJ42" s="827">
        <f t="shared" si="459"/>
        <v>101</v>
      </c>
      <c r="HK42" s="955">
        <f>BZ42</f>
        <v>100</v>
      </c>
      <c r="HL42" s="955">
        <f t="shared" ref="HL42:HV43" si="460">CA42</f>
        <v>99</v>
      </c>
      <c r="HM42" s="955">
        <f t="shared" si="460"/>
        <v>107</v>
      </c>
      <c r="HN42" s="955">
        <f t="shared" si="460"/>
        <v>106</v>
      </c>
      <c r="HO42" s="955">
        <f t="shared" si="460"/>
        <v>105</v>
      </c>
      <c r="HP42" s="955">
        <f t="shared" si="460"/>
        <v>106</v>
      </c>
      <c r="HQ42" s="955">
        <f t="shared" si="460"/>
        <v>110</v>
      </c>
      <c r="HR42" s="955">
        <f t="shared" si="460"/>
        <v>109</v>
      </c>
      <c r="HS42" s="955">
        <f t="shared" si="460"/>
        <v>109</v>
      </c>
      <c r="HT42" s="955">
        <f t="shared" si="460"/>
        <v>103</v>
      </c>
      <c r="HU42" s="955">
        <f t="shared" si="460"/>
        <v>103</v>
      </c>
      <c r="HV42" s="955">
        <f t="shared" si="460"/>
        <v>0</v>
      </c>
    </row>
    <row r="43" spans="1:230" s="1" customFormat="1" ht="15.75" thickBot="1" x14ac:dyDescent="0.3">
      <c r="A43" s="803"/>
      <c r="B43" s="57">
        <v>6.2</v>
      </c>
      <c r="C43" s="57"/>
      <c r="D43" s="462"/>
      <c r="E43" s="1035" t="s">
        <v>164</v>
      </c>
      <c r="F43" s="1035"/>
      <c r="G43" s="1036"/>
      <c r="H43" s="393">
        <v>1061.1306532663316</v>
      </c>
      <c r="I43" s="69">
        <v>1074.3494108671696</v>
      </c>
      <c r="J43" s="22">
        <v>1069.4603709949411</v>
      </c>
      <c r="K43" s="69">
        <v>1074.9757848440424</v>
      </c>
      <c r="L43" s="22">
        <v>1094.0453193286569</v>
      </c>
      <c r="M43" s="69">
        <v>1086.032562125107</v>
      </c>
      <c r="N43" s="22">
        <v>1040.3338541238386</v>
      </c>
      <c r="O43" s="69">
        <v>1049.6163469557964</v>
      </c>
      <c r="P43" s="22">
        <v>1298.1797024353752</v>
      </c>
      <c r="Q43" s="69">
        <v>1070.4810126582279</v>
      </c>
      <c r="R43" s="22">
        <v>1057.7535624476111</v>
      </c>
      <c r="S43" s="69">
        <v>1073.6792452830189</v>
      </c>
      <c r="T43" s="128" t="s">
        <v>29</v>
      </c>
      <c r="U43" s="152">
        <v>1087.5031521108431</v>
      </c>
      <c r="V43" s="393">
        <f t="shared" ref="V43:Y43" si="461">V11/V42</f>
        <v>1139.5471014492753</v>
      </c>
      <c r="W43" s="69">
        <f t="shared" si="461"/>
        <v>1442.0596552038676</v>
      </c>
      <c r="X43" s="474">
        <f t="shared" si="461"/>
        <v>1196.3341458841178</v>
      </c>
      <c r="Y43" s="475">
        <f t="shared" si="461"/>
        <v>1175.2426735693816</v>
      </c>
      <c r="Z43" s="22">
        <v>1200.2451211464129</v>
      </c>
      <c r="AA43" s="69">
        <v>1222.3912206391992</v>
      </c>
      <c r="AB43" s="22">
        <v>1523.0300562026555</v>
      </c>
      <c r="AC43" s="69">
        <v>1213.788154243613</v>
      </c>
      <c r="AD43" s="482">
        <v>1180.2354281374596</v>
      </c>
      <c r="AE43" s="483">
        <v>1175.2411575562701</v>
      </c>
      <c r="AF43" s="482">
        <v>939.35278086201674</v>
      </c>
      <c r="AG43" s="483">
        <v>988.5914067531512</v>
      </c>
      <c r="AH43" s="128" t="s">
        <v>29</v>
      </c>
      <c r="AI43" s="152">
        <v>1199.6715751372851</v>
      </c>
      <c r="AJ43" s="393">
        <f t="shared" ref="AJ43:AU43" si="462">AJ11/AJ42</f>
        <v>1065.6190294230034</v>
      </c>
      <c r="AK43" s="69">
        <f t="shared" si="462"/>
        <v>1317.9189057156816</v>
      </c>
      <c r="AL43" s="482">
        <f t="shared" si="462"/>
        <v>1080.7218395265354</v>
      </c>
      <c r="AM43" s="483">
        <f t="shared" si="462"/>
        <v>1060.8832207100029</v>
      </c>
      <c r="AN43" s="22">
        <f t="shared" si="462"/>
        <v>1054.3482379689276</v>
      </c>
      <c r="AO43" s="69">
        <f t="shared" si="462"/>
        <v>1062.9101693293792</v>
      </c>
      <c r="AP43" s="644">
        <f t="shared" si="462"/>
        <v>1031.0178306092125</v>
      </c>
      <c r="AQ43" s="754">
        <f t="shared" si="462"/>
        <v>1227.0395406982129</v>
      </c>
      <c r="AR43" s="645">
        <f t="shared" si="462"/>
        <v>997.69784172661866</v>
      </c>
      <c r="AS43" s="483">
        <f t="shared" si="462"/>
        <v>1052.3350349782568</v>
      </c>
      <c r="AT43" s="645">
        <f t="shared" si="462"/>
        <v>1032.2142064372918</v>
      </c>
      <c r="AU43" s="483">
        <f t="shared" si="462"/>
        <v>1068.0725752826067</v>
      </c>
      <c r="AV43" s="128" t="s">
        <v>29</v>
      </c>
      <c r="AW43" s="152">
        <f>SUM(AJ43:AU43)/$AV$4</f>
        <v>1087.5648693671442</v>
      </c>
      <c r="AX43" s="393">
        <f t="shared" ref="AX43:BC43" si="463">AX11/AX42</f>
        <v>1071.7147817074751</v>
      </c>
      <c r="AY43" s="69">
        <f t="shared" si="463"/>
        <v>1274.5738501095134</v>
      </c>
      <c r="AZ43" s="482">
        <f t="shared" si="463"/>
        <v>1059.3818773323126</v>
      </c>
      <c r="BA43" s="483">
        <f t="shared" si="463"/>
        <v>1099.0140077190899</v>
      </c>
      <c r="BB43" s="22">
        <f t="shared" si="463"/>
        <v>1075.5909357296348</v>
      </c>
      <c r="BC43" s="814">
        <f t="shared" si="463"/>
        <v>1049.6558317399617</v>
      </c>
      <c r="BD43" s="815">
        <f t="shared" ref="BD43:BI43" si="464">BD11/BD42</f>
        <v>1168.9289045790706</v>
      </c>
      <c r="BE43" s="814">
        <f t="shared" si="464"/>
        <v>1053.7441755598977</v>
      </c>
      <c r="BF43" s="815">
        <f t="shared" si="464"/>
        <v>1019.8075646980757</v>
      </c>
      <c r="BG43" s="754">
        <f t="shared" si="464"/>
        <v>1063.6071672821777</v>
      </c>
      <c r="BH43" s="815">
        <f t="shared" si="464"/>
        <v>1080.0456512749827</v>
      </c>
      <c r="BI43" s="754">
        <f t="shared" si="464"/>
        <v>1389.8265306122448</v>
      </c>
      <c r="BJ43" s="128" t="s">
        <v>29</v>
      </c>
      <c r="BK43" s="152">
        <f>SUM(AX43:BI43)/$BJ$4</f>
        <v>1117.1576065287031</v>
      </c>
      <c r="BL43" s="393">
        <f t="shared" ref="BL43:BM43" si="465">BL11/BL42</f>
        <v>1161.5714285714287</v>
      </c>
      <c r="BM43" s="907">
        <f t="shared" si="465"/>
        <v>1177.6938775510205</v>
      </c>
      <c r="BN43" s="482">
        <f t="shared" ref="BN43:BP43" si="466">BN11/BN42</f>
        <v>1170.4545454545455</v>
      </c>
      <c r="BO43" s="814">
        <f t="shared" si="466"/>
        <v>1177.7777777777778</v>
      </c>
      <c r="BP43" s="908">
        <f t="shared" si="466"/>
        <v>1186.5050505050506</v>
      </c>
      <c r="BQ43" s="814">
        <f t="shared" ref="BQ43:BR43" si="467">BQ11/BQ42</f>
        <v>1196.8673469387754</v>
      </c>
      <c r="BR43" s="815">
        <f t="shared" si="467"/>
        <v>1454.7653061224489</v>
      </c>
      <c r="BS43" s="814">
        <f t="shared" ref="BS43:BU43" si="468">BS11/BS42</f>
        <v>1170.52</v>
      </c>
      <c r="BT43" s="815">
        <f t="shared" si="468"/>
        <v>1186.5757575757575</v>
      </c>
      <c r="BU43" s="815">
        <f t="shared" si="468"/>
        <v>1189.8900000000001</v>
      </c>
      <c r="BV43" s="815">
        <f t="shared" ref="BV43:BW43" si="469">BV11/BV42</f>
        <v>1210.4646464646464</v>
      </c>
      <c r="BW43" s="815">
        <f t="shared" si="469"/>
        <v>1199.3465346534654</v>
      </c>
      <c r="BX43" s="909" t="s">
        <v>29</v>
      </c>
      <c r="BY43" s="152">
        <f>SUM(BL43:BW43)/$BX$4</f>
        <v>1206.8693559679098</v>
      </c>
      <c r="BZ43" s="815">
        <f t="shared" ref="BZ43:CA43" si="470">BZ11/BZ42</f>
        <v>1486.17</v>
      </c>
      <c r="CA43" s="907">
        <f t="shared" si="470"/>
        <v>1224.0505050505051</v>
      </c>
      <c r="CB43" s="482">
        <f t="shared" ref="CB43:CC43" si="471">CB11/CB42</f>
        <v>1127.6168224299065</v>
      </c>
      <c r="CC43" s="814">
        <f t="shared" si="471"/>
        <v>1138.9150943396226</v>
      </c>
      <c r="CD43" s="908">
        <f t="shared" ref="CD43:CE43" si="472">CD11/CD42</f>
        <v>1147.4666666666667</v>
      </c>
      <c r="CE43" s="814">
        <f t="shared" si="472"/>
        <v>1386.132075471698</v>
      </c>
      <c r="CF43" s="815">
        <f t="shared" ref="CF43:CG43" si="473">CF11/CF42</f>
        <v>1115.2454545454545</v>
      </c>
      <c r="CG43" s="814">
        <f t="shared" si="473"/>
        <v>1088.1926605504586</v>
      </c>
      <c r="CH43" s="815">
        <f t="shared" ref="CH43:CI43" si="474">CH11/CH42</f>
        <v>1082.5045871559632</v>
      </c>
      <c r="CI43" s="815">
        <f t="shared" si="474"/>
        <v>1151.3689320388351</v>
      </c>
      <c r="CJ43" s="815">
        <f t="shared" ref="CJ43" si="475">CJ11/CJ42</f>
        <v>1153.7087378640776</v>
      </c>
      <c r="CK43" s="815"/>
      <c r="CL43" s="909" t="s">
        <v>29</v>
      </c>
      <c r="CM43" s="152">
        <f>SUM(BZ43:CK43)/$CL$4</f>
        <v>1191.0337760102898</v>
      </c>
      <c r="CN43" s="688">
        <f>AX43-AU43</f>
        <v>3.642206424868391</v>
      </c>
      <c r="CO43" s="681">
        <f>CN43/AU43</f>
        <v>3.4100739117888888E-3</v>
      </c>
      <c r="CP43" s="688">
        <f>AY43-AX43</f>
        <v>202.85906840203825</v>
      </c>
      <c r="CQ43" s="681">
        <f>CP43/AX43</f>
        <v>0.18928456699910359</v>
      </c>
      <c r="CR43" s="688">
        <f>AZ43-AY43</f>
        <v>-215.19197277720082</v>
      </c>
      <c r="CS43" s="681">
        <f>CR43/AY43</f>
        <v>-0.16883444828144809</v>
      </c>
      <c r="CT43" s="688">
        <f>BA43-AZ43</f>
        <v>39.632130386777362</v>
      </c>
      <c r="CU43" s="681">
        <f>CT43/AZ43</f>
        <v>3.7410617676958184E-2</v>
      </c>
      <c r="CV43" s="688">
        <f>BB43-BA43</f>
        <v>-23.423071989455138</v>
      </c>
      <c r="CW43" s="681">
        <f>CV43/BA43</f>
        <v>-2.131280568303923E-2</v>
      </c>
      <c r="CX43" s="688">
        <f>BC43-BB43</f>
        <v>-25.935103989673053</v>
      </c>
      <c r="CY43" s="681">
        <f>CX43/BB43</f>
        <v>-2.4112423346222968E-2</v>
      </c>
      <c r="CZ43" s="688">
        <f>BD43-BC43</f>
        <v>119.27307283910886</v>
      </c>
      <c r="DA43" s="681">
        <f>CZ43/BC43</f>
        <v>0.11363064847779285</v>
      </c>
      <c r="DB43" s="688">
        <f>BE43-BD43</f>
        <v>-115.18472901917289</v>
      </c>
      <c r="DC43" s="681">
        <f>DB43/BD43</f>
        <v>-9.8538695183220504E-2</v>
      </c>
      <c r="DD43" s="688">
        <f>BF43-BE43</f>
        <v>-33.936610861822032</v>
      </c>
      <c r="DE43" s="681">
        <f>DD43/BE43</f>
        <v>-3.220573992144736E-2</v>
      </c>
      <c r="DF43" s="688">
        <f>BG43-BF43</f>
        <v>43.79960258410199</v>
      </c>
      <c r="DG43" s="193">
        <f>DF43/BF43</f>
        <v>4.2948889673189772E-2</v>
      </c>
      <c r="DH43" s="688">
        <f>BH43-BG43</f>
        <v>16.438483992805004</v>
      </c>
      <c r="DI43" s="681">
        <f>DH43/BG43</f>
        <v>1.545540919474063E-2</v>
      </c>
      <c r="DJ43" s="688">
        <f>BI43-BH43</f>
        <v>309.78087933726215</v>
      </c>
      <c r="DK43" s="681">
        <f>DJ43/BH43</f>
        <v>0.28682202365387893</v>
      </c>
      <c r="DL43" s="688">
        <f>BL43-BI43</f>
        <v>-228.25510204081615</v>
      </c>
      <c r="DM43" s="681">
        <f>DL43/BI43</f>
        <v>-0.16423279957122813</v>
      </c>
      <c r="DN43" s="334">
        <f>BM43-BL43</f>
        <v>16.122448979591809</v>
      </c>
      <c r="DO43" s="413">
        <f>DN43/BL43</f>
        <v>1.387986014723191E-2</v>
      </c>
      <c r="DP43" s="334">
        <f>BN43-BM43</f>
        <v>-7.2393320964749819</v>
      </c>
      <c r="DQ43" s="413">
        <f>DP43/BM43</f>
        <v>-6.1470406142629854E-3</v>
      </c>
      <c r="DR43" s="334">
        <f>BO43-BN43</f>
        <v>7.3232323232323324</v>
      </c>
      <c r="DS43" s="413">
        <f>DR43/BN43</f>
        <v>6.2567421790722839E-3</v>
      </c>
      <c r="DT43" s="334">
        <f>BP43-BO43</f>
        <v>8.7272727272727479</v>
      </c>
      <c r="DU43" s="413">
        <f>DT43/BO43</f>
        <v>7.4099485420240311E-3</v>
      </c>
      <c r="DV43" s="334">
        <f>BQ43-BP43</f>
        <v>10.36229643372485</v>
      </c>
      <c r="DW43" s="413">
        <f>DV43/BP43</f>
        <v>8.7334617154086365E-3</v>
      </c>
      <c r="DX43" s="334">
        <f>BR43-BQ43</f>
        <v>257.89795918367349</v>
      </c>
      <c r="DY43" s="413">
        <f>DX43/BQ43</f>
        <v>0.21547747947447848</v>
      </c>
      <c r="DZ43" s="334">
        <f>BS43-BR43</f>
        <v>-284.24530612244894</v>
      </c>
      <c r="EA43" s="413">
        <f>DZ43/BR43</f>
        <v>-0.19538911529316039</v>
      </c>
      <c r="EB43" s="334">
        <f>BT43-BS43</f>
        <v>16.055757575757525</v>
      </c>
      <c r="EC43" s="413">
        <f>EB43/BS43</f>
        <v>1.3716773379145616E-2</v>
      </c>
      <c r="ED43" s="334">
        <f>BU43-BT43</f>
        <v>3.3142424242425932</v>
      </c>
      <c r="EE43" s="413">
        <f>ED43/BT43</f>
        <v>2.793114896442669E-3</v>
      </c>
      <c r="EF43" s="334">
        <f>BV43-BU43</f>
        <v>20.574646464646321</v>
      </c>
      <c r="EG43" s="413">
        <f>EF43/BU43</f>
        <v>1.7291217225664825E-2</v>
      </c>
      <c r="EH43" s="334">
        <f>BW43-BV43</f>
        <v>-11.118111811181052</v>
      </c>
      <c r="EI43" s="413">
        <f>EH43/BV43</f>
        <v>-9.1849950708211576E-3</v>
      </c>
      <c r="EJ43" s="334">
        <f>BZ43-BW43</f>
        <v>286.8234653465347</v>
      </c>
      <c r="EK43" s="413">
        <f>EJ43/BW43</f>
        <v>0.23914978453613359</v>
      </c>
      <c r="EL43" s="334">
        <f>CA43-BZ43</f>
        <v>-262.11949494949499</v>
      </c>
      <c r="EM43" s="413">
        <f>EL43/BZ43</f>
        <v>-0.17637248427131147</v>
      </c>
      <c r="EN43" s="334">
        <f>CB43-CA43</f>
        <v>-96.433682620598574</v>
      </c>
      <c r="EO43" s="413">
        <f>EN43/CA43</f>
        <v>-7.8782437671245972E-2</v>
      </c>
      <c r="EP43" s="334">
        <f>CC43-CB43</f>
        <v>11.29827190971605</v>
      </c>
      <c r="EQ43" s="413">
        <f>EP43/CB43</f>
        <v>1.0019602124566884E-2</v>
      </c>
      <c r="ER43" s="334">
        <f>CD43-CC43</f>
        <v>8.5515723270441413</v>
      </c>
      <c r="ES43" s="413">
        <f>ER43/CC43</f>
        <v>7.5085248843792009E-3</v>
      </c>
      <c r="ET43" s="334">
        <f>CE43-CD43</f>
        <v>238.66540880503135</v>
      </c>
      <c r="EU43" s="413">
        <f>ET43/CD43</f>
        <v>0.20799332628837267</v>
      </c>
      <c r="EV43" s="334">
        <f>CF43-CE43</f>
        <v>-270.88662092624349</v>
      </c>
      <c r="EW43" s="413">
        <f>EV43/CE43</f>
        <v>-0.19542626977596006</v>
      </c>
      <c r="EX43" s="334">
        <f>CG43-CF43</f>
        <v>-27.052793994995909</v>
      </c>
      <c r="EY43" s="413">
        <f>EX43/CF43</f>
        <v>-2.4257255552789438E-2</v>
      </c>
      <c r="EZ43" s="334">
        <f>CH43-CG43</f>
        <v>-5.6880733944954045</v>
      </c>
      <c r="FA43" s="413">
        <f>EZ43/CG43</f>
        <v>-5.227083034743233E-3</v>
      </c>
      <c r="FB43" s="334">
        <f>CI43-CH43</f>
        <v>68.864344882871819</v>
      </c>
      <c r="FC43" s="413">
        <f>FB43/CH43</f>
        <v>6.3615753411075476E-2</v>
      </c>
      <c r="FD43" s="334">
        <f>CJ43-CI43</f>
        <v>2.3398058252425926</v>
      </c>
      <c r="FE43" s="413">
        <f>FD43/CI43</f>
        <v>2.032194685937272E-3</v>
      </c>
      <c r="FF43" s="334">
        <f>CK43-CJ43</f>
        <v>-1153.7087378640776</v>
      </c>
      <c r="FG43" s="413">
        <f>FF43/CJ43</f>
        <v>-1</v>
      </c>
      <c r="FH43" s="752">
        <f>BV43</f>
        <v>1210.4646464646464</v>
      </c>
      <c r="FI43" s="753">
        <f>CJ43</f>
        <v>1153.7087378640776</v>
      </c>
      <c r="FJ43" s="113">
        <f>FI43-FH43</f>
        <v>-56.755908600568773</v>
      </c>
      <c r="FK43" s="193">
        <f t="shared" si="456"/>
        <v>-4.6887704458228818E-2</v>
      </c>
      <c r="FL43" s="705"/>
      <c r="FM43" s="705"/>
      <c r="FN43" s="705"/>
      <c r="FO43" s="1" t="str">
        <f>E43</f>
        <v>ERP Employees/Payroll Processed</v>
      </c>
      <c r="FP43" s="276" t="e">
        <f>#REF!</f>
        <v>#REF!</v>
      </c>
      <c r="FQ43" s="276" t="e">
        <f>#REF!</f>
        <v>#REF!</v>
      </c>
      <c r="FR43" s="276" t="e">
        <f>#REF!</f>
        <v>#REF!</v>
      </c>
      <c r="FS43" s="276" t="e">
        <f>#REF!</f>
        <v>#REF!</v>
      </c>
      <c r="FT43" s="276" t="e">
        <f>#REF!</f>
        <v>#REF!</v>
      </c>
      <c r="FU43" s="276" t="e">
        <f>#REF!</f>
        <v>#REF!</v>
      </c>
      <c r="FV43" s="276" t="e">
        <f>#REF!</f>
        <v>#REF!</v>
      </c>
      <c r="FW43" s="276" t="e">
        <f>#REF!</f>
        <v>#REF!</v>
      </c>
      <c r="FX43" s="276" t="e">
        <f>#REF!</f>
        <v>#REF!</v>
      </c>
      <c r="FY43" s="276" t="e">
        <f>#REF!</f>
        <v>#REF!</v>
      </c>
      <c r="FZ43" s="276" t="e">
        <f>#REF!</f>
        <v>#REF!</v>
      </c>
      <c r="GA43" s="277">
        <f t="shared" si="457"/>
        <v>1065.6190294230034</v>
      </c>
      <c r="GB43" s="277">
        <f t="shared" si="457"/>
        <v>1317.9189057156816</v>
      </c>
      <c r="GC43" s="277">
        <f t="shared" si="457"/>
        <v>1080.7218395265354</v>
      </c>
      <c r="GD43" s="277">
        <f t="shared" si="457"/>
        <v>1060.8832207100029</v>
      </c>
      <c r="GE43" s="277">
        <f t="shared" si="457"/>
        <v>1054.3482379689276</v>
      </c>
      <c r="GF43" s="277">
        <f t="shared" si="457"/>
        <v>1062.9101693293792</v>
      </c>
      <c r="GG43" s="277">
        <f t="shared" si="457"/>
        <v>1031.0178306092125</v>
      </c>
      <c r="GH43" s="277">
        <f t="shared" si="457"/>
        <v>1227.0395406982129</v>
      </c>
      <c r="GI43" s="277">
        <f t="shared" si="457"/>
        <v>997.69784172661866</v>
      </c>
      <c r="GJ43" s="277">
        <f t="shared" si="457"/>
        <v>1052.3350349782568</v>
      </c>
      <c r="GK43" s="277">
        <f t="shared" si="457"/>
        <v>1032.2142064372918</v>
      </c>
      <c r="GL43" s="277">
        <f t="shared" si="457"/>
        <v>1068.0725752826067</v>
      </c>
      <c r="GM43" s="277">
        <f t="shared" si="458"/>
        <v>1071.7147817074751</v>
      </c>
      <c r="GN43" s="277">
        <f t="shared" si="458"/>
        <v>1274.5738501095134</v>
      </c>
      <c r="GO43" s="277">
        <f t="shared" si="458"/>
        <v>1059.3818773323126</v>
      </c>
      <c r="GP43" s="277">
        <f t="shared" si="458"/>
        <v>1099.0140077190899</v>
      </c>
      <c r="GQ43" s="277">
        <f t="shared" si="458"/>
        <v>1075.5909357296348</v>
      </c>
      <c r="GR43" s="277">
        <f t="shared" si="458"/>
        <v>1049.6558317399617</v>
      </c>
      <c r="GS43" s="277">
        <f t="shared" si="458"/>
        <v>1168.9289045790706</v>
      </c>
      <c r="GT43" s="277">
        <f t="shared" si="458"/>
        <v>1053.7441755598977</v>
      </c>
      <c r="GU43" s="277">
        <f t="shared" si="458"/>
        <v>1019.8075646980757</v>
      </c>
      <c r="GV43" s="277">
        <f t="shared" si="458"/>
        <v>1063.6071672821777</v>
      </c>
      <c r="GW43" s="277">
        <f t="shared" si="458"/>
        <v>1080.0456512749827</v>
      </c>
      <c r="GX43" s="277">
        <f t="shared" si="458"/>
        <v>1389.8265306122448</v>
      </c>
      <c r="GY43" s="829">
        <f t="shared" si="459"/>
        <v>1161.5714285714287</v>
      </c>
      <c r="GZ43" s="829">
        <f t="shared" si="459"/>
        <v>1177.6938775510205</v>
      </c>
      <c r="HA43" s="829">
        <f t="shared" si="459"/>
        <v>1170.4545454545455</v>
      </c>
      <c r="HB43" s="829">
        <f t="shared" si="459"/>
        <v>1177.7777777777778</v>
      </c>
      <c r="HC43" s="829">
        <f t="shared" si="459"/>
        <v>1186.5050505050506</v>
      </c>
      <c r="HD43" s="829">
        <f t="shared" si="459"/>
        <v>1196.8673469387754</v>
      </c>
      <c r="HE43" s="829">
        <f t="shared" si="459"/>
        <v>1454.7653061224489</v>
      </c>
      <c r="HF43" s="829">
        <f t="shared" si="459"/>
        <v>1170.52</v>
      </c>
      <c r="HG43" s="829">
        <f t="shared" si="459"/>
        <v>1186.5757575757575</v>
      </c>
      <c r="HH43" s="829">
        <f t="shared" si="459"/>
        <v>1189.8900000000001</v>
      </c>
      <c r="HI43" s="829">
        <f t="shared" si="459"/>
        <v>1210.4646464646464</v>
      </c>
      <c r="HJ43" s="829">
        <f t="shared" si="459"/>
        <v>1199.3465346534654</v>
      </c>
      <c r="HK43" s="957">
        <f>BZ43</f>
        <v>1486.17</v>
      </c>
      <c r="HL43" s="957">
        <f t="shared" si="460"/>
        <v>1224.0505050505051</v>
      </c>
      <c r="HM43" s="957">
        <f t="shared" si="460"/>
        <v>1127.6168224299065</v>
      </c>
      <c r="HN43" s="957">
        <f t="shared" si="460"/>
        <v>1138.9150943396226</v>
      </c>
      <c r="HO43" s="957">
        <f t="shared" si="460"/>
        <v>1147.4666666666667</v>
      </c>
      <c r="HP43" s="957">
        <f t="shared" si="460"/>
        <v>1386.132075471698</v>
      </c>
      <c r="HQ43" s="957">
        <f t="shared" si="460"/>
        <v>1115.2454545454545</v>
      </c>
      <c r="HR43" s="957">
        <f t="shared" si="460"/>
        <v>1088.1926605504586</v>
      </c>
      <c r="HS43" s="957">
        <f t="shared" si="460"/>
        <v>1082.5045871559632</v>
      </c>
      <c r="HT43" s="957">
        <f t="shared" si="460"/>
        <v>1151.3689320388351</v>
      </c>
      <c r="HU43" s="957">
        <f t="shared" si="460"/>
        <v>1153.7087378640776</v>
      </c>
      <c r="HV43" s="957">
        <f t="shared" si="460"/>
        <v>0</v>
      </c>
    </row>
    <row r="44" spans="1:230" ht="15.75" customHeight="1" x14ac:dyDescent="0.25">
      <c r="A44" s="802">
        <v>7</v>
      </c>
      <c r="B44" s="7" t="s">
        <v>58</v>
      </c>
      <c r="C44" s="9"/>
      <c r="D44" s="457"/>
      <c r="E44" s="458"/>
      <c r="F44" s="458"/>
      <c r="G44" s="458"/>
      <c r="H44" s="170"/>
      <c r="I44" s="187"/>
      <c r="K44" s="187"/>
      <c r="M44" s="187"/>
      <c r="O44" s="187"/>
      <c r="Q44" s="187"/>
      <c r="S44" s="187"/>
      <c r="T44" s="139"/>
      <c r="U44" s="154"/>
      <c r="V44" s="170"/>
      <c r="W44" s="187"/>
      <c r="Y44" s="187"/>
      <c r="AA44" s="187"/>
      <c r="AC44" s="187"/>
      <c r="AE44" s="187"/>
      <c r="AG44" s="187"/>
      <c r="AH44" s="479"/>
      <c r="AI44" s="480"/>
      <c r="AJ44" s="170"/>
      <c r="AK44" s="187"/>
      <c r="AM44" s="187"/>
      <c r="AO44" s="187"/>
      <c r="AP44" s="27"/>
      <c r="AQ44" s="187"/>
      <c r="AR44" s="27"/>
      <c r="AS44" s="187"/>
      <c r="AT44" s="27"/>
      <c r="AU44" s="187"/>
      <c r="AV44" s="479"/>
      <c r="AW44" s="480"/>
      <c r="AX44" s="170"/>
      <c r="AY44" s="187"/>
      <c r="BA44" s="187"/>
      <c r="BC44" s="187"/>
      <c r="BD44" s="27"/>
      <c r="BE44" s="187"/>
      <c r="BF44" s="27"/>
      <c r="BG44" s="187">
        <f>BG45-3000000</f>
        <v>-2200878.83</v>
      </c>
      <c r="BH44" s="865"/>
      <c r="BI44" s="187"/>
      <c r="BJ44" s="479"/>
      <c r="BK44" s="480"/>
      <c r="BL44" s="170"/>
      <c r="BM44" s="187"/>
      <c r="BO44" s="187"/>
      <c r="BQ44" s="187"/>
      <c r="BR44" s="27"/>
      <c r="BS44" s="187"/>
      <c r="BT44" s="27"/>
      <c r="BV44" s="27"/>
      <c r="BX44" s="479"/>
      <c r="BY44" s="480"/>
      <c r="BZ44" s="27"/>
      <c r="CA44" s="187"/>
      <c r="CC44" s="187"/>
      <c r="CE44" s="187"/>
      <c r="CF44" s="27"/>
      <c r="CG44" s="187"/>
      <c r="CH44" s="27"/>
      <c r="CI44" s="640"/>
      <c r="CJ44" s="27"/>
      <c r="CL44" s="479"/>
      <c r="CM44" s="480"/>
      <c r="CN44" s="118"/>
      <c r="CO44" s="672"/>
      <c r="CP44" s="118"/>
      <c r="CQ44" s="672"/>
      <c r="CR44" s="118"/>
      <c r="CS44" s="672"/>
      <c r="CT44" s="118"/>
      <c r="CU44" s="672"/>
      <c r="CV44" s="118"/>
      <c r="CW44" s="672"/>
      <c r="CX44" s="118"/>
      <c r="CY44" s="672"/>
      <c r="CZ44" s="118"/>
      <c r="DA44" s="672"/>
      <c r="DB44" s="118"/>
      <c r="DC44" s="672"/>
      <c r="DD44" s="118"/>
      <c r="DE44" s="672"/>
      <c r="DF44" s="118"/>
      <c r="DG44" s="109"/>
      <c r="DH44" s="118"/>
      <c r="DI44" s="672"/>
      <c r="DJ44" s="118"/>
      <c r="DK44" s="672"/>
      <c r="DL44" s="118"/>
      <c r="DM44" s="672"/>
      <c r="DN44" s="327"/>
      <c r="DO44" s="410"/>
      <c r="DP44" s="327"/>
      <c r="DQ44" s="410"/>
      <c r="DR44" s="327"/>
      <c r="DS44" s="410"/>
      <c r="DT44" s="327"/>
      <c r="DU44" s="410"/>
      <c r="DV44" s="327"/>
      <c r="DW44" s="410"/>
      <c r="DX44" s="327"/>
      <c r="DY44" s="410"/>
      <c r="DZ44" s="327"/>
      <c r="EA44" s="410"/>
      <c r="EB44" s="327"/>
      <c r="EC44" s="410"/>
      <c r="ED44" s="327"/>
      <c r="EE44" s="410"/>
      <c r="EF44" s="327"/>
      <c r="EG44" s="410"/>
      <c r="EH44" s="327"/>
      <c r="EI44" s="410"/>
      <c r="EJ44" s="327"/>
      <c r="EK44" s="410"/>
      <c r="EL44" s="327"/>
      <c r="EM44" s="410"/>
      <c r="EN44" s="327"/>
      <c r="EO44" s="410"/>
      <c r="EP44" s="327"/>
      <c r="EQ44" s="410"/>
      <c r="ER44" s="327"/>
      <c r="ES44" s="410"/>
      <c r="ET44" s="327"/>
      <c r="EU44" s="410"/>
      <c r="EV44" s="327"/>
      <c r="EW44" s="410"/>
      <c r="EX44" s="327"/>
      <c r="EY44" s="410"/>
      <c r="EZ44" s="327"/>
      <c r="FA44" s="410"/>
      <c r="FB44" s="327"/>
      <c r="FC44" s="410"/>
      <c r="FD44" s="327"/>
      <c r="FE44" s="410"/>
      <c r="FF44" s="327"/>
      <c r="FG44" s="410"/>
      <c r="FH44" s="221"/>
      <c r="FI44" s="736"/>
      <c r="FJ44" s="111"/>
      <c r="FK44" s="109"/>
      <c r="FL44" s="707"/>
      <c r="FM44" s="707"/>
      <c r="FN44" s="707"/>
    </row>
    <row r="45" spans="1:230" x14ac:dyDescent="0.25">
      <c r="A45" s="802"/>
      <c r="B45" s="56">
        <v>7.1</v>
      </c>
      <c r="C45" s="7"/>
      <c r="D45" s="119"/>
      <c r="E45" s="1046" t="s">
        <v>57</v>
      </c>
      <c r="F45" s="1046"/>
      <c r="G45" s="1047"/>
      <c r="H45" s="394">
        <v>831308.21999999986</v>
      </c>
      <c r="I45" s="72">
        <v>1022958.1699999999</v>
      </c>
      <c r="J45" s="24">
        <v>1416069.49</v>
      </c>
      <c r="K45" s="320">
        <v>990733.74000000011</v>
      </c>
      <c r="L45" s="24">
        <v>1040404.83</v>
      </c>
      <c r="M45" s="72">
        <v>3860108.86</v>
      </c>
      <c r="N45" s="24">
        <v>998202.81</v>
      </c>
      <c r="O45" s="72">
        <v>1143370.1499999999</v>
      </c>
      <c r="P45" s="222">
        <v>985141.72000000009</v>
      </c>
      <c r="Q45" s="72">
        <v>832147.63</v>
      </c>
      <c r="R45" s="222">
        <v>823698.9800000001</v>
      </c>
      <c r="S45" s="421">
        <v>1160883.57</v>
      </c>
      <c r="T45" s="140">
        <v>15105028.170000004</v>
      </c>
      <c r="U45" s="160">
        <v>1258752.3475000004</v>
      </c>
      <c r="V45" s="445">
        <f>533079.23+320072.97+37209.5+6333.54</f>
        <v>896695.24</v>
      </c>
      <c r="W45" s="421">
        <f>530282.94+347757.24+39922.63+1947.06</f>
        <v>919909.87</v>
      </c>
      <c r="X45" s="445">
        <f>548522.49+292593.25+35246.35+5979.19</f>
        <v>882341.27999999991</v>
      </c>
      <c r="Y45" s="421">
        <f>438711.47+297626.76+37113+7918.79</f>
        <v>781370.02</v>
      </c>
      <c r="Z45" s="445">
        <v>1012215.96</v>
      </c>
      <c r="AA45" s="249">
        <v>2734017.6000000006</v>
      </c>
      <c r="AB45" s="445">
        <v>900538.53</v>
      </c>
      <c r="AC45" s="72">
        <v>881738.9</v>
      </c>
      <c r="AD45" s="445">
        <v>854988.99</v>
      </c>
      <c r="AE45" s="72">
        <v>754241.36</v>
      </c>
      <c r="AF45" s="222">
        <v>822310.56</v>
      </c>
      <c r="AG45" s="421">
        <v>1159782.26</v>
      </c>
      <c r="AH45" s="140">
        <v>12600150.57</v>
      </c>
      <c r="AI45" s="160">
        <v>1050012.5475000001</v>
      </c>
      <c r="AJ45" s="656">
        <v>842664.62</v>
      </c>
      <c r="AK45" s="657">
        <v>728467.10000000009</v>
      </c>
      <c r="AL45" s="656">
        <v>747018.07</v>
      </c>
      <c r="AM45" s="657">
        <v>737646.02999999991</v>
      </c>
      <c r="AN45" s="656">
        <v>725533.50999999989</v>
      </c>
      <c r="AO45" s="658">
        <f>2409177.34+295385.19+21910+2029.12</f>
        <v>2728501.65</v>
      </c>
      <c r="AP45" s="656">
        <f>395902.71+331495.19+15125+2830.23</f>
        <v>745353.13</v>
      </c>
      <c r="AQ45" s="249">
        <f>428996.43+357048.87+20800+2350.53</f>
        <v>809195.83000000007</v>
      </c>
      <c r="AR45" s="656">
        <f>443502.18+302604.24+4026040+1279.2-4000000</f>
        <v>773425.62000000011</v>
      </c>
      <c r="AS45" s="72">
        <v>738835.52</v>
      </c>
      <c r="AT45" s="222">
        <v>766413.52</v>
      </c>
      <c r="AU45" s="646">
        <v>785622.28000000014</v>
      </c>
      <c r="AV45" s="140">
        <f>SUM(AJ45:AU45)</f>
        <v>11128676.879999997</v>
      </c>
      <c r="AW45" s="160">
        <f t="shared" ref="AW45:AW48" si="476">SUM(AJ45:AU45)/$AV$4</f>
        <v>927389.73999999976</v>
      </c>
      <c r="AX45" s="656">
        <v>809776.44</v>
      </c>
      <c r="AY45" s="657">
        <v>832917.84000000008</v>
      </c>
      <c r="AZ45" s="656">
        <v>743266.94</v>
      </c>
      <c r="BA45" s="657">
        <v>1066978.6200000001</v>
      </c>
      <c r="BB45" s="656">
        <v>871421.17999999993</v>
      </c>
      <c r="BC45" s="658">
        <v>938127.61</v>
      </c>
      <c r="BD45" s="656">
        <v>2331301.9300000002</v>
      </c>
      <c r="BE45" s="249">
        <v>937930.58000000007</v>
      </c>
      <c r="BF45" s="656">
        <v>921256.01</v>
      </c>
      <c r="BG45" s="72">
        <v>799121.17</v>
      </c>
      <c r="BH45" s="656">
        <v>1215388.95</v>
      </c>
      <c r="BI45" s="870">
        <v>1189596.24</v>
      </c>
      <c r="BJ45" s="140">
        <f>SUM(AX45:BI45)</f>
        <v>12657083.51</v>
      </c>
      <c r="BK45" s="160">
        <f t="shared" ref="BK45:BK48" si="477">SUM(AX45:BI45)/$BJ$4</f>
        <v>1054756.9591666667</v>
      </c>
      <c r="BL45" s="656">
        <v>834513.57</v>
      </c>
      <c r="BM45" s="657">
        <v>841984.72</v>
      </c>
      <c r="BN45" s="656">
        <v>841357.56</v>
      </c>
      <c r="BO45" s="657">
        <v>830582.06</v>
      </c>
      <c r="BP45" s="913">
        <v>862301.04999999993</v>
      </c>
      <c r="BQ45" s="658">
        <v>898997.86999999988</v>
      </c>
      <c r="BR45" s="656">
        <v>2776943.1999999997</v>
      </c>
      <c r="BS45" s="249">
        <v>893845.33000000007</v>
      </c>
      <c r="BT45" s="656">
        <v>867090.54</v>
      </c>
      <c r="BU45" s="656">
        <v>882651.77</v>
      </c>
      <c r="BV45" s="656">
        <v>933513.69</v>
      </c>
      <c r="BW45" s="656">
        <v>2330709.91</v>
      </c>
      <c r="BX45" s="140">
        <f>SUM(BL45:BW45)</f>
        <v>13794491.269999998</v>
      </c>
      <c r="BY45" s="160">
        <f t="shared" ref="BY45:BY50" si="478">SUM(BL45:BW45)/$BX$4</f>
        <v>1149540.9391666665</v>
      </c>
      <c r="BZ45" s="656">
        <v>854026.62</v>
      </c>
      <c r="CA45" s="657">
        <v>882244.46</v>
      </c>
      <c r="CB45" s="656">
        <v>875901.92999999993</v>
      </c>
      <c r="CC45" s="657">
        <v>1008853.3200000001</v>
      </c>
      <c r="CD45" s="913">
        <v>928077.97</v>
      </c>
      <c r="CE45" s="658">
        <v>1022282.88</v>
      </c>
      <c r="CF45" s="656">
        <v>2915833.31</v>
      </c>
      <c r="CG45" s="658">
        <v>1002015.4199999999</v>
      </c>
      <c r="CH45" s="656">
        <v>902981.57000000007</v>
      </c>
      <c r="CI45" s="656">
        <v>698611.25</v>
      </c>
      <c r="CJ45" s="656">
        <v>1011228.0900000001</v>
      </c>
      <c r="CK45" s="656"/>
      <c r="CL45" s="140">
        <f>SUM(BZ45:CK45)</f>
        <v>12102056.82</v>
      </c>
      <c r="CM45" s="160">
        <f t="shared" ref="CM45:CM50" si="479">SUM(BZ45:CK45)/$CL$4</f>
        <v>1100186.9836363636</v>
      </c>
      <c r="CN45" s="689">
        <f t="shared" ref="CN45:CN50" si="480">AX45-AU45</f>
        <v>24154.1599999998</v>
      </c>
      <c r="CO45" s="672">
        <f t="shared" ref="CO45:CO50" si="481">CN45/AU45</f>
        <v>3.0745258395675584E-2</v>
      </c>
      <c r="CP45" s="689">
        <f t="shared" ref="CP45:CP50" si="482">AY45-AX45</f>
        <v>23141.40000000014</v>
      </c>
      <c r="CQ45" s="672">
        <f t="shared" ref="CQ45:CQ50" si="483">CP45/AX45</f>
        <v>2.8577517024328519E-2</v>
      </c>
      <c r="CR45" s="689">
        <f t="shared" ref="CR45:CR50" si="484">AZ45-AY45</f>
        <v>-89650.90000000014</v>
      </c>
      <c r="CS45" s="672">
        <f t="shared" ref="CS45:CS50" si="485">CR45/AY45</f>
        <v>-0.10763474582318963</v>
      </c>
      <c r="CT45" s="689">
        <f t="shared" ref="CT45:CT50" si="486">BA45-AZ45</f>
        <v>323711.68000000017</v>
      </c>
      <c r="CU45" s="672">
        <f t="shared" ref="CU45:CU50" si="487">CT45/AZ45</f>
        <v>0.43552546545390569</v>
      </c>
      <c r="CV45" s="689">
        <f t="shared" ref="CV45:CV50" si="488">BB45-BA45</f>
        <v>-195557.44000000018</v>
      </c>
      <c r="CW45" s="672">
        <f t="shared" ref="CW45:CW50" si="489">CV45/BA45</f>
        <v>-0.18328149818034795</v>
      </c>
      <c r="CX45" s="689">
        <f t="shared" ref="CX45:CX50" si="490">BC45-BB45</f>
        <v>66706.430000000051</v>
      </c>
      <c r="CY45" s="672">
        <f t="shared" ref="CY45:CY50" si="491">CX45/BB45</f>
        <v>7.6549011581288462E-2</v>
      </c>
      <c r="CZ45" s="689">
        <f t="shared" ref="CZ45:CZ50" si="492">BD45-BC45</f>
        <v>1393174.3200000003</v>
      </c>
      <c r="DA45" s="672">
        <f t="shared" ref="DA45:DA50" si="493">CZ45/BC45</f>
        <v>1.485058434640891</v>
      </c>
      <c r="DB45" s="689">
        <f t="shared" ref="DB45:DB50" si="494">BE45-BD45</f>
        <v>-1393371.35</v>
      </c>
      <c r="DC45" s="672">
        <f t="shared" ref="DC45:DC50" si="495">DB45/BD45</f>
        <v>-0.59767949061836023</v>
      </c>
      <c r="DD45" s="689">
        <f t="shared" ref="DD45:DD50" si="496">BF45-BE45</f>
        <v>-16674.570000000065</v>
      </c>
      <c r="DE45" s="672">
        <f t="shared" ref="DE45:DE50" si="497">DD45/BE45</f>
        <v>-1.7778042805684045E-2</v>
      </c>
      <c r="DF45" s="689">
        <f t="shared" ref="DF45:DF50" si="498">BG45-BF45</f>
        <v>-122134.83999999997</v>
      </c>
      <c r="DG45" s="109">
        <f t="shared" ref="DG45:DG50" si="499">DF45/BF45</f>
        <v>-0.13257426673395592</v>
      </c>
      <c r="DH45" s="689">
        <f t="shared" ref="DH45:DH50" si="500">BH45-BG45</f>
        <v>416267.77999999991</v>
      </c>
      <c r="DI45" s="672">
        <f t="shared" ref="DI45:DI50" si="501">DH45/BG45</f>
        <v>0.52090696083048316</v>
      </c>
      <c r="DJ45" s="689">
        <f t="shared" ref="DJ45:DJ50" si="502">BI45-BH45</f>
        <v>-25792.709999999963</v>
      </c>
      <c r="DK45" s="672">
        <f t="shared" ref="DK45:DK50" si="503">DJ45/BH45</f>
        <v>-2.1221774313482086E-2</v>
      </c>
      <c r="DL45" s="689">
        <f t="shared" ref="DL45:DL50" si="504">BL45-BI45</f>
        <v>-355082.67000000004</v>
      </c>
      <c r="DM45" s="672">
        <f t="shared" ref="DM45:DM50" si="505">DL45/BI45</f>
        <v>-0.29849007424569535</v>
      </c>
      <c r="DN45" s="335">
        <f t="shared" ref="DN45:DN50" si="506">BM45-BL45</f>
        <v>7471.1500000000233</v>
      </c>
      <c r="DO45" s="410">
        <f t="shared" ref="DO45:DO50" si="507">DN45/BL45</f>
        <v>8.9527004336190999E-3</v>
      </c>
      <c r="DP45" s="335">
        <f t="shared" ref="DP45:DP50" si="508">BN45-BM45</f>
        <v>-627.15999999991618</v>
      </c>
      <c r="DQ45" s="410">
        <f t="shared" ref="DQ45:DQ50" si="509">DP45/BM45</f>
        <v>-7.4485912285904212E-4</v>
      </c>
      <c r="DR45" s="335">
        <f t="shared" ref="DR45:DR50" si="510">BO45-BN45</f>
        <v>-10775.5</v>
      </c>
      <c r="DS45" s="410">
        <f t="shared" ref="DS45:DS50" si="511">DR45/BN45</f>
        <v>-1.2807277799940371E-2</v>
      </c>
      <c r="DT45" s="335">
        <f t="shared" ref="DT45:DT50" si="512">BP45-BO45</f>
        <v>31718.989999999874</v>
      </c>
      <c r="DU45" s="410">
        <f t="shared" ref="DU45:DU50" si="513">DT45/BO45</f>
        <v>3.8188869622346369E-2</v>
      </c>
      <c r="DV45" s="335">
        <f t="shared" ref="DV45:DV50" si="514">BQ45-BP45</f>
        <v>36696.819999999949</v>
      </c>
      <c r="DW45" s="410">
        <f t="shared" ref="DW45:DW50" si="515">DV45/BP45</f>
        <v>4.2556854128845086E-2</v>
      </c>
      <c r="DX45" s="335">
        <f t="shared" ref="DX45:DX50" si="516">BR45-BQ45</f>
        <v>1877945.3299999998</v>
      </c>
      <c r="DY45" s="410">
        <f t="shared" ref="DY45:DY50" si="517">DX45/BQ45</f>
        <v>2.0889319014738046</v>
      </c>
      <c r="DZ45" s="335">
        <f t="shared" ref="DZ45:DZ50" si="518">BS45-BR45</f>
        <v>-1883097.8699999996</v>
      </c>
      <c r="EA45" s="410">
        <f t="shared" ref="EA45:EA50" si="519">DZ45/BR45</f>
        <v>-0.67811897268910648</v>
      </c>
      <c r="EB45" s="335">
        <f t="shared" ref="EB45:EB50" si="520">BT45-BS45</f>
        <v>-26754.790000000037</v>
      </c>
      <c r="EC45" s="410">
        <f t="shared" ref="EC45:EC50" si="521">EB45/BS45</f>
        <v>-2.993223671034902E-2</v>
      </c>
      <c r="ED45" s="335">
        <f t="shared" ref="ED45:ED50" si="522">BU45-BT45</f>
        <v>15561.229999999981</v>
      </c>
      <c r="EE45" s="410">
        <f t="shared" ref="EE45:EE50" si="523">ED45/BT45</f>
        <v>1.7946488033418032E-2</v>
      </c>
      <c r="EF45" s="335">
        <f t="shared" ref="EF45:EF50" si="524">BV45-BU45</f>
        <v>50861.919999999925</v>
      </c>
      <c r="EG45" s="410">
        <f t="shared" ref="EG45:EG50" si="525">EF45/BU45</f>
        <v>5.7623993661735845E-2</v>
      </c>
      <c r="EH45" s="335">
        <f t="shared" ref="EH45:EH50" si="526">BW45-BV45</f>
        <v>1397196.2200000002</v>
      </c>
      <c r="EI45" s="410">
        <f t="shared" ref="EI45:EI50" si="527">EH45/BV45</f>
        <v>1.4967067274610619</v>
      </c>
      <c r="EJ45" s="335">
        <f t="shared" ref="EJ45:EJ50" si="528">BZ45-BW45</f>
        <v>-1476683.29</v>
      </c>
      <c r="EK45" s="410">
        <f t="shared" ref="EK45:EK50" si="529">EJ45/BW45</f>
        <v>-0.63357661271539367</v>
      </c>
      <c r="EL45" s="335">
        <f t="shared" ref="EL45:EL50" si="530">CA45-BZ45</f>
        <v>28217.839999999967</v>
      </c>
      <c r="EM45" s="410">
        <f t="shared" ref="EM45:EM50" si="531">EL45/BZ45</f>
        <v>3.3040937295373732E-2</v>
      </c>
      <c r="EN45" s="335">
        <f t="shared" ref="EN45:EN50" si="532">CB45-CA45</f>
        <v>-6342.5300000000279</v>
      </c>
      <c r="EO45" s="410">
        <f t="shared" ref="EO45:EO50" si="533">EN45/CA45</f>
        <v>-7.1890845310607311E-3</v>
      </c>
      <c r="EP45" s="335">
        <f t="shared" ref="EP45:EP50" si="534">CC45-CB45</f>
        <v>132951.39000000013</v>
      </c>
      <c r="EQ45" s="410">
        <f t="shared" ref="EQ45:EQ50" si="535">EP45/CB45</f>
        <v>0.1517879861276252</v>
      </c>
      <c r="ER45" s="335">
        <f t="shared" ref="ER45:ER50" si="536">CD45-CC45</f>
        <v>-80775.350000000093</v>
      </c>
      <c r="ES45" s="410">
        <f t="shared" ref="ES45:ES50" si="537">ER45/CC45</f>
        <v>-8.0066495692357034E-2</v>
      </c>
      <c r="ET45" s="335">
        <f t="shared" ref="ET45:ET50" si="538">CE45-CD45</f>
        <v>94204.910000000033</v>
      </c>
      <c r="EU45" s="410">
        <f t="shared" ref="EU45:EU50" si="539">ET45/CD45</f>
        <v>0.10150538321688644</v>
      </c>
      <c r="EV45" s="335">
        <f t="shared" ref="EV45:EV50" si="540">CF45-CE45</f>
        <v>1893550.4300000002</v>
      </c>
      <c r="EW45" s="410">
        <f t="shared" ref="EW45:EW50" si="541">EV45/CE45</f>
        <v>1.8522763777478111</v>
      </c>
      <c r="EX45" s="1029">
        <f t="shared" ref="EX45:EX50" si="542">CG45-CF45</f>
        <v>-1913817.8900000001</v>
      </c>
      <c r="EY45" s="410">
        <f t="shared" ref="EY45:EY50" si="543">EX45/CF45</f>
        <v>-0.65635366858471078</v>
      </c>
      <c r="EZ45" s="335">
        <f t="shared" ref="EZ45:EZ50" si="544">CH45-CG45</f>
        <v>-99033.84999999986</v>
      </c>
      <c r="FA45" s="410">
        <f t="shared" ref="FA45:FA50" si="545">EZ45/CG45</f>
        <v>-9.8834656656281661E-2</v>
      </c>
      <c r="FB45" s="335">
        <f t="shared" ref="FB45:FB50" si="546">CI45-CH45</f>
        <v>-204370.32000000007</v>
      </c>
      <c r="FC45" s="410">
        <f t="shared" ref="FC45:FC50" si="547">FB45/CH45</f>
        <v>-0.2263283402340095</v>
      </c>
      <c r="FD45" s="335">
        <f t="shared" ref="FD45:FD50" si="548">CJ45-CI45</f>
        <v>312616.84000000008</v>
      </c>
      <c r="FE45" s="410">
        <f t="shared" ref="FE45:FE50" si="549">FD45/CI45</f>
        <v>0.44748326054010734</v>
      </c>
      <c r="FF45" s="335">
        <f t="shared" ref="FF45:FF50" si="550">CK45-CJ45</f>
        <v>-1011228.0900000001</v>
      </c>
      <c r="FG45" s="410">
        <f t="shared" ref="FG45:FG50" si="551">FF45/CJ45</f>
        <v>-1</v>
      </c>
      <c r="FH45" s="222">
        <f t="shared" ref="FH45:FH50" si="552">BV45</f>
        <v>933513.69</v>
      </c>
      <c r="FI45" s="249">
        <f t="shared" ref="FI45:FI50" si="553">CJ45</f>
        <v>1011228.0900000001</v>
      </c>
      <c r="FJ45" s="689">
        <f>FI45-FH45</f>
        <v>77714.40000000014</v>
      </c>
      <c r="FK45" s="109">
        <f t="shared" ref="FK45:FK46" si="554">IF(ISERROR(FJ45/FH45),0,FJ45/FH45)</f>
        <v>8.3249341528135651E-2</v>
      </c>
      <c r="FL45" s="707"/>
      <c r="FM45" s="707"/>
      <c r="FN45" s="707"/>
      <c r="FO45" t="str">
        <f t="shared" ref="FO45:FO50" si="555">E45</f>
        <v>Total ERP Costs</v>
      </c>
      <c r="FP45" s="296" t="e">
        <f>#REF!</f>
        <v>#REF!</v>
      </c>
      <c r="FQ45" s="296" t="e">
        <f>#REF!</f>
        <v>#REF!</v>
      </c>
      <c r="FR45" s="296" t="e">
        <f>#REF!</f>
        <v>#REF!</v>
      </c>
      <c r="FS45" s="296" t="e">
        <f>#REF!</f>
        <v>#REF!</v>
      </c>
      <c r="FT45" s="296" t="e">
        <f>#REF!</f>
        <v>#REF!</v>
      </c>
      <c r="FU45" s="296" t="e">
        <f>#REF!</f>
        <v>#REF!</v>
      </c>
      <c r="FV45" s="296" t="e">
        <f>#REF!</f>
        <v>#REF!</v>
      </c>
      <c r="FW45" s="296" t="e">
        <f>#REF!</f>
        <v>#REF!</v>
      </c>
      <c r="FX45" s="296" t="e">
        <f>#REF!</f>
        <v>#REF!</v>
      </c>
      <c r="FY45" s="296" t="e">
        <f>#REF!</f>
        <v>#REF!</v>
      </c>
      <c r="FZ45" s="296" t="e">
        <f>#REF!</f>
        <v>#REF!</v>
      </c>
      <c r="GA45" s="297">
        <f t="shared" ref="GA45:GL50" si="556">AJ45</f>
        <v>842664.62</v>
      </c>
      <c r="GB45" s="297">
        <f t="shared" si="556"/>
        <v>728467.10000000009</v>
      </c>
      <c r="GC45" s="297">
        <f t="shared" si="556"/>
        <v>747018.07</v>
      </c>
      <c r="GD45" s="297">
        <f t="shared" si="556"/>
        <v>737646.02999999991</v>
      </c>
      <c r="GE45" s="297">
        <f t="shared" si="556"/>
        <v>725533.50999999989</v>
      </c>
      <c r="GF45" s="297">
        <f t="shared" si="556"/>
        <v>2728501.65</v>
      </c>
      <c r="GG45" s="297">
        <f t="shared" si="556"/>
        <v>745353.13</v>
      </c>
      <c r="GH45" s="297">
        <f t="shared" si="556"/>
        <v>809195.83000000007</v>
      </c>
      <c r="GI45" s="297">
        <f t="shared" si="556"/>
        <v>773425.62000000011</v>
      </c>
      <c r="GJ45" s="297">
        <f t="shared" si="556"/>
        <v>738835.52</v>
      </c>
      <c r="GK45" s="297">
        <f t="shared" si="556"/>
        <v>766413.52</v>
      </c>
      <c r="GL45" s="297">
        <f t="shared" si="556"/>
        <v>785622.28000000014</v>
      </c>
      <c r="GM45" s="297">
        <f t="shared" ref="GM45:GX50" si="557">AX45</f>
        <v>809776.44</v>
      </c>
      <c r="GN45" s="297">
        <f t="shared" si="557"/>
        <v>832917.84000000008</v>
      </c>
      <c r="GO45" s="297">
        <f t="shared" si="557"/>
        <v>743266.94</v>
      </c>
      <c r="GP45" s="297">
        <f t="shared" si="557"/>
        <v>1066978.6200000001</v>
      </c>
      <c r="GQ45" s="297">
        <f t="shared" si="557"/>
        <v>871421.17999999993</v>
      </c>
      <c r="GR45" s="297">
        <f t="shared" si="557"/>
        <v>938127.61</v>
      </c>
      <c r="GS45" s="297">
        <f t="shared" si="557"/>
        <v>2331301.9300000002</v>
      </c>
      <c r="GT45" s="297">
        <f t="shared" si="557"/>
        <v>937930.58000000007</v>
      </c>
      <c r="GU45" s="297">
        <f t="shared" si="557"/>
        <v>921256.01</v>
      </c>
      <c r="GV45" s="297">
        <f t="shared" si="557"/>
        <v>799121.17</v>
      </c>
      <c r="GW45" s="297">
        <f t="shared" si="557"/>
        <v>1215388.95</v>
      </c>
      <c r="GX45" s="297">
        <f t="shared" si="557"/>
        <v>1189596.24</v>
      </c>
      <c r="GY45" s="839">
        <f t="shared" ref="GY45:HJ50" si="558">BL45</f>
        <v>834513.57</v>
      </c>
      <c r="GZ45" s="839">
        <f t="shared" si="558"/>
        <v>841984.72</v>
      </c>
      <c r="HA45" s="839">
        <f t="shared" si="558"/>
        <v>841357.56</v>
      </c>
      <c r="HB45" s="839">
        <f t="shared" si="558"/>
        <v>830582.06</v>
      </c>
      <c r="HC45" s="839">
        <f t="shared" si="558"/>
        <v>862301.04999999993</v>
      </c>
      <c r="HD45" s="839">
        <f t="shared" si="558"/>
        <v>898997.86999999988</v>
      </c>
      <c r="HE45" s="839">
        <f t="shared" si="558"/>
        <v>2776943.1999999997</v>
      </c>
      <c r="HF45" s="839">
        <f t="shared" si="558"/>
        <v>893845.33000000007</v>
      </c>
      <c r="HG45" s="839">
        <f t="shared" si="558"/>
        <v>867090.54</v>
      </c>
      <c r="HH45" s="839">
        <f t="shared" si="558"/>
        <v>882651.77</v>
      </c>
      <c r="HI45" s="839">
        <f t="shared" si="558"/>
        <v>933513.69</v>
      </c>
      <c r="HJ45" s="839">
        <f t="shared" si="558"/>
        <v>2330709.91</v>
      </c>
      <c r="HK45" s="967">
        <f t="shared" ref="HK45:HK50" si="559">BZ45</f>
        <v>854026.62</v>
      </c>
      <c r="HL45" s="967">
        <f t="shared" ref="HL45:HV50" si="560">CA45</f>
        <v>882244.46</v>
      </c>
      <c r="HM45" s="967">
        <f t="shared" si="560"/>
        <v>875901.92999999993</v>
      </c>
      <c r="HN45" s="967">
        <f t="shared" si="560"/>
        <v>1008853.3200000001</v>
      </c>
      <c r="HO45" s="967">
        <f t="shared" si="560"/>
        <v>928077.97</v>
      </c>
      <c r="HP45" s="967">
        <f t="shared" si="560"/>
        <v>1022282.88</v>
      </c>
      <c r="HQ45" s="967">
        <f t="shared" si="560"/>
        <v>2915833.31</v>
      </c>
      <c r="HR45" s="967">
        <f t="shared" si="560"/>
        <v>1002015.4199999999</v>
      </c>
      <c r="HS45" s="967">
        <f t="shared" si="560"/>
        <v>902981.57000000007</v>
      </c>
      <c r="HT45" s="967">
        <f t="shared" si="560"/>
        <v>698611.25</v>
      </c>
      <c r="HU45" s="967">
        <f t="shared" si="560"/>
        <v>1011228.0900000001</v>
      </c>
      <c r="HV45" s="967">
        <f t="shared" si="560"/>
        <v>0</v>
      </c>
    </row>
    <row r="46" spans="1:230" s="2" customFormat="1" x14ac:dyDescent="0.25">
      <c r="A46" s="802"/>
      <c r="B46" s="56">
        <v>7.2</v>
      </c>
      <c r="C46" s="7"/>
      <c r="D46" s="119"/>
      <c r="E46" s="1046" t="s">
        <v>169</v>
      </c>
      <c r="F46" s="1046"/>
      <c r="G46" s="1047"/>
      <c r="H46" s="395">
        <v>6.5612847773068443</v>
      </c>
      <c r="I46" s="61">
        <v>8.0712490038740423</v>
      </c>
      <c r="J46" s="25">
        <v>11.164394660906037</v>
      </c>
      <c r="K46" s="61">
        <v>7.8274321334892401</v>
      </c>
      <c r="L46" s="25">
        <v>8.1957133404230174</v>
      </c>
      <c r="M46" s="61">
        <v>30.456910683288623</v>
      </c>
      <c r="N46" s="25">
        <v>7.8899957317314158</v>
      </c>
      <c r="O46" s="61">
        <v>9.0852541537874743</v>
      </c>
      <c r="P46" s="25">
        <v>6.3075713261281567</v>
      </c>
      <c r="Q46" s="61">
        <v>6.5599882540283163</v>
      </c>
      <c r="R46" s="25">
        <v>6.5274505111340053</v>
      </c>
      <c r="S46" s="61">
        <v>9.2728995694578682</v>
      </c>
      <c r="T46" s="141">
        <v>9.7620836144653094</v>
      </c>
      <c r="U46" s="401">
        <v>9.7620836144653094</v>
      </c>
      <c r="V46" s="395">
        <f t="shared" ref="V46:Y46" si="561">V45/V39</f>
        <v>7.1276031349856126</v>
      </c>
      <c r="W46" s="61">
        <f t="shared" si="561"/>
        <v>5.8187893834641633</v>
      </c>
      <c r="X46" s="25">
        <f t="shared" si="561"/>
        <v>6.9148461218955957</v>
      </c>
      <c r="Y46" s="61">
        <f t="shared" si="561"/>
        <v>6.1464218177241481</v>
      </c>
      <c r="Z46" s="25">
        <v>7.9507969523211059</v>
      </c>
      <c r="AA46" s="61">
        <v>21.530749240049776</v>
      </c>
      <c r="AB46" s="25">
        <v>5.6509696912650602</v>
      </c>
      <c r="AC46" s="61">
        <v>6.9508714811632366</v>
      </c>
      <c r="AD46" s="25">
        <v>6.8769926644466963</v>
      </c>
      <c r="AE46" s="61">
        <v>6.0693760360505351</v>
      </c>
      <c r="AF46" s="25">
        <v>8.1292935524052439</v>
      </c>
      <c r="AG46" s="61">
        <v>10.793692508143323</v>
      </c>
      <c r="AH46" s="141">
        <v>8.2014556563657184</v>
      </c>
      <c r="AI46" s="756">
        <v>8.2014556563657184</v>
      </c>
      <c r="AJ46" s="25">
        <f t="shared" ref="AJ46:AU46" si="562">AJ45/AJ39</f>
        <v>7.554210436669087</v>
      </c>
      <c r="AK46" s="61">
        <f t="shared" si="562"/>
        <v>5.4004929979464604</v>
      </c>
      <c r="AL46" s="25">
        <f t="shared" si="562"/>
        <v>6.7063297423467096</v>
      </c>
      <c r="AM46" s="61">
        <f t="shared" si="562"/>
        <v>6.6176180394197379</v>
      </c>
      <c r="AN46" s="25">
        <f t="shared" si="562"/>
        <v>6.5188954778655299</v>
      </c>
      <c r="AO46" s="648">
        <f t="shared" si="562"/>
        <v>24.557644501647076</v>
      </c>
      <c r="AP46" s="647">
        <f t="shared" si="562"/>
        <v>6.7136833903801119</v>
      </c>
      <c r="AQ46" s="648">
        <f t="shared" si="562"/>
        <v>6.1067696290035327</v>
      </c>
      <c r="AR46" s="647">
        <f t="shared" si="562"/>
        <v>6.9713154384193841</v>
      </c>
      <c r="AS46" s="648">
        <f t="shared" si="562"/>
        <v>6.6372805346940247</v>
      </c>
      <c r="AT46" s="647">
        <f t="shared" si="562"/>
        <v>6.8673200541204089</v>
      </c>
      <c r="AU46" s="648">
        <f t="shared" si="562"/>
        <v>6.9872841438685134</v>
      </c>
      <c r="AV46" s="141">
        <f t="shared" ref="AV46:BA46" si="563">AV45/AV39</f>
        <v>8.0553568556486468</v>
      </c>
      <c r="AW46" s="757">
        <f t="shared" si="563"/>
        <v>8.0553568556486468</v>
      </c>
      <c r="AX46" s="25">
        <f t="shared" si="563"/>
        <v>7.2044808227831201</v>
      </c>
      <c r="AY46" s="61">
        <f t="shared" si="563"/>
        <v>6.2230960154808255</v>
      </c>
      <c r="AZ46" s="25">
        <f t="shared" si="563"/>
        <v>6.7132748654214378</v>
      </c>
      <c r="BA46" s="61">
        <f t="shared" si="563"/>
        <v>9.6427381587152414</v>
      </c>
      <c r="BB46" s="25">
        <f t="shared" ref="BB46:BG46" si="564">BB45/BB39</f>
        <v>7.9134498133837026</v>
      </c>
      <c r="BC46" s="648">
        <f t="shared" si="564"/>
        <v>8.5444342131628321</v>
      </c>
      <c r="BD46" s="647">
        <f t="shared" si="564"/>
        <v>18.912466576889379</v>
      </c>
      <c r="BE46" s="648">
        <f t="shared" si="564"/>
        <v>8.5624482380865441</v>
      </c>
      <c r="BF46" s="647">
        <f t="shared" si="564"/>
        <v>8.392220542017764</v>
      </c>
      <c r="BG46" s="648">
        <f t="shared" si="564"/>
        <v>7.234812095423476</v>
      </c>
      <c r="BH46" s="647">
        <f t="shared" ref="BH46:BI46" si="565">BH45/BH39</f>
        <v>10.919642327700062</v>
      </c>
      <c r="BI46" s="648">
        <f t="shared" si="565"/>
        <v>8.7339944054095717</v>
      </c>
      <c r="BJ46" s="141">
        <f>BJ45/BJ39</f>
        <v>9.1185026576546075</v>
      </c>
      <c r="BK46" s="757">
        <f>BK45/BK39</f>
        <v>9.1185026576546075</v>
      </c>
      <c r="BL46" s="25">
        <f t="shared" ref="BL46:BM46" si="566">BL45/BL39</f>
        <v>7.3309693940299026</v>
      </c>
      <c r="BM46" s="61">
        <f t="shared" si="566"/>
        <v>7.2953430259760514</v>
      </c>
      <c r="BN46" s="25">
        <f t="shared" ref="BN46:BO46" si="567">BN45/BN39</f>
        <v>7.2609066666666671</v>
      </c>
      <c r="BO46" s="61">
        <f t="shared" si="567"/>
        <v>7.1233452830188684</v>
      </c>
      <c r="BP46" s="25">
        <f t="shared" ref="BP46:BQ46" si="568">BP45/BP39</f>
        <v>7.3409814922018652</v>
      </c>
      <c r="BQ46" s="648">
        <f t="shared" si="568"/>
        <v>7.6645483532691623</v>
      </c>
      <c r="BR46" s="647">
        <f t="shared" ref="BR46" si="569">BR45/BR39</f>
        <v>19.478162548135259</v>
      </c>
      <c r="BS46" s="648">
        <f t="shared" ref="BS46:BT46" si="570">BS45/BS39</f>
        <v>7.6363097597648917</v>
      </c>
      <c r="BT46" s="647">
        <f t="shared" si="570"/>
        <v>7.3813157289884312</v>
      </c>
      <c r="BU46" s="647">
        <f t="shared" ref="BU46:BV46" si="571">BU45/BU39</f>
        <v>7.4179274554790782</v>
      </c>
      <c r="BV46" s="647">
        <f t="shared" si="571"/>
        <v>7.7899269835441762</v>
      </c>
      <c r="BW46" s="647">
        <f t="shared" ref="BW46" si="572">BW45/BW39</f>
        <v>19.240757425660838</v>
      </c>
      <c r="BX46" s="141">
        <f>BX45/BX39</f>
        <v>9.6227500594686237</v>
      </c>
      <c r="BY46" s="757">
        <f>BY45/BY39</f>
        <v>9.6227500594686237</v>
      </c>
      <c r="BZ46" s="647">
        <f t="shared" ref="BZ46:CA46" si="573">BZ45/BZ39</f>
        <v>5.7464934697914778</v>
      </c>
      <c r="CA46" s="61">
        <f t="shared" si="573"/>
        <v>7.2803860341142581</v>
      </c>
      <c r="CB46" s="25">
        <f t="shared" ref="CB46:CC46" si="574">CB45/CB39</f>
        <v>7.259557664415067</v>
      </c>
      <c r="CC46" s="61">
        <f t="shared" si="574"/>
        <v>8.3566230689583776</v>
      </c>
      <c r="CD46" s="25">
        <f t="shared" ref="CD46:CE46" si="575">CD45/CD39</f>
        <v>7.7029146608678332</v>
      </c>
      <c r="CE46" s="648">
        <f t="shared" si="575"/>
        <v>6.9576184577690059</v>
      </c>
      <c r="CF46" s="647">
        <f t="shared" ref="CF46:CG46" si="576">CF45/CF39</f>
        <v>23.768378017069214</v>
      </c>
      <c r="CG46" s="648">
        <f t="shared" si="576"/>
        <v>8.4477706490856814</v>
      </c>
      <c r="CH46" s="647">
        <f t="shared" ref="CH46:CI46" si="577">CH45/CH39</f>
        <v>7.6528401684845715</v>
      </c>
      <c r="CI46" s="647">
        <f t="shared" si="577"/>
        <v>5.8909297501496738</v>
      </c>
      <c r="CJ46" s="647">
        <f t="shared" ref="CJ46" si="578">CJ45/CJ39</f>
        <v>8.5097287767604701</v>
      </c>
      <c r="CK46" s="647"/>
      <c r="CL46" s="141">
        <f>CL45/CL39</f>
        <v>8.7995887582182188</v>
      </c>
      <c r="CM46" s="757">
        <f>CM45/CM39</f>
        <v>8.7995887582182188</v>
      </c>
      <c r="CN46" s="790">
        <f t="shared" si="480"/>
        <v>0.2171966789146067</v>
      </c>
      <c r="CO46" s="672">
        <f t="shared" si="481"/>
        <v>3.108456367918017E-2</v>
      </c>
      <c r="CP46" s="690">
        <f t="shared" si="482"/>
        <v>-0.9813848073022946</v>
      </c>
      <c r="CQ46" s="672">
        <f t="shared" si="483"/>
        <v>-0.13621867160764842</v>
      </c>
      <c r="CR46" s="690">
        <f t="shared" si="484"/>
        <v>0.49017884994061234</v>
      </c>
      <c r="CS46" s="672">
        <f t="shared" si="485"/>
        <v>7.8767682311380635E-2</v>
      </c>
      <c r="CT46" s="690">
        <f t="shared" si="486"/>
        <v>2.9294632932938036</v>
      </c>
      <c r="CU46" s="672">
        <f t="shared" si="487"/>
        <v>0.43636873985047259</v>
      </c>
      <c r="CV46" s="690">
        <f t="shared" si="488"/>
        <v>-1.7292883453315389</v>
      </c>
      <c r="CW46" s="672">
        <f t="shared" si="489"/>
        <v>-0.1793358190244525</v>
      </c>
      <c r="CX46" s="690">
        <f t="shared" si="490"/>
        <v>0.63098439977912957</v>
      </c>
      <c r="CY46" s="672">
        <f t="shared" si="491"/>
        <v>7.9735692354043972E-2</v>
      </c>
      <c r="CZ46" s="690">
        <f t="shared" si="492"/>
        <v>10.368032363726547</v>
      </c>
      <c r="DA46" s="672">
        <f t="shared" si="493"/>
        <v>1.213425266678797</v>
      </c>
      <c r="DB46" s="690">
        <f t="shared" si="494"/>
        <v>-10.350018338802835</v>
      </c>
      <c r="DC46" s="672">
        <f t="shared" si="495"/>
        <v>-0.54725904189833874</v>
      </c>
      <c r="DD46" s="690">
        <f t="shared" si="496"/>
        <v>-0.17022769606878008</v>
      </c>
      <c r="DE46" s="672">
        <f t="shared" si="497"/>
        <v>-1.9880727022861509E-2</v>
      </c>
      <c r="DF46" s="690">
        <f t="shared" si="498"/>
        <v>-1.157408446594288</v>
      </c>
      <c r="DG46" s="109">
        <f t="shared" si="499"/>
        <v>-0.13791444597999197</v>
      </c>
      <c r="DH46" s="690">
        <f t="shared" si="500"/>
        <v>3.6848302322765862</v>
      </c>
      <c r="DI46" s="672">
        <f t="shared" si="501"/>
        <v>0.50931941060466501</v>
      </c>
      <c r="DJ46" s="690">
        <f t="shared" si="502"/>
        <v>-2.1856479222904905</v>
      </c>
      <c r="DK46" s="672">
        <f t="shared" si="503"/>
        <v>-0.20015746456695896</v>
      </c>
      <c r="DL46" s="690">
        <f t="shared" si="504"/>
        <v>-1.4030250113796692</v>
      </c>
      <c r="DM46" s="672">
        <f t="shared" si="505"/>
        <v>-0.1606395592045122</v>
      </c>
      <c r="DN46" s="473">
        <f t="shared" si="506"/>
        <v>-3.562636805385111E-2</v>
      </c>
      <c r="DO46" s="410">
        <f t="shared" si="507"/>
        <v>-4.859707651059632E-3</v>
      </c>
      <c r="DP46" s="473">
        <f t="shared" si="508"/>
        <v>-3.4436359309384379E-2</v>
      </c>
      <c r="DQ46" s="410">
        <f t="shared" si="509"/>
        <v>-4.7203207836518562E-3</v>
      </c>
      <c r="DR46" s="473">
        <f t="shared" si="510"/>
        <v>-0.13756138364779869</v>
      </c>
      <c r="DS46" s="410">
        <f t="shared" si="511"/>
        <v>-1.8945482976570237E-2</v>
      </c>
      <c r="DT46" s="473">
        <f t="shared" si="512"/>
        <v>0.21763620918299686</v>
      </c>
      <c r="DU46" s="410">
        <f t="shared" si="513"/>
        <v>3.0552528416924189E-2</v>
      </c>
      <c r="DV46" s="473">
        <f t="shared" si="514"/>
        <v>0.32356686106729704</v>
      </c>
      <c r="DW46" s="410">
        <f t="shared" si="515"/>
        <v>4.4076784747518263E-2</v>
      </c>
      <c r="DX46" s="473">
        <f t="shared" si="516"/>
        <v>11.813614194866098</v>
      </c>
      <c r="DY46" s="410">
        <f t="shared" si="517"/>
        <v>1.5413320720753536</v>
      </c>
      <c r="DZ46" s="473">
        <f t="shared" si="518"/>
        <v>-11.841852788370367</v>
      </c>
      <c r="EA46" s="410">
        <f t="shared" si="519"/>
        <v>-0.60795533249639333</v>
      </c>
      <c r="EB46" s="473">
        <f t="shared" si="520"/>
        <v>-0.25499403077646043</v>
      </c>
      <c r="EC46" s="410">
        <f t="shared" si="521"/>
        <v>-3.3392311050555297E-2</v>
      </c>
      <c r="ED46" s="473">
        <f t="shared" si="522"/>
        <v>3.6611726490646923E-2</v>
      </c>
      <c r="EE46" s="410">
        <f t="shared" si="523"/>
        <v>4.9600542552139769E-3</v>
      </c>
      <c r="EF46" s="473">
        <f t="shared" si="524"/>
        <v>0.37199952806509806</v>
      </c>
      <c r="EG46" s="410">
        <f t="shared" si="525"/>
        <v>5.0148714758639128E-2</v>
      </c>
      <c r="EH46" s="473">
        <f t="shared" si="526"/>
        <v>11.450830442116661</v>
      </c>
      <c r="EI46" s="410">
        <f t="shared" si="527"/>
        <v>1.4699535010156008</v>
      </c>
      <c r="EJ46" s="473">
        <f t="shared" si="528"/>
        <v>-13.494263955869361</v>
      </c>
      <c r="EK46" s="410">
        <f t="shared" si="529"/>
        <v>-0.70133746075258208</v>
      </c>
      <c r="EL46" s="473">
        <f t="shared" si="530"/>
        <v>1.5338925643227803</v>
      </c>
      <c r="EM46" s="410">
        <f t="shared" si="531"/>
        <v>0.26692670450009937</v>
      </c>
      <c r="EN46" s="473">
        <f t="shared" si="532"/>
        <v>-2.0828369699191107E-2</v>
      </c>
      <c r="EO46" s="410">
        <f t="shared" si="533"/>
        <v>-2.8608880904932832E-3</v>
      </c>
      <c r="EP46" s="473">
        <f t="shared" si="534"/>
        <v>1.0970654045433106</v>
      </c>
      <c r="EQ46" s="410">
        <f t="shared" si="535"/>
        <v>0.15112014467781015</v>
      </c>
      <c r="ER46" s="473">
        <f t="shared" si="536"/>
        <v>-0.65370840809054442</v>
      </c>
      <c r="ES46" s="410">
        <f t="shared" si="537"/>
        <v>-7.8226384353605502E-2</v>
      </c>
      <c r="ET46" s="473">
        <f t="shared" si="538"/>
        <v>-0.74529620309882727</v>
      </c>
      <c r="EU46" s="410">
        <f t="shared" si="539"/>
        <v>-9.6755090236824715E-2</v>
      </c>
      <c r="EV46" s="473">
        <f t="shared" si="540"/>
        <v>16.810759559300209</v>
      </c>
      <c r="EW46" s="410">
        <f t="shared" si="541"/>
        <v>2.4161657701320203</v>
      </c>
      <c r="EX46" s="473">
        <f t="shared" si="542"/>
        <v>-15.320607367983532</v>
      </c>
      <c r="EY46" s="410">
        <f t="shared" si="543"/>
        <v>-0.64457942216255015</v>
      </c>
      <c r="EZ46" s="473">
        <f t="shared" si="544"/>
        <v>-0.79493048060110993</v>
      </c>
      <c r="FA46" s="410">
        <f t="shared" si="545"/>
        <v>-9.4099439203779375E-2</v>
      </c>
      <c r="FB46" s="473">
        <f t="shared" si="546"/>
        <v>-1.7619104183348977</v>
      </c>
      <c r="FC46" s="410">
        <f t="shared" si="547"/>
        <v>-0.23022961143114978</v>
      </c>
      <c r="FD46" s="473">
        <f t="shared" si="548"/>
        <v>2.6187990266107963</v>
      </c>
      <c r="FE46" s="410">
        <f t="shared" si="549"/>
        <v>0.44454765846499172</v>
      </c>
      <c r="FF46" s="473">
        <f t="shared" si="550"/>
        <v>-8.5097287767604701</v>
      </c>
      <c r="FG46" s="410">
        <f t="shared" si="551"/>
        <v>-1</v>
      </c>
      <c r="FH46" s="223">
        <f t="shared" si="552"/>
        <v>7.7899269835441762</v>
      </c>
      <c r="FI46" s="737">
        <f t="shared" si="553"/>
        <v>8.5097287767604701</v>
      </c>
      <c r="FJ46" s="690">
        <f>FI46-FH46</f>
        <v>0.71980179321629389</v>
      </c>
      <c r="FK46" s="109">
        <f t="shared" si="554"/>
        <v>9.2401609763074613E-2</v>
      </c>
      <c r="FL46" s="707"/>
      <c r="FM46" s="707"/>
      <c r="FN46" s="707"/>
      <c r="FO46" s="2" t="str">
        <f t="shared" si="555"/>
        <v>Cost Per Employee Payroll</v>
      </c>
      <c r="FP46" s="298" t="e">
        <f>#REF!</f>
        <v>#REF!</v>
      </c>
      <c r="FQ46" s="298" t="e">
        <f>#REF!</f>
        <v>#REF!</v>
      </c>
      <c r="FR46" s="298" t="e">
        <f>#REF!</f>
        <v>#REF!</v>
      </c>
      <c r="FS46" s="298" t="e">
        <f>#REF!</f>
        <v>#REF!</v>
      </c>
      <c r="FT46" s="298" t="e">
        <f>#REF!</f>
        <v>#REF!</v>
      </c>
      <c r="FU46" s="298" t="e">
        <f>#REF!</f>
        <v>#REF!</v>
      </c>
      <c r="FV46" s="298" t="e">
        <f>#REF!</f>
        <v>#REF!</v>
      </c>
      <c r="FW46" s="298" t="e">
        <f>#REF!</f>
        <v>#REF!</v>
      </c>
      <c r="FX46" s="298" t="e">
        <f>#REF!</f>
        <v>#REF!</v>
      </c>
      <c r="FY46" s="298" t="e">
        <f>#REF!</f>
        <v>#REF!</v>
      </c>
      <c r="FZ46" s="298" t="e">
        <f>#REF!</f>
        <v>#REF!</v>
      </c>
      <c r="GA46" s="299">
        <f t="shared" si="556"/>
        <v>7.554210436669087</v>
      </c>
      <c r="GB46" s="299">
        <f t="shared" si="556"/>
        <v>5.4004929979464604</v>
      </c>
      <c r="GC46" s="299">
        <f t="shared" si="556"/>
        <v>6.7063297423467096</v>
      </c>
      <c r="GD46" s="299">
        <f t="shared" si="556"/>
        <v>6.6176180394197379</v>
      </c>
      <c r="GE46" s="299">
        <f t="shared" si="556"/>
        <v>6.5188954778655299</v>
      </c>
      <c r="GF46" s="299">
        <f t="shared" si="556"/>
        <v>24.557644501647076</v>
      </c>
      <c r="GG46" s="299">
        <f t="shared" si="556"/>
        <v>6.7136833903801119</v>
      </c>
      <c r="GH46" s="299">
        <f t="shared" si="556"/>
        <v>6.1067696290035327</v>
      </c>
      <c r="GI46" s="299">
        <f t="shared" si="556"/>
        <v>6.9713154384193841</v>
      </c>
      <c r="GJ46" s="299">
        <f t="shared" si="556"/>
        <v>6.6372805346940247</v>
      </c>
      <c r="GK46" s="299">
        <f t="shared" si="556"/>
        <v>6.8673200541204089</v>
      </c>
      <c r="GL46" s="299">
        <f t="shared" si="556"/>
        <v>6.9872841438685134</v>
      </c>
      <c r="GM46" s="299">
        <f t="shared" si="557"/>
        <v>7.2044808227831201</v>
      </c>
      <c r="GN46" s="299">
        <f t="shared" si="557"/>
        <v>6.2230960154808255</v>
      </c>
      <c r="GO46" s="299">
        <f t="shared" si="557"/>
        <v>6.7132748654214378</v>
      </c>
      <c r="GP46" s="299">
        <f t="shared" si="557"/>
        <v>9.6427381587152414</v>
      </c>
      <c r="GQ46" s="299">
        <f t="shared" si="557"/>
        <v>7.9134498133837026</v>
      </c>
      <c r="GR46" s="299">
        <f t="shared" si="557"/>
        <v>8.5444342131628321</v>
      </c>
      <c r="GS46" s="299">
        <f t="shared" si="557"/>
        <v>18.912466576889379</v>
      </c>
      <c r="GT46" s="299">
        <f t="shared" si="557"/>
        <v>8.5624482380865441</v>
      </c>
      <c r="GU46" s="299">
        <f t="shared" si="557"/>
        <v>8.392220542017764</v>
      </c>
      <c r="GV46" s="299">
        <f t="shared" si="557"/>
        <v>7.234812095423476</v>
      </c>
      <c r="GW46" s="299">
        <f t="shared" si="557"/>
        <v>10.919642327700062</v>
      </c>
      <c r="GX46" s="299">
        <f t="shared" si="557"/>
        <v>8.7339944054095717</v>
      </c>
      <c r="GY46" s="840">
        <f t="shared" si="558"/>
        <v>7.3309693940299026</v>
      </c>
      <c r="GZ46" s="840">
        <f t="shared" si="558"/>
        <v>7.2953430259760514</v>
      </c>
      <c r="HA46" s="840">
        <f t="shared" si="558"/>
        <v>7.2609066666666671</v>
      </c>
      <c r="HB46" s="840">
        <f t="shared" si="558"/>
        <v>7.1233452830188684</v>
      </c>
      <c r="HC46" s="840">
        <f t="shared" si="558"/>
        <v>7.3409814922018652</v>
      </c>
      <c r="HD46" s="840">
        <f t="shared" si="558"/>
        <v>7.6645483532691623</v>
      </c>
      <c r="HE46" s="840">
        <f t="shared" si="558"/>
        <v>19.478162548135259</v>
      </c>
      <c r="HF46" s="840">
        <f t="shared" si="558"/>
        <v>7.6363097597648917</v>
      </c>
      <c r="HG46" s="840">
        <f t="shared" si="558"/>
        <v>7.3813157289884312</v>
      </c>
      <c r="HH46" s="840">
        <f t="shared" si="558"/>
        <v>7.4179274554790782</v>
      </c>
      <c r="HI46" s="840">
        <f t="shared" si="558"/>
        <v>7.7899269835441762</v>
      </c>
      <c r="HJ46" s="840">
        <f t="shared" si="558"/>
        <v>19.240757425660838</v>
      </c>
      <c r="HK46" s="968">
        <f t="shared" si="559"/>
        <v>5.7464934697914778</v>
      </c>
      <c r="HL46" s="968">
        <f t="shared" si="560"/>
        <v>7.2803860341142581</v>
      </c>
      <c r="HM46" s="968">
        <f t="shared" si="560"/>
        <v>7.259557664415067</v>
      </c>
      <c r="HN46" s="968">
        <f t="shared" si="560"/>
        <v>8.3566230689583776</v>
      </c>
      <c r="HO46" s="968">
        <f t="shared" si="560"/>
        <v>7.7029146608678332</v>
      </c>
      <c r="HP46" s="968">
        <f t="shared" si="560"/>
        <v>6.9576184577690059</v>
      </c>
      <c r="HQ46" s="968">
        <f t="shared" si="560"/>
        <v>23.768378017069214</v>
      </c>
      <c r="HR46" s="968">
        <f t="shared" si="560"/>
        <v>8.4477706490856814</v>
      </c>
      <c r="HS46" s="968">
        <f t="shared" si="560"/>
        <v>7.6528401684845715</v>
      </c>
      <c r="HT46" s="968">
        <f t="shared" si="560"/>
        <v>5.8909297501496738</v>
      </c>
      <c r="HU46" s="968">
        <f t="shared" si="560"/>
        <v>8.5097287767604701</v>
      </c>
      <c r="HV46" s="968">
        <f t="shared" si="560"/>
        <v>0</v>
      </c>
    </row>
    <row r="47" spans="1:230" s="2" customFormat="1" x14ac:dyDescent="0.25">
      <c r="A47" s="802"/>
      <c r="B47" s="76">
        <v>7.3</v>
      </c>
      <c r="C47" s="30"/>
      <c r="D47" s="455"/>
      <c r="E47" s="1050" t="s">
        <v>1</v>
      </c>
      <c r="F47" s="1050"/>
      <c r="G47" s="1051"/>
      <c r="H47" s="396">
        <v>8.7752468999448274E-3</v>
      </c>
      <c r="I47" s="97">
        <v>1.0798293934908684E-2</v>
      </c>
      <c r="J47" s="98">
        <v>1.4947956850744185E-2</v>
      </c>
      <c r="K47" s="97">
        <v>1.0458134505882483E-2</v>
      </c>
      <c r="L47" s="98">
        <v>1.0982459982345809E-2</v>
      </c>
      <c r="M47" s="97">
        <v>4.0747110989910053E-2</v>
      </c>
      <c r="N47" s="98">
        <v>1.0536977625421192E-2</v>
      </c>
      <c r="O47" s="97">
        <v>1.2069356615139632E-2</v>
      </c>
      <c r="P47" s="98">
        <v>1.0399105429796324E-2</v>
      </c>
      <c r="Q47" s="97">
        <v>8.7841076688185953E-3</v>
      </c>
      <c r="R47" s="98">
        <v>8.6949241530809331E-3</v>
      </c>
      <c r="S47" s="97">
        <v>1.2254227377710021E-2</v>
      </c>
      <c r="T47" s="142">
        <v>0.15944790203370277</v>
      </c>
      <c r="U47" s="161">
        <v>1.3287325169475232E-2</v>
      </c>
      <c r="V47" s="396">
        <f t="shared" ref="V47:Y47" si="579">V45/V8</f>
        <v>9.4654689268022438E-3</v>
      </c>
      <c r="W47" s="97">
        <f t="shared" si="579"/>
        <v>9.7105213694941572E-3</v>
      </c>
      <c r="X47" s="98">
        <f t="shared" si="579"/>
        <v>9.3139492618193424E-3</v>
      </c>
      <c r="Y47" s="97">
        <f t="shared" si="579"/>
        <v>8.2481018240320395E-3</v>
      </c>
      <c r="Z47" s="98">
        <v>1.0684899717537591E-2</v>
      </c>
      <c r="AA47" s="97">
        <v>2.8860149450699049E-2</v>
      </c>
      <c r="AB47" s="98">
        <v>9.5060384987692929E-3</v>
      </c>
      <c r="AC47" s="97">
        <v>9.3075905694590191E-3</v>
      </c>
      <c r="AD47" s="98">
        <v>9.0252198925501546E-3</v>
      </c>
      <c r="AE47" s="97">
        <v>7.9617330815641048E-3</v>
      </c>
      <c r="AF47" s="98">
        <v>8.6802680628274027E-3</v>
      </c>
      <c r="AG47" s="97">
        <v>1.2242602005879368E-2</v>
      </c>
      <c r="AH47" s="142">
        <v>0.13300654266143377</v>
      </c>
      <c r="AI47" s="161">
        <v>1.1083878555119482E-2</v>
      </c>
      <c r="AJ47" s="396">
        <f t="shared" ref="AJ47:AP47" si="580">AJ45/AJ8</f>
        <v>8.8951244754300485E-3</v>
      </c>
      <c r="AK47" s="97">
        <f>AK45/AK8</f>
        <v>7.6896613159759203E-3</v>
      </c>
      <c r="AL47" s="98">
        <f t="shared" si="580"/>
        <v>7.8854844030897091E-3</v>
      </c>
      <c r="AM47" s="97">
        <f t="shared" si="580"/>
        <v>7.7865536299089036E-3</v>
      </c>
      <c r="AN47" s="98">
        <f t="shared" si="580"/>
        <v>7.6586944905147085E-3</v>
      </c>
      <c r="AO47" s="97">
        <f t="shared" si="580"/>
        <v>2.8801923365628271E-2</v>
      </c>
      <c r="AP47" s="649">
        <f t="shared" si="580"/>
        <v>7.8679093819097254E-3</v>
      </c>
      <c r="AQ47" s="650">
        <f t="shared" ref="AQ47:AW47" si="581">AQ45/AQ8</f>
        <v>8.5418296461158335E-3</v>
      </c>
      <c r="AR47" s="649">
        <f t="shared" si="581"/>
        <v>8.164241145411635E-3</v>
      </c>
      <c r="AS47" s="650">
        <f t="shared" si="581"/>
        <v>7.7991098252933495E-3</v>
      </c>
      <c r="AT47" s="649">
        <f t="shared" si="581"/>
        <v>8.0902217777370274E-3</v>
      </c>
      <c r="AU47" s="650">
        <f t="shared" si="581"/>
        <v>8.2929884623269921E-3</v>
      </c>
      <c r="AV47" s="142">
        <f t="shared" si="581"/>
        <v>0.1174737419193421</v>
      </c>
      <c r="AW47" s="161">
        <f t="shared" si="581"/>
        <v>9.7894784932785073E-3</v>
      </c>
      <c r="AX47" s="396">
        <f t="shared" ref="AX47:BC47" si="582">AX45/AX8</f>
        <v>8.5479585354735921E-3</v>
      </c>
      <c r="AY47" s="97">
        <f t="shared" si="582"/>
        <v>8.7922379660443431E-3</v>
      </c>
      <c r="AZ47" s="98">
        <f t="shared" si="582"/>
        <v>7.8458876673521624E-3</v>
      </c>
      <c r="BA47" s="97">
        <f t="shared" si="582"/>
        <v>1.1262971545574771E-2</v>
      </c>
      <c r="BB47" s="98">
        <f t="shared" si="582"/>
        <v>9.1986772467391974E-3</v>
      </c>
      <c r="BC47" s="97">
        <f t="shared" si="582"/>
        <v>9.9028268978323709E-3</v>
      </c>
      <c r="BD47" s="649">
        <f t="shared" ref="BD47:BK47" si="583">BD45/BD8</f>
        <v>2.4609103509247023E-2</v>
      </c>
      <c r="BE47" s="650">
        <f t="shared" si="583"/>
        <v>9.9007470592657621E-3</v>
      </c>
      <c r="BF47" s="649">
        <f t="shared" si="583"/>
        <v>9.724731154237885E-3</v>
      </c>
      <c r="BG47" s="650">
        <f t="shared" si="583"/>
        <v>8.4354820522799401E-3</v>
      </c>
      <c r="BH47" s="649">
        <f t="shared" si="583"/>
        <v>1.2829583371273172E-2</v>
      </c>
      <c r="BI47" s="650">
        <f t="shared" si="583"/>
        <v>1.2557316848432009E-2</v>
      </c>
      <c r="BJ47" s="142">
        <f t="shared" si="583"/>
        <v>0.13360752385375221</v>
      </c>
      <c r="BK47" s="161">
        <f t="shared" si="583"/>
        <v>1.113396032114602E-2</v>
      </c>
      <c r="BL47" s="396">
        <f t="shared" ref="BL47:BM47" si="584">BL45/BL8</f>
        <v>8.8090824100168184E-3</v>
      </c>
      <c r="BM47" s="97">
        <f t="shared" si="584"/>
        <v>8.887947485928761E-3</v>
      </c>
      <c r="BN47" s="98">
        <f t="shared" ref="BN47:BO47" si="585">BN45/BN8</f>
        <v>8.8813272171603761E-3</v>
      </c>
      <c r="BO47" s="97">
        <f t="shared" si="585"/>
        <v>8.7675815922580308E-3</v>
      </c>
      <c r="BP47" s="98">
        <f t="shared" ref="BP47:BQ47" si="586">BP45/BP8</f>
        <v>9.1024056225880567E-3</v>
      </c>
      <c r="BQ47" s="97">
        <f t="shared" si="586"/>
        <v>9.4897753708901161E-3</v>
      </c>
      <c r="BR47" s="649">
        <f t="shared" ref="BR47:BS47" si="587">BR45/BR8</f>
        <v>2.9313269880962885E-2</v>
      </c>
      <c r="BS47" s="650">
        <f t="shared" si="587"/>
        <v>9.435385423125808E-3</v>
      </c>
      <c r="BT47" s="649">
        <f t="shared" ref="BT47:BU47" si="588">BT45/BT8</f>
        <v>9.1529632331874295E-3</v>
      </c>
      <c r="BU47" s="649">
        <f t="shared" si="588"/>
        <v>9.3172267783221442E-3</v>
      </c>
      <c r="BV47" s="649">
        <f t="shared" ref="BV47:BW47" si="589">BV45/BV8</f>
        <v>9.8541225951411342E-3</v>
      </c>
      <c r="BW47" s="649">
        <f t="shared" si="589"/>
        <v>2.4602854176514928E-2</v>
      </c>
      <c r="BX47" s="142">
        <f>BX45/BX8</f>
        <v>0.14561394178609646</v>
      </c>
      <c r="BY47" s="161">
        <f t="shared" si="478"/>
        <v>1.2134495148841374E-2</v>
      </c>
      <c r="BZ47" s="649">
        <f t="shared" ref="BZ47:CA47" si="590">BZ45/BZ8</f>
        <v>9.0150611642278236E-3</v>
      </c>
      <c r="CA47" s="97">
        <f t="shared" si="590"/>
        <v>9.3129272348690343E-3</v>
      </c>
      <c r="CB47" s="98">
        <f t="shared" ref="CB47:CC47" si="591">CB45/CB8</f>
        <v>9.2459758137459422E-3</v>
      </c>
      <c r="CC47" s="97">
        <f t="shared" si="591"/>
        <v>1.064940386229917E-2</v>
      </c>
      <c r="CD47" s="98">
        <f t="shared" ref="CD47:CE47" si="592">CD45/CD8</f>
        <v>9.7967434138322238E-3</v>
      </c>
      <c r="CE47" s="97">
        <f t="shared" si="592"/>
        <v>1.0791165608330771E-2</v>
      </c>
      <c r="CF47" s="649">
        <f t="shared" ref="CF47:CG47" si="593">CF45/CF8</f>
        <v>3.0779386753006444E-2</v>
      </c>
      <c r="CG47" s="97">
        <f t="shared" si="593"/>
        <v>1.0577223340883018E-2</v>
      </c>
      <c r="CH47" s="649">
        <f t="shared" ref="CH47:CI47" si="594">CH45/CH8</f>
        <v>9.5318271036100351E-3</v>
      </c>
      <c r="CI47" s="649">
        <f t="shared" si="594"/>
        <v>7.3745044958524308E-3</v>
      </c>
      <c r="CJ47" s="649">
        <f t="shared" ref="CJ47" si="595">CJ45/CJ8</f>
        <v>1.0674471812524157E-2</v>
      </c>
      <c r="CK47" s="649"/>
      <c r="CL47" s="142">
        <f>CL45/CL8</f>
        <v>0.12774869060318106</v>
      </c>
      <c r="CM47" s="161">
        <f t="shared" si="479"/>
        <v>1.1613517327561912E-2</v>
      </c>
      <c r="CN47" s="691">
        <f t="shared" si="480"/>
        <v>2.5497007314660008E-4</v>
      </c>
      <c r="CO47" s="678">
        <f t="shared" si="481"/>
        <v>3.0745258395675629E-2</v>
      </c>
      <c r="CP47" s="691">
        <f t="shared" si="482"/>
        <v>2.4427943057075095E-4</v>
      </c>
      <c r="CQ47" s="678">
        <f t="shared" si="483"/>
        <v>2.8577517024328529E-2</v>
      </c>
      <c r="CR47" s="691">
        <f t="shared" si="484"/>
        <v>-9.4635029869218068E-4</v>
      </c>
      <c r="CS47" s="678">
        <f t="shared" si="485"/>
        <v>-0.10763474582318963</v>
      </c>
      <c r="CT47" s="691">
        <f t="shared" si="486"/>
        <v>3.4170838782226088E-3</v>
      </c>
      <c r="CU47" s="678">
        <f t="shared" si="487"/>
        <v>0.43552546545390569</v>
      </c>
      <c r="CV47" s="691">
        <f t="shared" si="488"/>
        <v>-2.0642942988355738E-3</v>
      </c>
      <c r="CW47" s="678">
        <f t="shared" si="489"/>
        <v>-0.183281498180348</v>
      </c>
      <c r="CX47" s="691">
        <f t="shared" si="490"/>
        <v>7.0414965109317357E-4</v>
      </c>
      <c r="CY47" s="678">
        <f t="shared" si="491"/>
        <v>7.6549011581288476E-2</v>
      </c>
      <c r="CZ47" s="691">
        <f t="shared" si="492"/>
        <v>1.4706276611414652E-2</v>
      </c>
      <c r="DA47" s="678">
        <f t="shared" si="493"/>
        <v>1.485058434640891</v>
      </c>
      <c r="DB47" s="691">
        <f t="shared" si="494"/>
        <v>-1.4708356449981261E-2</v>
      </c>
      <c r="DC47" s="678">
        <f t="shared" si="495"/>
        <v>-0.59767949061836023</v>
      </c>
      <c r="DD47" s="691">
        <f t="shared" si="496"/>
        <v>-1.7601590502787715E-4</v>
      </c>
      <c r="DE47" s="678">
        <f t="shared" si="497"/>
        <v>-1.7778042805684045E-2</v>
      </c>
      <c r="DF47" s="691">
        <f t="shared" si="498"/>
        <v>-1.2892491019579448E-3</v>
      </c>
      <c r="DG47" s="117">
        <f t="shared" si="499"/>
        <v>-0.13257426673395598</v>
      </c>
      <c r="DH47" s="691">
        <f t="shared" si="500"/>
        <v>4.3941013189932321E-3</v>
      </c>
      <c r="DI47" s="678">
        <f t="shared" si="501"/>
        <v>0.52090696083048338</v>
      </c>
      <c r="DJ47" s="691">
        <f t="shared" si="502"/>
        <v>-2.722665228411629E-4</v>
      </c>
      <c r="DK47" s="678">
        <f t="shared" si="503"/>
        <v>-2.1221774313482163E-2</v>
      </c>
      <c r="DL47" s="691">
        <f t="shared" si="504"/>
        <v>-3.7482344384151909E-3</v>
      </c>
      <c r="DM47" s="678">
        <f t="shared" si="505"/>
        <v>-0.29849007424569529</v>
      </c>
      <c r="DN47" s="403">
        <f t="shared" si="506"/>
        <v>7.8865075911942542E-5</v>
      </c>
      <c r="DO47" s="412">
        <f t="shared" si="507"/>
        <v>8.9527004336189386E-3</v>
      </c>
      <c r="DP47" s="403">
        <f t="shared" si="508"/>
        <v>-6.6202687683848682E-6</v>
      </c>
      <c r="DQ47" s="412">
        <f t="shared" si="509"/>
        <v>-7.4485912285890063E-4</v>
      </c>
      <c r="DR47" s="403">
        <f t="shared" si="510"/>
        <v>-1.1374562490234531E-4</v>
      </c>
      <c r="DS47" s="412">
        <f t="shared" si="511"/>
        <v>-1.2807277799940488E-2</v>
      </c>
      <c r="DT47" s="403">
        <f t="shared" si="512"/>
        <v>3.3482403033002588E-4</v>
      </c>
      <c r="DU47" s="412">
        <f t="shared" si="513"/>
        <v>3.8188869622346362E-2</v>
      </c>
      <c r="DV47" s="403">
        <f t="shared" si="514"/>
        <v>3.8736974830205946E-4</v>
      </c>
      <c r="DW47" s="412">
        <f t="shared" si="515"/>
        <v>4.2556854128845106E-2</v>
      </c>
      <c r="DX47" s="403">
        <f t="shared" si="516"/>
        <v>1.9823494510072769E-2</v>
      </c>
      <c r="DY47" s="412">
        <f t="shared" si="517"/>
        <v>2.0889319014738046</v>
      </c>
      <c r="DZ47" s="403">
        <f t="shared" si="518"/>
        <v>-1.9877884457837079E-2</v>
      </c>
      <c r="EA47" s="412">
        <f t="shared" si="519"/>
        <v>-0.67811897268910648</v>
      </c>
      <c r="EB47" s="403">
        <f t="shared" si="520"/>
        <v>-2.8242218993837845E-4</v>
      </c>
      <c r="EC47" s="412">
        <f t="shared" si="521"/>
        <v>-2.9932236710349034E-2</v>
      </c>
      <c r="ED47" s="403">
        <f t="shared" si="522"/>
        <v>1.6426354513471471E-4</v>
      </c>
      <c r="EE47" s="412">
        <f t="shared" si="523"/>
        <v>1.7946488033418171E-2</v>
      </c>
      <c r="EF47" s="403">
        <f t="shared" si="524"/>
        <v>5.3689581681898996E-4</v>
      </c>
      <c r="EG47" s="412">
        <f t="shared" si="525"/>
        <v>5.7623993661735762E-2</v>
      </c>
      <c r="EH47" s="403">
        <f t="shared" si="526"/>
        <v>1.4748731581373794E-2</v>
      </c>
      <c r="EI47" s="412">
        <f t="shared" si="527"/>
        <v>1.4967067274610619</v>
      </c>
      <c r="EJ47" s="403">
        <f t="shared" si="528"/>
        <v>-1.5587793012287104E-2</v>
      </c>
      <c r="EK47" s="412">
        <f t="shared" si="529"/>
        <v>-0.63357661271539367</v>
      </c>
      <c r="EL47" s="403">
        <f t="shared" si="530"/>
        <v>2.9786607064121069E-4</v>
      </c>
      <c r="EM47" s="412">
        <f t="shared" si="531"/>
        <v>3.304093729537376E-2</v>
      </c>
      <c r="EN47" s="403">
        <f t="shared" si="532"/>
        <v>-6.6951421123092117E-5</v>
      </c>
      <c r="EO47" s="412">
        <f t="shared" si="533"/>
        <v>-7.1890845310608334E-3</v>
      </c>
      <c r="EP47" s="403">
        <f t="shared" si="534"/>
        <v>1.4034280485532274E-3</v>
      </c>
      <c r="EQ47" s="412">
        <f t="shared" si="535"/>
        <v>0.15178798612762523</v>
      </c>
      <c r="ER47" s="403">
        <f t="shared" si="536"/>
        <v>-8.5266044846694575E-4</v>
      </c>
      <c r="ES47" s="412">
        <f t="shared" si="537"/>
        <v>-8.0066495692356937E-2</v>
      </c>
      <c r="ET47" s="403">
        <f t="shared" si="538"/>
        <v>9.9442219449854749E-4</v>
      </c>
      <c r="EU47" s="412">
        <f t="shared" si="539"/>
        <v>0.10150538321688637</v>
      </c>
      <c r="EV47" s="403">
        <f t="shared" si="540"/>
        <v>1.9988221144675675E-2</v>
      </c>
      <c r="EW47" s="412">
        <f t="shared" si="541"/>
        <v>1.8522763777478111</v>
      </c>
      <c r="EX47" s="403">
        <f t="shared" si="542"/>
        <v>-2.0202163412123428E-2</v>
      </c>
      <c r="EY47" s="412">
        <f t="shared" si="543"/>
        <v>-0.65635366858471078</v>
      </c>
      <c r="EZ47" s="403">
        <f t="shared" si="544"/>
        <v>-1.045396237272983E-3</v>
      </c>
      <c r="FA47" s="412">
        <f t="shared" si="545"/>
        <v>-9.88346566562818E-2</v>
      </c>
      <c r="FB47" s="403">
        <f t="shared" si="546"/>
        <v>-2.1573226077576044E-3</v>
      </c>
      <c r="FC47" s="412">
        <f t="shared" si="547"/>
        <v>-0.22632834023400938</v>
      </c>
      <c r="FD47" s="403">
        <f t="shared" si="548"/>
        <v>3.2999673166717262E-3</v>
      </c>
      <c r="FE47" s="412">
        <f t="shared" si="549"/>
        <v>0.44748326054010734</v>
      </c>
      <c r="FF47" s="403">
        <f t="shared" si="550"/>
        <v>-1.0674471812524157E-2</v>
      </c>
      <c r="FG47" s="412">
        <f t="shared" si="551"/>
        <v>-1</v>
      </c>
      <c r="FH47" s="224">
        <f t="shared" si="552"/>
        <v>9.8541225951411342E-3</v>
      </c>
      <c r="FI47" s="738">
        <f t="shared" si="553"/>
        <v>1.0674471812524157E-2</v>
      </c>
      <c r="FJ47" s="691">
        <f>(FI47-FH47)*100</f>
        <v>8.2034921738302277E-2</v>
      </c>
      <c r="FK47" s="117">
        <f>IF(ISERROR((FJ47/FH47)/100),0,(FJ47/FH47)/100)</f>
        <v>8.3249341528135665E-2</v>
      </c>
      <c r="FL47" s="707"/>
      <c r="FM47" s="707"/>
      <c r="FN47" s="707"/>
      <c r="FO47" s="2" t="str">
        <f t="shared" si="555"/>
        <v>Cost as % of System Implementation</v>
      </c>
      <c r="FP47" s="300" t="e">
        <f>#REF!</f>
        <v>#REF!</v>
      </c>
      <c r="FQ47" s="300" t="e">
        <f>#REF!</f>
        <v>#REF!</v>
      </c>
      <c r="FR47" s="300" t="e">
        <f>#REF!</f>
        <v>#REF!</v>
      </c>
      <c r="FS47" s="300" t="e">
        <f>#REF!</f>
        <v>#REF!</v>
      </c>
      <c r="FT47" s="300" t="e">
        <f>#REF!</f>
        <v>#REF!</v>
      </c>
      <c r="FU47" s="300" t="e">
        <f>#REF!</f>
        <v>#REF!</v>
      </c>
      <c r="FV47" s="300" t="e">
        <f>#REF!</f>
        <v>#REF!</v>
      </c>
      <c r="FW47" s="300" t="e">
        <f>#REF!</f>
        <v>#REF!</v>
      </c>
      <c r="FX47" s="300" t="e">
        <f>#REF!</f>
        <v>#REF!</v>
      </c>
      <c r="FY47" s="300" t="e">
        <f>#REF!</f>
        <v>#REF!</v>
      </c>
      <c r="FZ47" s="300" t="e">
        <f>#REF!</f>
        <v>#REF!</v>
      </c>
      <c r="GA47" s="301">
        <f t="shared" si="556"/>
        <v>8.8951244754300485E-3</v>
      </c>
      <c r="GB47" s="301">
        <f t="shared" si="556"/>
        <v>7.6896613159759203E-3</v>
      </c>
      <c r="GC47" s="301">
        <f t="shared" si="556"/>
        <v>7.8854844030897091E-3</v>
      </c>
      <c r="GD47" s="301">
        <f t="shared" si="556"/>
        <v>7.7865536299089036E-3</v>
      </c>
      <c r="GE47" s="301">
        <f t="shared" si="556"/>
        <v>7.6586944905147085E-3</v>
      </c>
      <c r="GF47" s="301">
        <f t="shared" si="556"/>
        <v>2.8801923365628271E-2</v>
      </c>
      <c r="GG47" s="301">
        <f t="shared" si="556"/>
        <v>7.8679093819097254E-3</v>
      </c>
      <c r="GH47" s="301">
        <f t="shared" si="556"/>
        <v>8.5418296461158335E-3</v>
      </c>
      <c r="GI47" s="301">
        <f t="shared" si="556"/>
        <v>8.164241145411635E-3</v>
      </c>
      <c r="GJ47" s="301">
        <f t="shared" si="556"/>
        <v>7.7991098252933495E-3</v>
      </c>
      <c r="GK47" s="301">
        <f t="shared" si="556"/>
        <v>8.0902217777370274E-3</v>
      </c>
      <c r="GL47" s="301">
        <f t="shared" si="556"/>
        <v>8.2929884623269921E-3</v>
      </c>
      <c r="GM47" s="301">
        <f t="shared" si="557"/>
        <v>8.5479585354735921E-3</v>
      </c>
      <c r="GN47" s="301">
        <f t="shared" si="557"/>
        <v>8.7922379660443431E-3</v>
      </c>
      <c r="GO47" s="301">
        <f t="shared" si="557"/>
        <v>7.8458876673521624E-3</v>
      </c>
      <c r="GP47" s="301">
        <f t="shared" si="557"/>
        <v>1.1262971545574771E-2</v>
      </c>
      <c r="GQ47" s="301">
        <f t="shared" si="557"/>
        <v>9.1986772467391974E-3</v>
      </c>
      <c r="GR47" s="301">
        <f t="shared" si="557"/>
        <v>9.9028268978323709E-3</v>
      </c>
      <c r="GS47" s="301">
        <f t="shared" si="557"/>
        <v>2.4609103509247023E-2</v>
      </c>
      <c r="GT47" s="301">
        <f t="shared" si="557"/>
        <v>9.9007470592657621E-3</v>
      </c>
      <c r="GU47" s="301">
        <f t="shared" si="557"/>
        <v>9.724731154237885E-3</v>
      </c>
      <c r="GV47" s="301">
        <f t="shared" si="557"/>
        <v>8.4354820522799401E-3</v>
      </c>
      <c r="GW47" s="301">
        <f t="shared" si="557"/>
        <v>1.2829583371273172E-2</v>
      </c>
      <c r="GX47" s="301">
        <f t="shared" si="557"/>
        <v>1.2557316848432009E-2</v>
      </c>
      <c r="GY47" s="841">
        <f t="shared" si="558"/>
        <v>8.8090824100168184E-3</v>
      </c>
      <c r="GZ47" s="841">
        <f t="shared" si="558"/>
        <v>8.887947485928761E-3</v>
      </c>
      <c r="HA47" s="841">
        <f t="shared" si="558"/>
        <v>8.8813272171603761E-3</v>
      </c>
      <c r="HB47" s="841">
        <f t="shared" si="558"/>
        <v>8.7675815922580308E-3</v>
      </c>
      <c r="HC47" s="841">
        <f t="shared" si="558"/>
        <v>9.1024056225880567E-3</v>
      </c>
      <c r="HD47" s="841">
        <f t="shared" si="558"/>
        <v>9.4897753708901161E-3</v>
      </c>
      <c r="HE47" s="841">
        <f t="shared" si="558"/>
        <v>2.9313269880962885E-2</v>
      </c>
      <c r="HF47" s="841">
        <f t="shared" si="558"/>
        <v>9.435385423125808E-3</v>
      </c>
      <c r="HG47" s="841">
        <f t="shared" si="558"/>
        <v>9.1529632331874295E-3</v>
      </c>
      <c r="HH47" s="841">
        <f t="shared" si="558"/>
        <v>9.3172267783221442E-3</v>
      </c>
      <c r="HI47" s="841">
        <f t="shared" si="558"/>
        <v>9.8541225951411342E-3</v>
      </c>
      <c r="HJ47" s="841">
        <f t="shared" si="558"/>
        <v>2.4602854176514928E-2</v>
      </c>
      <c r="HK47" s="969">
        <f t="shared" si="559"/>
        <v>9.0150611642278236E-3</v>
      </c>
      <c r="HL47" s="969">
        <f t="shared" si="560"/>
        <v>9.3129272348690343E-3</v>
      </c>
      <c r="HM47" s="969">
        <f t="shared" si="560"/>
        <v>9.2459758137459422E-3</v>
      </c>
      <c r="HN47" s="969">
        <f t="shared" si="560"/>
        <v>1.064940386229917E-2</v>
      </c>
      <c r="HO47" s="969">
        <f t="shared" si="560"/>
        <v>9.7967434138322238E-3</v>
      </c>
      <c r="HP47" s="969">
        <f t="shared" si="560"/>
        <v>1.0791165608330771E-2</v>
      </c>
      <c r="HQ47" s="969">
        <f t="shared" si="560"/>
        <v>3.0779386753006444E-2</v>
      </c>
      <c r="HR47" s="969">
        <f t="shared" si="560"/>
        <v>1.0577223340883018E-2</v>
      </c>
      <c r="HS47" s="969">
        <f t="shared" si="560"/>
        <v>9.5318271036100351E-3</v>
      </c>
      <c r="HT47" s="969">
        <f t="shared" si="560"/>
        <v>7.3745044958524308E-3</v>
      </c>
      <c r="HU47" s="969">
        <f t="shared" si="560"/>
        <v>1.0674471812524157E-2</v>
      </c>
      <c r="HV47" s="969">
        <f t="shared" si="560"/>
        <v>0</v>
      </c>
    </row>
    <row r="48" spans="1:230" s="2" customFormat="1" x14ac:dyDescent="0.25">
      <c r="A48" s="802"/>
      <c r="B48" s="56">
        <v>7.4</v>
      </c>
      <c r="C48" s="7"/>
      <c r="D48" s="119"/>
      <c r="E48" s="1046" t="s">
        <v>93</v>
      </c>
      <c r="F48" s="1046"/>
      <c r="G48" s="1047"/>
      <c r="H48" s="394">
        <v>347642.16</v>
      </c>
      <c r="I48" s="72">
        <v>359007.76999999996</v>
      </c>
      <c r="J48" s="24">
        <v>360100.57</v>
      </c>
      <c r="K48" s="320">
        <v>354852.94</v>
      </c>
      <c r="L48" s="24">
        <v>355564.33</v>
      </c>
      <c r="M48" s="72">
        <v>355679.54</v>
      </c>
      <c r="N48" s="24">
        <v>362653.63999999996</v>
      </c>
      <c r="O48" s="72">
        <v>390465.75</v>
      </c>
      <c r="P48" s="222">
        <v>349186.38999999996</v>
      </c>
      <c r="Q48" s="72">
        <v>344863.45</v>
      </c>
      <c r="R48" s="222">
        <v>350159.59</v>
      </c>
      <c r="S48" s="421">
        <v>335428.02</v>
      </c>
      <c r="T48" s="140">
        <v>4265604.1500000004</v>
      </c>
      <c r="U48" s="160">
        <v>355467.01250000001</v>
      </c>
      <c r="V48" s="445">
        <f>320072.97+6333.54</f>
        <v>326406.50999999995</v>
      </c>
      <c r="W48" s="421">
        <f>347757.24+1947.06</f>
        <v>349704.3</v>
      </c>
      <c r="X48" s="445">
        <f>292593.25+5979.19</f>
        <v>298572.44</v>
      </c>
      <c r="Y48" s="421">
        <f>297626.76+7918.79</f>
        <v>305545.55</v>
      </c>
      <c r="Z48" s="445">
        <v>303619.43</v>
      </c>
      <c r="AA48" s="249">
        <v>283940.93</v>
      </c>
      <c r="AB48" s="445">
        <v>327578.63999999996</v>
      </c>
      <c r="AC48" s="72">
        <v>326744.15999999997</v>
      </c>
      <c r="AD48" s="445">
        <v>300482.21999999997</v>
      </c>
      <c r="AE48" s="72">
        <v>285921.49</v>
      </c>
      <c r="AF48" s="222">
        <v>288667.86</v>
      </c>
      <c r="AG48" s="72">
        <v>604781.77</v>
      </c>
      <c r="AH48" s="140">
        <v>4001965.3</v>
      </c>
      <c r="AI48" s="160">
        <v>333497.10833333334</v>
      </c>
      <c r="AJ48" s="656">
        <v>292824.03999999998</v>
      </c>
      <c r="AK48" s="657">
        <v>278002.14999999997</v>
      </c>
      <c r="AL48" s="656">
        <v>284766.60000000003</v>
      </c>
      <c r="AM48" s="657">
        <v>305211.06</v>
      </c>
      <c r="AN48" s="656">
        <v>297521.93</v>
      </c>
      <c r="AO48" s="658">
        <f>295385.19+2029.12</f>
        <v>297414.31</v>
      </c>
      <c r="AP48" s="656">
        <f>331495.19+2830.23</f>
        <v>334325.42</v>
      </c>
      <c r="AQ48" s="249">
        <f>357048.87+2350.53</f>
        <v>359399.4</v>
      </c>
      <c r="AR48" s="656">
        <f>302604.24+1279.2</f>
        <v>303883.44</v>
      </c>
      <c r="AS48" s="72">
        <v>298736.75</v>
      </c>
      <c r="AT48" s="222">
        <v>304236.69</v>
      </c>
      <c r="AU48" s="646">
        <v>343177.36</v>
      </c>
      <c r="AV48" s="140">
        <f>SUM(AJ48:AU48)</f>
        <v>3699499.15</v>
      </c>
      <c r="AW48" s="160">
        <f t="shared" si="476"/>
        <v>308291.59583333333</v>
      </c>
      <c r="AX48" s="656">
        <v>303418.21999999997</v>
      </c>
      <c r="AY48" s="657">
        <v>303223.7</v>
      </c>
      <c r="AZ48" s="656">
        <v>295959.09999999998</v>
      </c>
      <c r="BA48" s="657">
        <v>314548.46000000002</v>
      </c>
      <c r="BB48" s="656">
        <v>303876.49</v>
      </c>
      <c r="BC48" s="658">
        <v>348685.31</v>
      </c>
      <c r="BD48" s="656">
        <v>299324.71000000002</v>
      </c>
      <c r="BE48" s="249">
        <v>355846.17</v>
      </c>
      <c r="BF48" s="656">
        <v>323569.21000000002</v>
      </c>
      <c r="BG48" s="72">
        <v>343378.77</v>
      </c>
      <c r="BH48" s="656">
        <v>286742.75</v>
      </c>
      <c r="BI48" s="870">
        <v>350686.54</v>
      </c>
      <c r="BJ48" s="140">
        <f>SUM(AX48:BI48)</f>
        <v>3829259.43</v>
      </c>
      <c r="BK48" s="160">
        <f t="shared" si="477"/>
        <v>319104.95250000001</v>
      </c>
      <c r="BL48" s="656">
        <v>293558.21999999997</v>
      </c>
      <c r="BM48" s="657">
        <v>303319.34000000003</v>
      </c>
      <c r="BN48" s="656">
        <v>299105.14</v>
      </c>
      <c r="BO48" s="657">
        <v>300932.65000000002</v>
      </c>
      <c r="BP48" s="913">
        <v>321199.12</v>
      </c>
      <c r="BQ48" s="658">
        <v>306709.92</v>
      </c>
      <c r="BR48" s="656">
        <v>309899.40000000002</v>
      </c>
      <c r="BS48" s="249">
        <v>341196.43</v>
      </c>
      <c r="BT48" s="656">
        <v>337701.76</v>
      </c>
      <c r="BU48" s="656">
        <v>300637.15999999997</v>
      </c>
      <c r="BV48" s="656">
        <v>297776.81</v>
      </c>
      <c r="BW48" s="656">
        <v>294351.26</v>
      </c>
      <c r="BX48" s="140">
        <f>SUM(BL48:BW48)</f>
        <v>3706387.2100000009</v>
      </c>
      <c r="BY48" s="160">
        <f t="shared" si="478"/>
        <v>308865.60083333339</v>
      </c>
      <c r="BZ48" s="656">
        <v>305726.15000000002</v>
      </c>
      <c r="CA48" s="657">
        <v>308868.84000000003</v>
      </c>
      <c r="CB48" s="656">
        <v>297754.21999999997</v>
      </c>
      <c r="CC48" s="657">
        <v>327353.28999999998</v>
      </c>
      <c r="CD48" s="913">
        <v>310020.38</v>
      </c>
      <c r="CE48" s="658">
        <v>377692.01</v>
      </c>
      <c r="CF48" s="656">
        <v>327401.03999999998</v>
      </c>
      <c r="CG48" s="658">
        <v>370412.42</v>
      </c>
      <c r="CH48" s="656">
        <v>273803.44</v>
      </c>
      <c r="CI48" s="656">
        <v>297917.38</v>
      </c>
      <c r="CJ48" s="656">
        <v>320069.06</v>
      </c>
      <c r="CK48" s="656"/>
      <c r="CL48" s="140">
        <f>SUM(BZ48:CK48)</f>
        <v>3517018.2299999995</v>
      </c>
      <c r="CM48" s="160">
        <f t="shared" si="479"/>
        <v>319728.92999999993</v>
      </c>
      <c r="CN48" s="689">
        <f t="shared" si="480"/>
        <v>-39759.140000000014</v>
      </c>
      <c r="CO48" s="672">
        <f t="shared" si="481"/>
        <v>-0.11585595273534366</v>
      </c>
      <c r="CP48" s="689">
        <f t="shared" si="482"/>
        <v>-194.51999999996042</v>
      </c>
      <c r="CQ48" s="672">
        <f t="shared" si="483"/>
        <v>-6.4109531721582322E-4</v>
      </c>
      <c r="CR48" s="689">
        <f t="shared" si="484"/>
        <v>-7264.6000000000349</v>
      </c>
      <c r="CS48" s="672">
        <f t="shared" si="485"/>
        <v>-2.3957889835128438E-2</v>
      </c>
      <c r="CT48" s="689">
        <f t="shared" si="486"/>
        <v>18589.360000000044</v>
      </c>
      <c r="CU48" s="672">
        <f t="shared" si="487"/>
        <v>6.2810570784949837E-2</v>
      </c>
      <c r="CV48" s="689">
        <f t="shared" si="488"/>
        <v>-10671.97000000003</v>
      </c>
      <c r="CW48" s="672">
        <f t="shared" si="489"/>
        <v>-3.3927904145517128E-2</v>
      </c>
      <c r="CX48" s="689">
        <f t="shared" si="490"/>
        <v>44808.820000000007</v>
      </c>
      <c r="CY48" s="672">
        <f t="shared" si="491"/>
        <v>0.14745734360693719</v>
      </c>
      <c r="CZ48" s="689">
        <f t="shared" si="492"/>
        <v>-49360.599999999977</v>
      </c>
      <c r="DA48" s="672">
        <f t="shared" si="493"/>
        <v>-0.1415620290972395</v>
      </c>
      <c r="DB48" s="689">
        <f t="shared" si="494"/>
        <v>56521.459999999963</v>
      </c>
      <c r="DC48" s="672">
        <f t="shared" si="495"/>
        <v>0.18882991651440992</v>
      </c>
      <c r="DD48" s="689">
        <f t="shared" si="496"/>
        <v>-32276.959999999963</v>
      </c>
      <c r="DE48" s="672">
        <f t="shared" si="497"/>
        <v>-9.070481213834608E-2</v>
      </c>
      <c r="DF48" s="689">
        <f t="shared" si="498"/>
        <v>19809.559999999998</v>
      </c>
      <c r="DG48" s="109">
        <f t="shared" si="499"/>
        <v>6.1222018003505331E-2</v>
      </c>
      <c r="DH48" s="689">
        <f t="shared" si="500"/>
        <v>-56636.020000000019</v>
      </c>
      <c r="DI48" s="672">
        <f t="shared" si="501"/>
        <v>-0.16493745376279381</v>
      </c>
      <c r="DJ48" s="689">
        <f t="shared" si="502"/>
        <v>63943.789999999979</v>
      </c>
      <c r="DK48" s="672">
        <f t="shared" si="503"/>
        <v>0.22300054665723887</v>
      </c>
      <c r="DL48" s="689">
        <f t="shared" si="504"/>
        <v>-57128.320000000007</v>
      </c>
      <c r="DM48" s="672">
        <f t="shared" si="505"/>
        <v>-0.16290422780412392</v>
      </c>
      <c r="DN48" s="335">
        <f t="shared" si="506"/>
        <v>9761.1200000000536</v>
      </c>
      <c r="DO48" s="410">
        <f t="shared" si="507"/>
        <v>3.3251053232302791E-2</v>
      </c>
      <c r="DP48" s="335">
        <f t="shared" si="508"/>
        <v>-4214.2000000000116</v>
      </c>
      <c r="DQ48" s="410">
        <f t="shared" si="509"/>
        <v>-1.3893607971057867E-2</v>
      </c>
      <c r="DR48" s="335">
        <f t="shared" si="510"/>
        <v>1827.5100000000093</v>
      </c>
      <c r="DS48" s="410">
        <f t="shared" si="511"/>
        <v>6.1099250918924672E-3</v>
      </c>
      <c r="DT48" s="335">
        <f t="shared" si="512"/>
        <v>20266.469999999972</v>
      </c>
      <c r="DU48" s="410">
        <f t="shared" si="513"/>
        <v>6.7345533959176487E-2</v>
      </c>
      <c r="DV48" s="335">
        <f t="shared" si="514"/>
        <v>-14489.200000000012</v>
      </c>
      <c r="DW48" s="410">
        <f t="shared" si="515"/>
        <v>-4.5109712629349707E-2</v>
      </c>
      <c r="DX48" s="335">
        <f t="shared" si="516"/>
        <v>3189.4800000000396</v>
      </c>
      <c r="DY48" s="410">
        <f t="shared" si="517"/>
        <v>1.0399011548110475E-2</v>
      </c>
      <c r="DZ48" s="335">
        <f t="shared" si="518"/>
        <v>31297.02999999997</v>
      </c>
      <c r="EA48" s="410">
        <f t="shared" si="519"/>
        <v>0.10099093447744645</v>
      </c>
      <c r="EB48" s="335">
        <f t="shared" si="520"/>
        <v>-3494.6699999999837</v>
      </c>
      <c r="EC48" s="410">
        <f t="shared" si="521"/>
        <v>-1.0242399077856658E-2</v>
      </c>
      <c r="ED48" s="335">
        <f t="shared" si="522"/>
        <v>-37064.600000000035</v>
      </c>
      <c r="EE48" s="410">
        <f t="shared" si="523"/>
        <v>-0.10975542443130895</v>
      </c>
      <c r="EF48" s="335">
        <f t="shared" si="524"/>
        <v>-2860.3499999999767</v>
      </c>
      <c r="EG48" s="410">
        <f t="shared" si="525"/>
        <v>-9.5142929104305562E-3</v>
      </c>
      <c r="EH48" s="335">
        <f t="shared" si="526"/>
        <v>-3425.5499999999884</v>
      </c>
      <c r="EI48" s="410">
        <f t="shared" si="527"/>
        <v>-1.1503750073754865E-2</v>
      </c>
      <c r="EJ48" s="335">
        <f t="shared" si="528"/>
        <v>11374.890000000014</v>
      </c>
      <c r="EK48" s="410">
        <f t="shared" si="529"/>
        <v>3.8643931743319239E-2</v>
      </c>
      <c r="EL48" s="335">
        <f t="shared" si="530"/>
        <v>3142.6900000000023</v>
      </c>
      <c r="EM48" s="410">
        <f t="shared" si="531"/>
        <v>1.0279428174528094E-2</v>
      </c>
      <c r="EN48" s="335">
        <f t="shared" si="532"/>
        <v>-11114.620000000054</v>
      </c>
      <c r="EO48" s="410">
        <f t="shared" si="533"/>
        <v>-3.5984918388012377E-2</v>
      </c>
      <c r="EP48" s="335">
        <f t="shared" si="534"/>
        <v>29599.070000000007</v>
      </c>
      <c r="EQ48" s="410">
        <f t="shared" si="535"/>
        <v>9.9407726278405092E-2</v>
      </c>
      <c r="ER48" s="335">
        <f t="shared" si="536"/>
        <v>-17332.909999999974</v>
      </c>
      <c r="ES48" s="410">
        <f t="shared" si="537"/>
        <v>-5.2948635402442344E-2</v>
      </c>
      <c r="ET48" s="335">
        <f t="shared" si="538"/>
        <v>67671.63</v>
      </c>
      <c r="EU48" s="410">
        <f t="shared" si="539"/>
        <v>0.21828123041459405</v>
      </c>
      <c r="EV48" s="335">
        <f t="shared" si="540"/>
        <v>-50290.97000000003</v>
      </c>
      <c r="EW48" s="410">
        <f t="shared" si="541"/>
        <v>-0.13315338600888069</v>
      </c>
      <c r="EX48" s="335">
        <f t="shared" si="542"/>
        <v>43011.380000000005</v>
      </c>
      <c r="EY48" s="410">
        <f t="shared" si="543"/>
        <v>0.13137215446841588</v>
      </c>
      <c r="EZ48" s="335">
        <f t="shared" si="544"/>
        <v>-96608.979999999981</v>
      </c>
      <c r="FA48" s="410">
        <f t="shared" si="545"/>
        <v>-0.2608146346712672</v>
      </c>
      <c r="FB48" s="335">
        <f t="shared" si="546"/>
        <v>24113.940000000002</v>
      </c>
      <c r="FC48" s="410">
        <f t="shared" si="547"/>
        <v>8.8070259453277872E-2</v>
      </c>
      <c r="FD48" s="335">
        <f t="shared" si="548"/>
        <v>22151.679999999993</v>
      </c>
      <c r="FE48" s="410">
        <f t="shared" si="549"/>
        <v>7.4355111474194602E-2</v>
      </c>
      <c r="FF48" s="335">
        <f t="shared" si="550"/>
        <v>-320069.06</v>
      </c>
      <c r="FG48" s="410">
        <f t="shared" si="551"/>
        <v>-1</v>
      </c>
      <c r="FH48" s="222">
        <f t="shared" si="552"/>
        <v>297776.81</v>
      </c>
      <c r="FI48" s="739">
        <f t="shared" si="553"/>
        <v>320069.06</v>
      </c>
      <c r="FJ48" s="671">
        <f>FI48-FH48</f>
        <v>22292.25</v>
      </c>
      <c r="FK48" s="109">
        <f t="shared" ref="FK48:FK49" si="596">IF(ISERROR(FJ48/FH48),0,FJ48/FH48)</f>
        <v>7.4862276884489432E-2</v>
      </c>
      <c r="FL48" s="707"/>
      <c r="FM48" s="707"/>
      <c r="FN48" s="707"/>
      <c r="FO48" s="2" t="str">
        <f t="shared" si="555"/>
        <v>Service Center Costs</v>
      </c>
      <c r="FP48" s="296" t="e">
        <f>#REF!</f>
        <v>#REF!</v>
      </c>
      <c r="FQ48" s="296" t="e">
        <f>#REF!</f>
        <v>#REF!</v>
      </c>
      <c r="FR48" s="296" t="e">
        <f>#REF!</f>
        <v>#REF!</v>
      </c>
      <c r="FS48" s="296" t="e">
        <f>#REF!</f>
        <v>#REF!</v>
      </c>
      <c r="FT48" s="296" t="e">
        <f>#REF!</f>
        <v>#REF!</v>
      </c>
      <c r="FU48" s="296" t="e">
        <f>#REF!</f>
        <v>#REF!</v>
      </c>
      <c r="FV48" s="296" t="e">
        <f>#REF!</f>
        <v>#REF!</v>
      </c>
      <c r="FW48" s="296" t="e">
        <f>#REF!</f>
        <v>#REF!</v>
      </c>
      <c r="FX48" s="296" t="e">
        <f>#REF!</f>
        <v>#REF!</v>
      </c>
      <c r="FY48" s="296" t="e">
        <f>#REF!</f>
        <v>#REF!</v>
      </c>
      <c r="FZ48" s="296" t="e">
        <f>#REF!</f>
        <v>#REF!</v>
      </c>
      <c r="GA48" s="297">
        <f t="shared" si="556"/>
        <v>292824.03999999998</v>
      </c>
      <c r="GB48" s="297">
        <f t="shared" si="556"/>
        <v>278002.14999999997</v>
      </c>
      <c r="GC48" s="297">
        <f t="shared" si="556"/>
        <v>284766.60000000003</v>
      </c>
      <c r="GD48" s="297">
        <f t="shared" si="556"/>
        <v>305211.06</v>
      </c>
      <c r="GE48" s="297">
        <f t="shared" si="556"/>
        <v>297521.93</v>
      </c>
      <c r="GF48" s="297">
        <f t="shared" si="556"/>
        <v>297414.31</v>
      </c>
      <c r="GG48" s="297">
        <f t="shared" si="556"/>
        <v>334325.42</v>
      </c>
      <c r="GH48" s="297">
        <f t="shared" si="556"/>
        <v>359399.4</v>
      </c>
      <c r="GI48" s="297">
        <f t="shared" si="556"/>
        <v>303883.44</v>
      </c>
      <c r="GJ48" s="297">
        <f t="shared" si="556"/>
        <v>298736.75</v>
      </c>
      <c r="GK48" s="297">
        <f t="shared" si="556"/>
        <v>304236.69</v>
      </c>
      <c r="GL48" s="297">
        <f t="shared" si="556"/>
        <v>343177.36</v>
      </c>
      <c r="GM48" s="297">
        <f t="shared" si="557"/>
        <v>303418.21999999997</v>
      </c>
      <c r="GN48" s="297">
        <f t="shared" si="557"/>
        <v>303223.7</v>
      </c>
      <c r="GO48" s="297">
        <f t="shared" si="557"/>
        <v>295959.09999999998</v>
      </c>
      <c r="GP48" s="297">
        <f t="shared" si="557"/>
        <v>314548.46000000002</v>
      </c>
      <c r="GQ48" s="297">
        <f t="shared" si="557"/>
        <v>303876.49</v>
      </c>
      <c r="GR48" s="297">
        <f t="shared" si="557"/>
        <v>348685.31</v>
      </c>
      <c r="GS48" s="297">
        <f t="shared" si="557"/>
        <v>299324.71000000002</v>
      </c>
      <c r="GT48" s="297">
        <f t="shared" si="557"/>
        <v>355846.17</v>
      </c>
      <c r="GU48" s="297">
        <f t="shared" si="557"/>
        <v>323569.21000000002</v>
      </c>
      <c r="GV48" s="297">
        <f t="shared" si="557"/>
        <v>343378.77</v>
      </c>
      <c r="GW48" s="297">
        <f t="shared" si="557"/>
        <v>286742.75</v>
      </c>
      <c r="GX48" s="297">
        <f t="shared" si="557"/>
        <v>350686.54</v>
      </c>
      <c r="GY48" s="839">
        <f t="shared" si="558"/>
        <v>293558.21999999997</v>
      </c>
      <c r="GZ48" s="839">
        <f t="shared" si="558"/>
        <v>303319.34000000003</v>
      </c>
      <c r="HA48" s="839">
        <f t="shared" si="558"/>
        <v>299105.14</v>
      </c>
      <c r="HB48" s="839">
        <f t="shared" si="558"/>
        <v>300932.65000000002</v>
      </c>
      <c r="HC48" s="839">
        <f t="shared" si="558"/>
        <v>321199.12</v>
      </c>
      <c r="HD48" s="839">
        <f t="shared" si="558"/>
        <v>306709.92</v>
      </c>
      <c r="HE48" s="839">
        <f t="shared" si="558"/>
        <v>309899.40000000002</v>
      </c>
      <c r="HF48" s="839">
        <f t="shared" si="558"/>
        <v>341196.43</v>
      </c>
      <c r="HG48" s="839">
        <f t="shared" si="558"/>
        <v>337701.76</v>
      </c>
      <c r="HH48" s="839">
        <f t="shared" si="558"/>
        <v>300637.15999999997</v>
      </c>
      <c r="HI48" s="839">
        <f t="shared" si="558"/>
        <v>297776.81</v>
      </c>
      <c r="HJ48" s="839">
        <f t="shared" si="558"/>
        <v>294351.26</v>
      </c>
      <c r="HK48" s="967">
        <f t="shared" si="559"/>
        <v>305726.15000000002</v>
      </c>
      <c r="HL48" s="967">
        <f t="shared" si="560"/>
        <v>308868.84000000003</v>
      </c>
      <c r="HM48" s="967">
        <f t="shared" si="560"/>
        <v>297754.21999999997</v>
      </c>
      <c r="HN48" s="967">
        <f t="shared" si="560"/>
        <v>327353.28999999998</v>
      </c>
      <c r="HO48" s="967">
        <f t="shared" si="560"/>
        <v>310020.38</v>
      </c>
      <c r="HP48" s="967">
        <f t="shared" si="560"/>
        <v>377692.01</v>
      </c>
      <c r="HQ48" s="967">
        <f t="shared" si="560"/>
        <v>327401.03999999998</v>
      </c>
      <c r="HR48" s="967">
        <f t="shared" si="560"/>
        <v>370412.42</v>
      </c>
      <c r="HS48" s="967">
        <f t="shared" si="560"/>
        <v>273803.44</v>
      </c>
      <c r="HT48" s="967">
        <f t="shared" si="560"/>
        <v>297917.38</v>
      </c>
      <c r="HU48" s="967">
        <f t="shared" si="560"/>
        <v>320069.06</v>
      </c>
      <c r="HV48" s="967">
        <f t="shared" si="560"/>
        <v>0</v>
      </c>
    </row>
    <row r="49" spans="1:230" s="87" customFormat="1" x14ac:dyDescent="0.25">
      <c r="A49" s="806"/>
      <c r="B49" s="85">
        <v>7.5</v>
      </c>
      <c r="C49" s="86"/>
      <c r="D49" s="463"/>
      <c r="E49" s="1056" t="s">
        <v>226</v>
      </c>
      <c r="F49" s="1056"/>
      <c r="G49" s="1057"/>
      <c r="H49" s="397">
        <v>74.858346253229968</v>
      </c>
      <c r="I49" s="89">
        <v>85.234513295346616</v>
      </c>
      <c r="J49" s="88">
        <v>85.595571666270502</v>
      </c>
      <c r="K49" s="89">
        <v>66.551564141035257</v>
      </c>
      <c r="L49" s="88">
        <v>85.103956438487316</v>
      </c>
      <c r="M49" s="89">
        <v>82.371361741547005</v>
      </c>
      <c r="N49" s="88">
        <v>74.299045277607036</v>
      </c>
      <c r="O49" s="89">
        <v>82.760862653666805</v>
      </c>
      <c r="P49" s="88">
        <v>84.856959902794642</v>
      </c>
      <c r="Q49" s="89">
        <v>98.419934360730593</v>
      </c>
      <c r="R49" s="88">
        <v>75.759322803980965</v>
      </c>
      <c r="S49" s="89">
        <v>74.639078771695594</v>
      </c>
      <c r="T49" s="143">
        <v>80.142868013151727</v>
      </c>
      <c r="U49" s="162">
        <v>80.142868013151713</v>
      </c>
      <c r="V49" s="397">
        <f t="shared" ref="V49:AG49" si="597">V48/V22</f>
        <v>47.776128512880554</v>
      </c>
      <c r="W49" s="89">
        <f t="shared" si="597"/>
        <v>51.34404639553663</v>
      </c>
      <c r="X49" s="88">
        <f t="shared" si="597"/>
        <v>51.665070081328949</v>
      </c>
      <c r="Y49" s="89">
        <f t="shared" si="597"/>
        <v>41.976308558867977</v>
      </c>
      <c r="Z49" s="88">
        <f t="shared" si="597"/>
        <v>50.301429754804502</v>
      </c>
      <c r="AA49" s="89">
        <f t="shared" si="597"/>
        <v>49.553390924956368</v>
      </c>
      <c r="AB49" s="88">
        <f t="shared" si="597"/>
        <v>47.578596949891065</v>
      </c>
      <c r="AC49" s="89">
        <f t="shared" si="597"/>
        <v>47.769614035087713</v>
      </c>
      <c r="AD49" s="88">
        <f t="shared" si="597"/>
        <v>43.334614940871063</v>
      </c>
      <c r="AE49" s="89">
        <f t="shared" si="597"/>
        <v>45.63790742218675</v>
      </c>
      <c r="AF49" s="88">
        <f t="shared" si="597"/>
        <v>46.991349503499919</v>
      </c>
      <c r="AG49" s="89">
        <f t="shared" si="597"/>
        <v>100.88102919099249</v>
      </c>
      <c r="AH49" s="143">
        <f t="shared" ref="AH49" si="598">AH48/AH22</f>
        <v>51.618946458744468</v>
      </c>
      <c r="AI49" s="162">
        <v>51.62</v>
      </c>
      <c r="AJ49" s="397">
        <f>AJ48/AJ22</f>
        <v>43.265963356973991</v>
      </c>
      <c r="AK49" s="89">
        <f t="shared" ref="AK49:AU49" si="599">AK48/AK22</f>
        <v>40.006065620952647</v>
      </c>
      <c r="AL49" s="88">
        <f t="shared" si="599"/>
        <v>53.277193638914881</v>
      </c>
      <c r="AM49" s="89">
        <f t="shared" si="599"/>
        <v>33.583963468309861</v>
      </c>
      <c r="AN49" s="88">
        <f t="shared" si="599"/>
        <v>47.840799163852708</v>
      </c>
      <c r="AO49" s="89">
        <f t="shared" si="599"/>
        <v>53.898932584269666</v>
      </c>
      <c r="AP49" s="651">
        <f t="shared" si="599"/>
        <v>45.301547425474254</v>
      </c>
      <c r="AQ49" s="89">
        <f t="shared" si="599"/>
        <v>51.637844827586207</v>
      </c>
      <c r="AR49" s="651">
        <f t="shared" si="599"/>
        <v>49.989050830728736</v>
      </c>
      <c r="AS49" s="89">
        <f t="shared" si="599"/>
        <v>45.174164524421592</v>
      </c>
      <c r="AT49" s="651">
        <f t="shared" si="599"/>
        <v>36.597701190905809</v>
      </c>
      <c r="AU49" s="89">
        <f t="shared" si="599"/>
        <v>54.386269413629158</v>
      </c>
      <c r="AV49" s="143">
        <f>AV48/AV22</f>
        <v>45.369247136445018</v>
      </c>
      <c r="AW49" s="162">
        <f t="shared" ref="AW49:BH49" si="600">AW48/AW22</f>
        <v>45.369247136445018</v>
      </c>
      <c r="AX49" s="397">
        <f t="shared" si="600"/>
        <v>42.018864423210076</v>
      </c>
      <c r="AY49" s="89">
        <f t="shared" si="600"/>
        <v>43.604213402358354</v>
      </c>
      <c r="AZ49" s="88">
        <f t="shared" si="600"/>
        <v>39.503350240256268</v>
      </c>
      <c r="BA49" s="89">
        <f t="shared" si="600"/>
        <v>22.783460814138781</v>
      </c>
      <c r="BB49" s="88">
        <f t="shared" si="600"/>
        <v>34.856215875200732</v>
      </c>
      <c r="BC49" s="89">
        <f t="shared" si="600"/>
        <v>45.976438554852322</v>
      </c>
      <c r="BD49" s="651">
        <f t="shared" si="600"/>
        <v>35.633894047619052</v>
      </c>
      <c r="BE49" s="89">
        <f t="shared" si="600"/>
        <v>53.032216095380029</v>
      </c>
      <c r="BF49" s="651">
        <f t="shared" si="600"/>
        <v>48.064350861556747</v>
      </c>
      <c r="BG49" s="89">
        <f t="shared" si="600"/>
        <v>51.250562686567164</v>
      </c>
      <c r="BH49" s="651">
        <f t="shared" si="600"/>
        <v>43.035081794987242</v>
      </c>
      <c r="BI49" s="89">
        <f t="shared" ref="BI49" si="601">BI48/BI22</f>
        <v>49.323001406469757</v>
      </c>
      <c r="BJ49" s="143">
        <f t="shared" ref="BJ49:BO49" si="602">BJ48/BJ22</f>
        <v>40.697836433202255</v>
      </c>
      <c r="BK49" s="162">
        <f t="shared" si="602"/>
        <v>40.697836433202255</v>
      </c>
      <c r="BL49" s="397">
        <f t="shared" si="602"/>
        <v>38.964457127687808</v>
      </c>
      <c r="BM49" s="89">
        <f t="shared" si="602"/>
        <v>43.737467916366263</v>
      </c>
      <c r="BN49" s="88">
        <f t="shared" si="602"/>
        <v>40.744468056123146</v>
      </c>
      <c r="BO49" s="89">
        <f t="shared" si="602"/>
        <v>21.219337893103937</v>
      </c>
      <c r="BP49" s="88">
        <f t="shared" ref="BP49:BQ49" si="603">BP48/BP22</f>
        <v>45.399168904593637</v>
      </c>
      <c r="BQ49" s="89">
        <f t="shared" si="603"/>
        <v>43.972748387096772</v>
      </c>
      <c r="BR49" s="651">
        <f t="shared" ref="BR49" si="604">BR48/BR22</f>
        <v>35.060459327978279</v>
      </c>
      <c r="BS49" s="89">
        <f t="shared" ref="BS49:BT49" si="605">BS48/BS22</f>
        <v>48.212014978098061</v>
      </c>
      <c r="BT49" s="651">
        <f t="shared" si="605"/>
        <v>42.034075180482951</v>
      </c>
      <c r="BU49" s="651">
        <f t="shared" ref="BU49:BV49" si="606">BU48/BU22</f>
        <v>35.599426879810537</v>
      </c>
      <c r="BV49" s="651">
        <f t="shared" si="606"/>
        <v>45.06989707885576</v>
      </c>
      <c r="BW49" s="651">
        <f t="shared" ref="BW49" si="607">BW48/BW22</f>
        <v>40.03689608269859</v>
      </c>
      <c r="BX49" s="143">
        <f>BX48/BX22</f>
        <v>38.449595522635803</v>
      </c>
      <c r="BY49" s="162">
        <f>BY48/BY22</f>
        <v>38.449595522635803</v>
      </c>
      <c r="BZ49" s="651">
        <f t="shared" ref="BZ49:CA49" si="608">BZ48/BZ22</f>
        <v>40.541857843787298</v>
      </c>
      <c r="CA49" s="89">
        <f t="shared" si="608"/>
        <v>43.823615209988652</v>
      </c>
      <c r="CB49" s="88">
        <f t="shared" ref="CB49:CC49" si="609">CB48/CB22</f>
        <v>43.903600707755821</v>
      </c>
      <c r="CC49" s="89">
        <f t="shared" si="609"/>
        <v>44.910589930031549</v>
      </c>
      <c r="CD49" s="88">
        <f t="shared" ref="CD49:CE49" si="610">CD48/CD22</f>
        <v>44.112177006260673</v>
      </c>
      <c r="CE49" s="89">
        <f t="shared" si="610"/>
        <v>52.117015316682767</v>
      </c>
      <c r="CF49" s="651">
        <f t="shared" ref="CF49:CG49" si="611">CF48/CF22</f>
        <v>47.566619206741244</v>
      </c>
      <c r="CG49" s="89">
        <f t="shared" si="611"/>
        <v>48.938092218258681</v>
      </c>
      <c r="CH49" s="651">
        <f t="shared" ref="CH49:CI49" si="612">CH48/CH22</f>
        <v>39.081278903796743</v>
      </c>
      <c r="CI49" s="651">
        <f t="shared" si="612"/>
        <v>46.85709027996225</v>
      </c>
      <c r="CJ49" s="651">
        <f t="shared" ref="CJ49" si="613">CJ48/CJ22</f>
        <v>53.811207128446533</v>
      </c>
      <c r="CK49" s="651"/>
      <c r="CL49" s="143">
        <f>CL48/CL22</f>
        <v>45.85481205752356</v>
      </c>
      <c r="CM49" s="162">
        <f>CM48/CM22</f>
        <v>45.854812057523553</v>
      </c>
      <c r="CN49" s="689">
        <f t="shared" si="480"/>
        <v>-12.367404990419082</v>
      </c>
      <c r="CO49" s="672">
        <f t="shared" si="481"/>
        <v>-0.22739939921894733</v>
      </c>
      <c r="CP49" s="689">
        <f t="shared" si="482"/>
        <v>1.5853489791482787</v>
      </c>
      <c r="CQ49" s="672">
        <f t="shared" si="483"/>
        <v>3.7729457968706435E-2</v>
      </c>
      <c r="CR49" s="689">
        <f t="shared" si="484"/>
        <v>-4.1008631621020868</v>
      </c>
      <c r="CS49" s="672">
        <f t="shared" si="485"/>
        <v>-9.4047406021554092E-2</v>
      </c>
      <c r="CT49" s="689">
        <f t="shared" si="486"/>
        <v>-16.719889426117486</v>
      </c>
      <c r="CU49" s="672">
        <f t="shared" si="487"/>
        <v>-0.42325244123418482</v>
      </c>
      <c r="CV49" s="689">
        <f t="shared" si="488"/>
        <v>12.072755061061951</v>
      </c>
      <c r="CW49" s="672">
        <f t="shared" si="489"/>
        <v>0.52989118552041647</v>
      </c>
      <c r="CX49" s="689">
        <f t="shared" si="490"/>
        <v>11.12022267965159</v>
      </c>
      <c r="CY49" s="672">
        <f t="shared" si="491"/>
        <v>0.31903126602917709</v>
      </c>
      <c r="CZ49" s="689">
        <f t="shared" si="492"/>
        <v>-10.342544507233271</v>
      </c>
      <c r="DA49" s="672">
        <f t="shared" si="493"/>
        <v>-0.22495314627065052</v>
      </c>
      <c r="DB49" s="689">
        <f t="shared" si="494"/>
        <v>17.398322047760978</v>
      </c>
      <c r="DC49" s="672">
        <f t="shared" si="495"/>
        <v>0.48825205644128811</v>
      </c>
      <c r="DD49" s="689">
        <f t="shared" si="496"/>
        <v>-4.9678652338232823</v>
      </c>
      <c r="DE49" s="672">
        <f t="shared" si="497"/>
        <v>-9.3676365039854784E-2</v>
      </c>
      <c r="DF49" s="689">
        <f t="shared" si="498"/>
        <v>3.1862118250104174</v>
      </c>
      <c r="DG49" s="109">
        <f t="shared" si="499"/>
        <v>6.6290541074566792E-2</v>
      </c>
      <c r="DH49" s="689">
        <f t="shared" si="500"/>
        <v>-8.2154808915799222</v>
      </c>
      <c r="DI49" s="672">
        <f t="shared" si="501"/>
        <v>-0.16030030620001778</v>
      </c>
      <c r="DJ49" s="689">
        <f t="shared" si="502"/>
        <v>6.2879196114825149</v>
      </c>
      <c r="DK49" s="672">
        <f t="shared" si="503"/>
        <v>0.14611148275347152</v>
      </c>
      <c r="DL49" s="689">
        <f t="shared" si="504"/>
        <v>-10.358544278781949</v>
      </c>
      <c r="DM49" s="672">
        <f t="shared" si="505"/>
        <v>-0.21001447566861181</v>
      </c>
      <c r="DN49" s="335">
        <f t="shared" si="506"/>
        <v>4.7730107886784552</v>
      </c>
      <c r="DO49" s="410">
        <f t="shared" si="507"/>
        <v>0.12249652992821487</v>
      </c>
      <c r="DP49" s="335">
        <f t="shared" si="508"/>
        <v>-2.9929998602431169</v>
      </c>
      <c r="DQ49" s="410">
        <f t="shared" si="509"/>
        <v>-6.8431027282289392E-2</v>
      </c>
      <c r="DR49" s="335">
        <f t="shared" si="510"/>
        <v>-19.52513016301921</v>
      </c>
      <c r="DS49" s="410">
        <f t="shared" si="511"/>
        <v>-0.47920935269358461</v>
      </c>
      <c r="DT49" s="335">
        <f t="shared" si="512"/>
        <v>24.1798310114897</v>
      </c>
      <c r="DU49" s="410">
        <f t="shared" si="513"/>
        <v>1.1395186378245992</v>
      </c>
      <c r="DV49" s="335">
        <f t="shared" si="514"/>
        <v>-1.4264205174968652</v>
      </c>
      <c r="DW49" s="410">
        <f t="shared" si="515"/>
        <v>-3.1419529297870806E-2</v>
      </c>
      <c r="DX49" s="335">
        <f t="shared" si="516"/>
        <v>-8.9122890591184927</v>
      </c>
      <c r="DY49" s="410">
        <f t="shared" si="517"/>
        <v>-0.20267755339426743</v>
      </c>
      <c r="DZ49" s="335">
        <f t="shared" si="518"/>
        <v>13.151555650119782</v>
      </c>
      <c r="EA49" s="410">
        <f t="shared" si="519"/>
        <v>0.37511076301344487</v>
      </c>
      <c r="EB49" s="335">
        <f t="shared" si="520"/>
        <v>-6.1779397976151103</v>
      </c>
      <c r="EC49" s="410">
        <f t="shared" si="521"/>
        <v>-0.12814108268284677</v>
      </c>
      <c r="ED49" s="335">
        <f t="shared" si="522"/>
        <v>-6.4346483006724142</v>
      </c>
      <c r="EE49" s="410">
        <f t="shared" si="523"/>
        <v>-0.15308171460996287</v>
      </c>
      <c r="EF49" s="335">
        <f t="shared" si="524"/>
        <v>9.4704701990452236</v>
      </c>
      <c r="EG49" s="410">
        <f t="shared" si="525"/>
        <v>0.26602872655840987</v>
      </c>
      <c r="EH49" s="335">
        <f t="shared" si="526"/>
        <v>-5.0330009961571704</v>
      </c>
      <c r="EI49" s="410">
        <f t="shared" si="527"/>
        <v>-0.11167101152574783</v>
      </c>
      <c r="EJ49" s="335">
        <f t="shared" si="528"/>
        <v>0.50496176108870827</v>
      </c>
      <c r="EK49" s="410">
        <f t="shared" si="529"/>
        <v>1.2612410313868481E-2</v>
      </c>
      <c r="EL49" s="335">
        <f t="shared" si="530"/>
        <v>3.2817573662013544</v>
      </c>
      <c r="EM49" s="410">
        <f t="shared" si="531"/>
        <v>8.0947384770731629E-2</v>
      </c>
      <c r="EN49" s="335">
        <f t="shared" si="532"/>
        <v>7.9985497767168567E-2</v>
      </c>
      <c r="EO49" s="410">
        <f t="shared" si="533"/>
        <v>1.8251688589337922E-3</v>
      </c>
      <c r="EP49" s="335">
        <f t="shared" si="534"/>
        <v>1.0069892222757275</v>
      </c>
      <c r="EQ49" s="410">
        <f t="shared" si="535"/>
        <v>2.29363698202967E-2</v>
      </c>
      <c r="ER49" s="335">
        <f t="shared" si="536"/>
        <v>-0.79841292377087569</v>
      </c>
      <c r="ES49" s="410">
        <f t="shared" si="537"/>
        <v>-1.7777832021684932E-2</v>
      </c>
      <c r="ET49" s="335">
        <f t="shared" si="538"/>
        <v>8.0048383104220946</v>
      </c>
      <c r="EU49" s="410">
        <f t="shared" si="539"/>
        <v>0.18146550122171479</v>
      </c>
      <c r="EV49" s="335">
        <f t="shared" si="540"/>
        <v>-4.5503961099415235</v>
      </c>
      <c r="EW49" s="410">
        <f t="shared" si="541"/>
        <v>-8.7311141712386825E-2</v>
      </c>
      <c r="EX49" s="335">
        <f t="shared" si="542"/>
        <v>1.3714730115174376</v>
      </c>
      <c r="EY49" s="410">
        <f t="shared" si="543"/>
        <v>2.883267792391412E-2</v>
      </c>
      <c r="EZ49" s="335">
        <f t="shared" si="544"/>
        <v>-9.8568133144619381</v>
      </c>
      <c r="FA49" s="410">
        <f t="shared" si="545"/>
        <v>-0.20141392660959484</v>
      </c>
      <c r="FB49" s="335">
        <f t="shared" si="546"/>
        <v>7.7758113761655068</v>
      </c>
      <c r="FC49" s="410">
        <f t="shared" si="547"/>
        <v>0.19896512075018322</v>
      </c>
      <c r="FD49" s="335">
        <f t="shared" si="548"/>
        <v>6.9541168484842828</v>
      </c>
      <c r="FE49" s="410">
        <f t="shared" si="549"/>
        <v>0.14841119683136</v>
      </c>
      <c r="FF49" s="335">
        <f t="shared" si="550"/>
        <v>-53.811207128446533</v>
      </c>
      <c r="FG49" s="410">
        <f t="shared" si="551"/>
        <v>-1</v>
      </c>
      <c r="FH49" s="225">
        <f t="shared" si="552"/>
        <v>45.06989707885576</v>
      </c>
      <c r="FI49" s="740">
        <f t="shared" si="553"/>
        <v>53.811207128446533</v>
      </c>
      <c r="FJ49" s="741">
        <f>FI49-FH49</f>
        <v>8.7413100495907727</v>
      </c>
      <c r="FK49" s="114">
        <f t="shared" si="596"/>
        <v>0.1939500779044756</v>
      </c>
      <c r="FL49" s="707"/>
      <c r="FM49" s="707"/>
      <c r="FN49" s="707"/>
      <c r="FO49" s="87" t="str">
        <f t="shared" si="555"/>
        <v>Service Center Costs Per Ticket</v>
      </c>
      <c r="FP49" s="302" t="e">
        <f>#REF!</f>
        <v>#REF!</v>
      </c>
      <c r="FQ49" s="302" t="e">
        <f>#REF!</f>
        <v>#REF!</v>
      </c>
      <c r="FR49" s="302" t="e">
        <f>#REF!</f>
        <v>#REF!</v>
      </c>
      <c r="FS49" s="302" t="e">
        <f>#REF!</f>
        <v>#REF!</v>
      </c>
      <c r="FT49" s="302" t="e">
        <f>#REF!</f>
        <v>#REF!</v>
      </c>
      <c r="FU49" s="302" t="e">
        <f>#REF!</f>
        <v>#REF!</v>
      </c>
      <c r="FV49" s="302" t="e">
        <f>#REF!</f>
        <v>#REF!</v>
      </c>
      <c r="FW49" s="302" t="e">
        <f>#REF!</f>
        <v>#REF!</v>
      </c>
      <c r="FX49" s="302" t="e">
        <f>#REF!</f>
        <v>#REF!</v>
      </c>
      <c r="FY49" s="302" t="e">
        <f>#REF!</f>
        <v>#REF!</v>
      </c>
      <c r="FZ49" s="302" t="e">
        <f>#REF!</f>
        <v>#REF!</v>
      </c>
      <c r="GA49" s="303">
        <f t="shared" si="556"/>
        <v>43.265963356973991</v>
      </c>
      <c r="GB49" s="303">
        <f t="shared" si="556"/>
        <v>40.006065620952647</v>
      </c>
      <c r="GC49" s="303">
        <f t="shared" si="556"/>
        <v>53.277193638914881</v>
      </c>
      <c r="GD49" s="303">
        <f t="shared" si="556"/>
        <v>33.583963468309861</v>
      </c>
      <c r="GE49" s="303">
        <f t="shared" si="556"/>
        <v>47.840799163852708</v>
      </c>
      <c r="GF49" s="303">
        <f t="shared" si="556"/>
        <v>53.898932584269666</v>
      </c>
      <c r="GG49" s="303">
        <f t="shared" si="556"/>
        <v>45.301547425474254</v>
      </c>
      <c r="GH49" s="303">
        <f t="shared" si="556"/>
        <v>51.637844827586207</v>
      </c>
      <c r="GI49" s="303">
        <f t="shared" si="556"/>
        <v>49.989050830728736</v>
      </c>
      <c r="GJ49" s="303">
        <f t="shared" si="556"/>
        <v>45.174164524421592</v>
      </c>
      <c r="GK49" s="303">
        <f t="shared" si="556"/>
        <v>36.597701190905809</v>
      </c>
      <c r="GL49" s="303">
        <f t="shared" si="556"/>
        <v>54.386269413629158</v>
      </c>
      <c r="GM49" s="303">
        <f t="shared" si="557"/>
        <v>42.018864423210076</v>
      </c>
      <c r="GN49" s="303">
        <f t="shared" si="557"/>
        <v>43.604213402358354</v>
      </c>
      <c r="GO49" s="303">
        <f t="shared" si="557"/>
        <v>39.503350240256268</v>
      </c>
      <c r="GP49" s="303">
        <f t="shared" si="557"/>
        <v>22.783460814138781</v>
      </c>
      <c r="GQ49" s="303">
        <f t="shared" si="557"/>
        <v>34.856215875200732</v>
      </c>
      <c r="GR49" s="303">
        <f t="shared" si="557"/>
        <v>45.976438554852322</v>
      </c>
      <c r="GS49" s="303">
        <f t="shared" si="557"/>
        <v>35.633894047619052</v>
      </c>
      <c r="GT49" s="303">
        <f t="shared" si="557"/>
        <v>53.032216095380029</v>
      </c>
      <c r="GU49" s="303">
        <f t="shared" si="557"/>
        <v>48.064350861556747</v>
      </c>
      <c r="GV49" s="303">
        <f t="shared" si="557"/>
        <v>51.250562686567164</v>
      </c>
      <c r="GW49" s="303">
        <f t="shared" si="557"/>
        <v>43.035081794987242</v>
      </c>
      <c r="GX49" s="303">
        <f t="shared" si="557"/>
        <v>49.323001406469757</v>
      </c>
      <c r="GY49" s="842">
        <f t="shared" si="558"/>
        <v>38.964457127687808</v>
      </c>
      <c r="GZ49" s="842">
        <f t="shared" si="558"/>
        <v>43.737467916366263</v>
      </c>
      <c r="HA49" s="842">
        <f t="shared" si="558"/>
        <v>40.744468056123146</v>
      </c>
      <c r="HB49" s="842">
        <f t="shared" si="558"/>
        <v>21.219337893103937</v>
      </c>
      <c r="HC49" s="842">
        <f t="shared" si="558"/>
        <v>45.399168904593637</v>
      </c>
      <c r="HD49" s="842">
        <f t="shared" si="558"/>
        <v>43.972748387096772</v>
      </c>
      <c r="HE49" s="842">
        <f t="shared" si="558"/>
        <v>35.060459327978279</v>
      </c>
      <c r="HF49" s="842">
        <f t="shared" si="558"/>
        <v>48.212014978098061</v>
      </c>
      <c r="HG49" s="842">
        <f t="shared" si="558"/>
        <v>42.034075180482951</v>
      </c>
      <c r="HH49" s="842">
        <f t="shared" si="558"/>
        <v>35.599426879810537</v>
      </c>
      <c r="HI49" s="842">
        <f t="shared" si="558"/>
        <v>45.06989707885576</v>
      </c>
      <c r="HJ49" s="842">
        <f t="shared" si="558"/>
        <v>40.03689608269859</v>
      </c>
      <c r="HK49" s="970">
        <f t="shared" si="559"/>
        <v>40.541857843787298</v>
      </c>
      <c r="HL49" s="970">
        <f t="shared" si="560"/>
        <v>43.823615209988652</v>
      </c>
      <c r="HM49" s="970">
        <f t="shared" si="560"/>
        <v>43.903600707755821</v>
      </c>
      <c r="HN49" s="970">
        <f t="shared" si="560"/>
        <v>44.910589930031549</v>
      </c>
      <c r="HO49" s="970">
        <f t="shared" si="560"/>
        <v>44.112177006260673</v>
      </c>
      <c r="HP49" s="970">
        <f t="shared" si="560"/>
        <v>52.117015316682767</v>
      </c>
      <c r="HQ49" s="970">
        <f t="shared" si="560"/>
        <v>47.566619206741244</v>
      </c>
      <c r="HR49" s="970">
        <f t="shared" si="560"/>
        <v>48.938092218258681</v>
      </c>
      <c r="HS49" s="970">
        <f t="shared" si="560"/>
        <v>39.081278903796743</v>
      </c>
      <c r="HT49" s="970">
        <f t="shared" si="560"/>
        <v>46.85709027996225</v>
      </c>
      <c r="HU49" s="970">
        <f t="shared" si="560"/>
        <v>53.811207128446533</v>
      </c>
      <c r="HV49" s="970">
        <f t="shared" si="560"/>
        <v>0</v>
      </c>
    </row>
    <row r="50" spans="1:230" s="1" customFormat="1" ht="15.75" thickBot="1" x14ac:dyDescent="0.3">
      <c r="A50" s="803"/>
      <c r="B50" s="57">
        <v>7.6</v>
      </c>
      <c r="C50" s="4"/>
      <c r="D50" s="456"/>
      <c r="E50" s="1035" t="s">
        <v>94</v>
      </c>
      <c r="F50" s="1035"/>
      <c r="G50" s="1036"/>
      <c r="H50" s="391">
        <v>0.41818684290166169</v>
      </c>
      <c r="I50" s="188">
        <v>0.35095058676739438</v>
      </c>
      <c r="J50" s="189">
        <v>0.25429583261482458</v>
      </c>
      <c r="K50" s="188">
        <v>0.35817185351939257</v>
      </c>
      <c r="L50" s="189">
        <v>0.34175574713546847</v>
      </c>
      <c r="M50" s="188">
        <v>9.2142359943703761E-2</v>
      </c>
      <c r="N50" s="189">
        <v>0.36330657093622082</v>
      </c>
      <c r="O50" s="188">
        <v>0.34150423640148381</v>
      </c>
      <c r="P50" s="189">
        <v>0.35445295119569187</v>
      </c>
      <c r="Q50" s="188">
        <v>0.41442580326762452</v>
      </c>
      <c r="R50" s="189">
        <v>0.42510625665701318</v>
      </c>
      <c r="S50" s="188">
        <v>0.28894199958398931</v>
      </c>
      <c r="T50" s="144">
        <v>0.28239630552109057</v>
      </c>
      <c r="U50" s="159">
        <v>0.28239630552109052</v>
      </c>
      <c r="V50" s="391">
        <f t="shared" ref="V50:Y50" si="614">V48/V45</f>
        <v>0.36401053048971238</v>
      </c>
      <c r="W50" s="188">
        <f t="shared" si="614"/>
        <v>0.38015061192897082</v>
      </c>
      <c r="X50" s="189">
        <f t="shared" si="614"/>
        <v>0.33838657078358619</v>
      </c>
      <c r="Y50" s="188">
        <f t="shared" si="614"/>
        <v>0.39103823051721381</v>
      </c>
      <c r="Z50" s="189">
        <v>0.29995518940444288</v>
      </c>
      <c r="AA50" s="188">
        <v>0.10385482887893624</v>
      </c>
      <c r="AB50" s="189">
        <v>0.36375860564233709</v>
      </c>
      <c r="AC50" s="188">
        <v>0.37056793116420289</v>
      </c>
      <c r="AD50" s="189">
        <v>0.35144571861679758</v>
      </c>
      <c r="AE50" s="188">
        <v>0.37908487277865538</v>
      </c>
      <c r="AF50" s="189">
        <v>0.35104481693631656</v>
      </c>
      <c r="AG50" s="188">
        <v>0.52146147674305698</v>
      </c>
      <c r="AH50" s="144">
        <v>0.31761249818144038</v>
      </c>
      <c r="AI50" s="191">
        <v>0.31761249818144033</v>
      </c>
      <c r="AJ50" s="391">
        <f t="shared" ref="AJ50" si="615">AJ48/AJ45</f>
        <v>0.34749772691299174</v>
      </c>
      <c r="AK50" s="188">
        <f t="shared" ref="AK50:AP50" si="616">AK48/AK45</f>
        <v>0.38162622581033506</v>
      </c>
      <c r="AL50" s="189">
        <f t="shared" si="616"/>
        <v>0.38120443324751174</v>
      </c>
      <c r="AM50" s="188">
        <f t="shared" si="616"/>
        <v>0.41376357709130496</v>
      </c>
      <c r="AN50" s="189">
        <f t="shared" si="616"/>
        <v>0.41007331280949383</v>
      </c>
      <c r="AO50" s="627">
        <f t="shared" si="616"/>
        <v>0.1090027964615671</v>
      </c>
      <c r="AP50" s="642">
        <f t="shared" si="616"/>
        <v>0.44854634205400062</v>
      </c>
      <c r="AQ50" s="627">
        <f t="shared" ref="AQ50:AW50" si="617">AQ48/AQ45</f>
        <v>0.44414391013359522</v>
      </c>
      <c r="AR50" s="642">
        <f t="shared" si="617"/>
        <v>0.39290583624576592</v>
      </c>
      <c r="AS50" s="627">
        <f t="shared" si="617"/>
        <v>0.40433458044897463</v>
      </c>
      <c r="AT50" s="642">
        <f t="shared" si="617"/>
        <v>0.39696153846555315</v>
      </c>
      <c r="AU50" s="627">
        <f t="shared" si="617"/>
        <v>0.43682233655593361</v>
      </c>
      <c r="AV50" s="144">
        <f t="shared" si="617"/>
        <v>0.33242937951128659</v>
      </c>
      <c r="AW50" s="191">
        <f t="shared" si="617"/>
        <v>0.33242937951128659</v>
      </c>
      <c r="AX50" s="391">
        <f t="shared" ref="AX50:BC50" si="618">AX48/AX45</f>
        <v>0.37469381055344114</v>
      </c>
      <c r="AY50" s="188">
        <f t="shared" si="618"/>
        <v>0.36404995239386395</v>
      </c>
      <c r="AZ50" s="189">
        <f t="shared" si="618"/>
        <v>0.39818682100942093</v>
      </c>
      <c r="BA50" s="188">
        <f t="shared" si="618"/>
        <v>0.29480296428057762</v>
      </c>
      <c r="BB50" s="189">
        <f t="shared" si="618"/>
        <v>0.34871368400754271</v>
      </c>
      <c r="BC50" s="627">
        <f t="shared" si="618"/>
        <v>0.37168217445385709</v>
      </c>
      <c r="BD50" s="642">
        <f t="shared" ref="BD50:BK50" si="619">BD48/BD45</f>
        <v>0.12839379839573162</v>
      </c>
      <c r="BE50" s="627">
        <f t="shared" si="619"/>
        <v>0.37939499744213473</v>
      </c>
      <c r="BF50" s="642">
        <f t="shared" si="619"/>
        <v>0.35122615916502953</v>
      </c>
      <c r="BG50" s="627">
        <f t="shared" si="619"/>
        <v>0.42969549911936383</v>
      </c>
      <c r="BH50" s="642">
        <f t="shared" si="619"/>
        <v>0.23592673769166653</v>
      </c>
      <c r="BI50" s="627">
        <f t="shared" si="619"/>
        <v>0.29479459350006015</v>
      </c>
      <c r="BJ50" s="144">
        <f t="shared" si="619"/>
        <v>0.30253884530149555</v>
      </c>
      <c r="BK50" s="191">
        <f t="shared" si="619"/>
        <v>0.3025388453014955</v>
      </c>
      <c r="BL50" s="391">
        <f t="shared" ref="BL50:BM50" si="620">BL48/BL45</f>
        <v>0.35177165543275707</v>
      </c>
      <c r="BM50" s="188">
        <f t="shared" si="620"/>
        <v>0.36024328327478439</v>
      </c>
      <c r="BN50" s="189">
        <f t="shared" ref="BN50:BO50" si="621">BN48/BN45</f>
        <v>0.35550300397847495</v>
      </c>
      <c r="BO50" s="188">
        <f t="shared" si="621"/>
        <v>0.36231537435325778</v>
      </c>
      <c r="BP50" s="189">
        <f t="shared" ref="BP50:BQ50" si="622">BP48/BP45</f>
        <v>0.37249069799926604</v>
      </c>
      <c r="BQ50" s="627">
        <f t="shared" si="622"/>
        <v>0.34116868374782694</v>
      </c>
      <c r="BR50" s="642">
        <f t="shared" ref="BR50" si="623">BR48/BR45</f>
        <v>0.1115973131895532</v>
      </c>
      <c r="BS50" s="627">
        <f t="shared" ref="BS50:BT50" si="624">BS48/BS45</f>
        <v>0.38171752824395239</v>
      </c>
      <c r="BT50" s="642">
        <f t="shared" si="624"/>
        <v>0.389465395389967</v>
      </c>
      <c r="BU50" s="642">
        <f t="shared" ref="BU50:BV50" si="625">BU48/BU45</f>
        <v>0.34060676046681465</v>
      </c>
      <c r="BV50" s="642">
        <f t="shared" si="625"/>
        <v>0.31898494172056546</v>
      </c>
      <c r="BW50" s="642">
        <f t="shared" ref="BW50" si="626">BW48/BW45</f>
        <v>0.12629253376281391</v>
      </c>
      <c r="BX50" s="144">
        <f>BX48/BX45</f>
        <v>0.26868603832173082</v>
      </c>
      <c r="BY50" s="191">
        <f t="shared" si="478"/>
        <v>0.31767976429666944</v>
      </c>
      <c r="BZ50" s="642">
        <f t="shared" ref="BZ50:CA50" si="627">BZ48/BZ45</f>
        <v>0.35798199124050728</v>
      </c>
      <c r="CA50" s="188">
        <f t="shared" si="627"/>
        <v>0.35009439447202656</v>
      </c>
      <c r="CB50" s="189">
        <f t="shared" ref="CB50:CC50" si="628">CB48/CB45</f>
        <v>0.33994013462214884</v>
      </c>
      <c r="CC50" s="188">
        <f t="shared" si="628"/>
        <v>0.32448055977057194</v>
      </c>
      <c r="CD50" s="189">
        <f t="shared" ref="CD50:CE50" si="629">CD48/CD45</f>
        <v>0.33404561903349567</v>
      </c>
      <c r="CE50" s="627">
        <f t="shared" si="629"/>
        <v>0.36945939073145784</v>
      </c>
      <c r="CF50" s="642">
        <f t="shared" ref="CF50:CG50" si="630">CF48/CF45</f>
        <v>0.11228386714602694</v>
      </c>
      <c r="CG50" s="627">
        <f t="shared" si="630"/>
        <v>0.36966738495900592</v>
      </c>
      <c r="CH50" s="642">
        <f t="shared" ref="CH50:CI50" si="631">CH48/CH45</f>
        <v>0.30322151536271108</v>
      </c>
      <c r="CI50" s="642">
        <f t="shared" si="631"/>
        <v>0.42644228818244767</v>
      </c>
      <c r="CJ50" s="642">
        <f t="shared" ref="CJ50" si="632">CJ48/CJ45</f>
        <v>0.31651519886082274</v>
      </c>
      <c r="CK50" s="642"/>
      <c r="CL50" s="144">
        <f>CL48/CL45</f>
        <v>0.2906132637047063</v>
      </c>
      <c r="CM50" s="191">
        <f t="shared" si="479"/>
        <v>0.32764839494374748</v>
      </c>
      <c r="CN50" s="692">
        <f t="shared" si="480"/>
        <v>-6.2128526002492468E-2</v>
      </c>
      <c r="CO50" s="681">
        <f t="shared" si="481"/>
        <v>-0.14222836334867028</v>
      </c>
      <c r="CP50" s="692">
        <f t="shared" si="482"/>
        <v>-1.0643858159577191E-2</v>
      </c>
      <c r="CQ50" s="681">
        <f t="shared" si="483"/>
        <v>-2.8406816071649781E-2</v>
      </c>
      <c r="CR50" s="692">
        <f t="shared" si="484"/>
        <v>3.4136868615556981E-2</v>
      </c>
      <c r="CS50" s="681">
        <f t="shared" si="485"/>
        <v>9.3769737891970559E-2</v>
      </c>
      <c r="CT50" s="692">
        <f t="shared" si="486"/>
        <v>-0.10338385672884332</v>
      </c>
      <c r="CU50" s="681">
        <f t="shared" si="487"/>
        <v>-0.25963656071479396</v>
      </c>
      <c r="CV50" s="692">
        <f t="shared" si="488"/>
        <v>5.3910719726965095E-2</v>
      </c>
      <c r="CW50" s="681">
        <f t="shared" si="489"/>
        <v>0.18287034480309963</v>
      </c>
      <c r="CX50" s="692">
        <f t="shared" si="490"/>
        <v>2.2968490446314382E-2</v>
      </c>
      <c r="CY50" s="681">
        <f t="shared" si="491"/>
        <v>6.5866329598403633E-2</v>
      </c>
      <c r="CZ50" s="692">
        <f t="shared" si="492"/>
        <v>-0.24328837605812548</v>
      </c>
      <c r="DA50" s="681">
        <f t="shared" si="493"/>
        <v>-0.6545602473823473</v>
      </c>
      <c r="DB50" s="692">
        <f t="shared" si="494"/>
        <v>0.25100119904640311</v>
      </c>
      <c r="DC50" s="681">
        <f t="shared" si="495"/>
        <v>1.9549324202776099</v>
      </c>
      <c r="DD50" s="692">
        <f t="shared" si="496"/>
        <v>-2.8168838277105201E-2</v>
      </c>
      <c r="DE50" s="681">
        <f t="shared" si="497"/>
        <v>-7.4246730892653656E-2</v>
      </c>
      <c r="DF50" s="692">
        <f t="shared" si="498"/>
        <v>7.8469339954334305E-2</v>
      </c>
      <c r="DG50" s="193">
        <f t="shared" si="499"/>
        <v>0.22341542025479988</v>
      </c>
      <c r="DH50" s="692">
        <f t="shared" si="500"/>
        <v>-0.19376876142769731</v>
      </c>
      <c r="DI50" s="681">
        <f t="shared" si="501"/>
        <v>-0.45094435902823099</v>
      </c>
      <c r="DJ50" s="692">
        <f t="shared" si="502"/>
        <v>5.8867855808393627E-2</v>
      </c>
      <c r="DK50" s="681">
        <f t="shared" si="503"/>
        <v>0.24951752558596488</v>
      </c>
      <c r="DL50" s="692">
        <f t="shared" si="504"/>
        <v>5.6977061932696915E-2</v>
      </c>
      <c r="DM50" s="681">
        <f t="shared" si="505"/>
        <v>0.19327716039909426</v>
      </c>
      <c r="DN50" s="406">
        <f t="shared" si="506"/>
        <v>8.4716278420273183E-3</v>
      </c>
      <c r="DO50" s="413">
        <f t="shared" si="507"/>
        <v>2.4082747177584105E-2</v>
      </c>
      <c r="DP50" s="406">
        <f t="shared" si="508"/>
        <v>-4.7402792963094353E-3</v>
      </c>
      <c r="DQ50" s="413">
        <f t="shared" si="509"/>
        <v>-1.3158550114295042E-2</v>
      </c>
      <c r="DR50" s="406">
        <f t="shared" si="510"/>
        <v>6.8123703747828279E-3</v>
      </c>
      <c r="DS50" s="413">
        <f t="shared" si="511"/>
        <v>1.9162623940008408E-2</v>
      </c>
      <c r="DT50" s="406">
        <f t="shared" si="512"/>
        <v>1.0175323646008261E-2</v>
      </c>
      <c r="DU50" s="413">
        <f t="shared" si="513"/>
        <v>2.8084161938122205E-2</v>
      </c>
      <c r="DV50" s="406">
        <f t="shared" si="514"/>
        <v>-3.1322014251439101E-2</v>
      </c>
      <c r="DW50" s="413">
        <f t="shared" si="515"/>
        <v>-8.4088044130167294E-2</v>
      </c>
      <c r="DX50" s="406">
        <f t="shared" si="516"/>
        <v>-0.22957137055827376</v>
      </c>
      <c r="DY50" s="413">
        <f t="shared" si="517"/>
        <v>-0.67289696122273712</v>
      </c>
      <c r="DZ50" s="406">
        <f t="shared" si="518"/>
        <v>0.2701202150543992</v>
      </c>
      <c r="EA50" s="413">
        <f t="shared" si="519"/>
        <v>2.4204903087190597</v>
      </c>
      <c r="EB50" s="406">
        <f t="shared" si="520"/>
        <v>7.7478671460146087E-3</v>
      </c>
      <c r="EC50" s="413">
        <f t="shared" si="521"/>
        <v>2.0297383726803904E-2</v>
      </c>
      <c r="ED50" s="406">
        <f t="shared" si="522"/>
        <v>-4.8858634923152344E-2</v>
      </c>
      <c r="EE50" s="413">
        <f t="shared" si="523"/>
        <v>-0.12545051627560078</v>
      </c>
      <c r="EF50" s="406">
        <f t="shared" si="524"/>
        <v>-2.1621818746249188E-2</v>
      </c>
      <c r="EG50" s="413">
        <f t="shared" si="525"/>
        <v>-6.3480298267173718E-2</v>
      </c>
      <c r="EH50" s="406">
        <f t="shared" si="526"/>
        <v>-0.19269240795775155</v>
      </c>
      <c r="EI50" s="413">
        <f t="shared" si="527"/>
        <v>-0.60407995097948031</v>
      </c>
      <c r="EJ50" s="406">
        <f t="shared" si="528"/>
        <v>0.23168945747769337</v>
      </c>
      <c r="EK50" s="413">
        <f t="shared" si="529"/>
        <v>1.8345459590890951</v>
      </c>
      <c r="EL50" s="406">
        <f t="shared" si="530"/>
        <v>-7.8875967684807202E-3</v>
      </c>
      <c r="EM50" s="413">
        <f t="shared" si="531"/>
        <v>-2.2033501576847487E-2</v>
      </c>
      <c r="EN50" s="406">
        <f t="shared" si="532"/>
        <v>-1.0154259849877723E-2</v>
      </c>
      <c r="EO50" s="413">
        <f t="shared" si="533"/>
        <v>-2.9004348570594078E-2</v>
      </c>
      <c r="EP50" s="406">
        <f t="shared" si="534"/>
        <v>-1.5459574851576896E-2</v>
      </c>
      <c r="EQ50" s="413">
        <f t="shared" si="535"/>
        <v>-4.5477345205974469E-2</v>
      </c>
      <c r="ER50" s="406">
        <f t="shared" si="536"/>
        <v>9.5650592629237252E-3</v>
      </c>
      <c r="ES50" s="413">
        <f t="shared" si="537"/>
        <v>2.9478065711199528E-2</v>
      </c>
      <c r="ET50" s="406">
        <f t="shared" si="538"/>
        <v>3.5413771697962171E-2</v>
      </c>
      <c r="EU50" s="413">
        <f t="shared" si="539"/>
        <v>0.10601477666561206</v>
      </c>
      <c r="EV50" s="406">
        <f t="shared" si="540"/>
        <v>-0.25717552358543089</v>
      </c>
      <c r="EW50" s="413">
        <f t="shared" si="541"/>
        <v>-0.69608603824164084</v>
      </c>
      <c r="EX50" s="406">
        <f t="shared" si="542"/>
        <v>0.25738351781297897</v>
      </c>
      <c r="EY50" s="413">
        <f t="shared" si="543"/>
        <v>2.2922573327319378</v>
      </c>
      <c r="EZ50" s="406">
        <f t="shared" si="544"/>
        <v>-6.6445869596294838E-2</v>
      </c>
      <c r="FA50" s="413">
        <f t="shared" si="545"/>
        <v>-0.17974501484263569</v>
      </c>
      <c r="FB50" s="406">
        <f t="shared" si="546"/>
        <v>0.12322077281973659</v>
      </c>
      <c r="FC50" s="413">
        <f t="shared" si="547"/>
        <v>0.40637212920838062</v>
      </c>
      <c r="FD50" s="406">
        <f t="shared" si="548"/>
        <v>-0.10992708932162493</v>
      </c>
      <c r="FE50" s="413">
        <f t="shared" si="549"/>
        <v>-0.2577771772826481</v>
      </c>
      <c r="FF50" s="406">
        <f t="shared" si="550"/>
        <v>-0.31651519886082274</v>
      </c>
      <c r="FG50" s="413">
        <f t="shared" si="551"/>
        <v>-1</v>
      </c>
      <c r="FH50" s="226">
        <f t="shared" si="552"/>
        <v>0.31898494172056546</v>
      </c>
      <c r="FI50" s="735">
        <f t="shared" si="553"/>
        <v>0.31651519886082274</v>
      </c>
      <c r="FJ50" s="692">
        <f>(FI50-FH50)*100</f>
        <v>-0.24697428597427185</v>
      </c>
      <c r="FK50" s="193">
        <f>IF(ISERROR((FJ50/FH50)/100),0,(FJ50/FH50)/100)</f>
        <v>-7.742506108348657E-3</v>
      </c>
      <c r="FL50" s="705"/>
      <c r="FM50" s="705"/>
      <c r="FN50" s="705"/>
      <c r="FO50" s="1" t="str">
        <f t="shared" si="555"/>
        <v>Service Center Costs % of Total Costs</v>
      </c>
      <c r="FP50" s="294" t="e">
        <f>#REF!</f>
        <v>#REF!</v>
      </c>
      <c r="FQ50" s="294" t="e">
        <f>#REF!</f>
        <v>#REF!</v>
      </c>
      <c r="FR50" s="294" t="e">
        <f>#REF!</f>
        <v>#REF!</v>
      </c>
      <c r="FS50" s="294" t="e">
        <f>#REF!</f>
        <v>#REF!</v>
      </c>
      <c r="FT50" s="294" t="e">
        <f>#REF!</f>
        <v>#REF!</v>
      </c>
      <c r="FU50" s="294" t="e">
        <f>#REF!</f>
        <v>#REF!</v>
      </c>
      <c r="FV50" s="294" t="e">
        <f>#REF!</f>
        <v>#REF!</v>
      </c>
      <c r="FW50" s="294" t="e">
        <f>#REF!</f>
        <v>#REF!</v>
      </c>
      <c r="FX50" s="294" t="e">
        <f>#REF!</f>
        <v>#REF!</v>
      </c>
      <c r="FY50" s="294" t="e">
        <f>#REF!</f>
        <v>#REF!</v>
      </c>
      <c r="FZ50" s="294" t="e">
        <f>#REF!</f>
        <v>#REF!</v>
      </c>
      <c r="GA50" s="295">
        <f t="shared" si="556"/>
        <v>0.34749772691299174</v>
      </c>
      <c r="GB50" s="295">
        <f t="shared" si="556"/>
        <v>0.38162622581033506</v>
      </c>
      <c r="GC50" s="295">
        <f t="shared" si="556"/>
        <v>0.38120443324751174</v>
      </c>
      <c r="GD50" s="295">
        <f t="shared" si="556"/>
        <v>0.41376357709130496</v>
      </c>
      <c r="GE50" s="295">
        <f t="shared" si="556"/>
        <v>0.41007331280949383</v>
      </c>
      <c r="GF50" s="295">
        <f t="shared" si="556"/>
        <v>0.1090027964615671</v>
      </c>
      <c r="GG50" s="295">
        <f t="shared" si="556"/>
        <v>0.44854634205400062</v>
      </c>
      <c r="GH50" s="295">
        <f t="shared" si="556"/>
        <v>0.44414391013359522</v>
      </c>
      <c r="GI50" s="295">
        <f t="shared" si="556"/>
        <v>0.39290583624576592</v>
      </c>
      <c r="GJ50" s="295">
        <f t="shared" si="556"/>
        <v>0.40433458044897463</v>
      </c>
      <c r="GK50" s="295">
        <f t="shared" si="556"/>
        <v>0.39696153846555315</v>
      </c>
      <c r="GL50" s="295">
        <f t="shared" si="556"/>
        <v>0.43682233655593361</v>
      </c>
      <c r="GM50" s="295">
        <f t="shared" si="557"/>
        <v>0.37469381055344114</v>
      </c>
      <c r="GN50" s="295">
        <f t="shared" si="557"/>
        <v>0.36404995239386395</v>
      </c>
      <c r="GO50" s="295">
        <f t="shared" si="557"/>
        <v>0.39818682100942093</v>
      </c>
      <c r="GP50" s="295">
        <f t="shared" si="557"/>
        <v>0.29480296428057762</v>
      </c>
      <c r="GQ50" s="295">
        <f t="shared" si="557"/>
        <v>0.34871368400754271</v>
      </c>
      <c r="GR50" s="295">
        <f t="shared" si="557"/>
        <v>0.37168217445385709</v>
      </c>
      <c r="GS50" s="295">
        <f t="shared" si="557"/>
        <v>0.12839379839573162</v>
      </c>
      <c r="GT50" s="295">
        <f t="shared" si="557"/>
        <v>0.37939499744213473</v>
      </c>
      <c r="GU50" s="295">
        <f t="shared" si="557"/>
        <v>0.35122615916502953</v>
      </c>
      <c r="GV50" s="295">
        <f t="shared" si="557"/>
        <v>0.42969549911936383</v>
      </c>
      <c r="GW50" s="295">
        <f t="shared" si="557"/>
        <v>0.23592673769166653</v>
      </c>
      <c r="GX50" s="295">
        <f t="shared" si="557"/>
        <v>0.29479459350006015</v>
      </c>
      <c r="GY50" s="838">
        <f t="shared" si="558"/>
        <v>0.35177165543275707</v>
      </c>
      <c r="GZ50" s="838">
        <f t="shared" si="558"/>
        <v>0.36024328327478439</v>
      </c>
      <c r="HA50" s="838">
        <f t="shared" si="558"/>
        <v>0.35550300397847495</v>
      </c>
      <c r="HB50" s="838">
        <f t="shared" si="558"/>
        <v>0.36231537435325778</v>
      </c>
      <c r="HC50" s="838">
        <f t="shared" si="558"/>
        <v>0.37249069799926604</v>
      </c>
      <c r="HD50" s="838">
        <f t="shared" si="558"/>
        <v>0.34116868374782694</v>
      </c>
      <c r="HE50" s="838">
        <f t="shared" si="558"/>
        <v>0.1115973131895532</v>
      </c>
      <c r="HF50" s="838">
        <f t="shared" si="558"/>
        <v>0.38171752824395239</v>
      </c>
      <c r="HG50" s="838">
        <f t="shared" si="558"/>
        <v>0.389465395389967</v>
      </c>
      <c r="HH50" s="838">
        <f t="shared" si="558"/>
        <v>0.34060676046681465</v>
      </c>
      <c r="HI50" s="838">
        <f t="shared" si="558"/>
        <v>0.31898494172056546</v>
      </c>
      <c r="HJ50" s="838">
        <f t="shared" si="558"/>
        <v>0.12629253376281391</v>
      </c>
      <c r="HK50" s="966">
        <f t="shared" si="559"/>
        <v>0.35798199124050728</v>
      </c>
      <c r="HL50" s="966">
        <f t="shared" si="560"/>
        <v>0.35009439447202656</v>
      </c>
      <c r="HM50" s="966">
        <f t="shared" si="560"/>
        <v>0.33994013462214884</v>
      </c>
      <c r="HN50" s="966">
        <f t="shared" si="560"/>
        <v>0.32448055977057194</v>
      </c>
      <c r="HO50" s="966">
        <f t="shared" si="560"/>
        <v>0.33404561903349567</v>
      </c>
      <c r="HP50" s="966">
        <f t="shared" si="560"/>
        <v>0.36945939073145784</v>
      </c>
      <c r="HQ50" s="966">
        <f t="shared" si="560"/>
        <v>0.11228386714602694</v>
      </c>
      <c r="HR50" s="966">
        <f t="shared" si="560"/>
        <v>0.36966738495900592</v>
      </c>
      <c r="HS50" s="966">
        <f t="shared" si="560"/>
        <v>0.30322151536271108</v>
      </c>
      <c r="HT50" s="966">
        <f t="shared" si="560"/>
        <v>0.42644228818244767</v>
      </c>
      <c r="HU50" s="966">
        <f t="shared" si="560"/>
        <v>0.31651519886082274</v>
      </c>
      <c r="HV50" s="966">
        <f t="shared" si="560"/>
        <v>0</v>
      </c>
    </row>
    <row r="51" spans="1:230" ht="15.75" customHeight="1" x14ac:dyDescent="0.25">
      <c r="A51" s="802">
        <v>8</v>
      </c>
      <c r="B51" s="7" t="s">
        <v>5</v>
      </c>
      <c r="C51" s="9"/>
      <c r="D51" s="457"/>
      <c r="E51" s="458"/>
      <c r="F51" s="458"/>
      <c r="G51" s="458"/>
      <c r="H51" s="170"/>
      <c r="I51" s="67"/>
      <c r="K51" s="67"/>
      <c r="M51" s="67"/>
      <c r="O51" s="67"/>
      <c r="Q51" s="67"/>
      <c r="S51" s="67"/>
      <c r="T51" s="139"/>
      <c r="U51" s="154"/>
      <c r="V51" s="170"/>
      <c r="W51" s="67"/>
      <c r="Y51" s="67"/>
      <c r="AA51" s="67"/>
      <c r="AC51" s="67"/>
      <c r="AE51" s="67"/>
      <c r="AG51" s="67"/>
      <c r="AH51" s="139"/>
      <c r="AI51" s="154"/>
      <c r="AJ51" s="170"/>
      <c r="AK51" s="67"/>
      <c r="AM51" s="67"/>
      <c r="AO51" s="67"/>
      <c r="AP51" s="27"/>
      <c r="AQ51" s="67"/>
      <c r="AR51" s="27"/>
      <c r="AS51" s="67"/>
      <c r="AT51" s="27"/>
      <c r="AU51" s="67"/>
      <c r="AV51" s="139"/>
      <c r="AW51" s="154"/>
      <c r="AX51" s="170"/>
      <c r="AY51" s="67"/>
      <c r="BA51" s="67"/>
      <c r="BC51" s="67"/>
      <c r="BD51" s="27"/>
      <c r="BE51" s="67"/>
      <c r="BF51" s="27"/>
      <c r="BG51" s="67"/>
      <c r="BH51" s="27"/>
      <c r="BI51" s="67"/>
      <c r="BJ51" s="139"/>
      <c r="BK51" s="154"/>
      <c r="BL51" s="170"/>
      <c r="BM51" s="67"/>
      <c r="BO51" s="67"/>
      <c r="BQ51" s="67"/>
      <c r="BR51" s="27"/>
      <c r="BS51" s="67"/>
      <c r="BT51" s="27"/>
      <c r="BV51" s="27"/>
      <c r="BX51" s="139"/>
      <c r="BY51" s="154"/>
      <c r="BZ51" s="27"/>
      <c r="CA51" s="67"/>
      <c r="CC51" s="67"/>
      <c r="CE51" s="67"/>
      <c r="CF51" s="27"/>
      <c r="CG51" s="67"/>
      <c r="CH51" s="27"/>
      <c r="CJ51" s="27"/>
      <c r="CL51" s="139"/>
      <c r="CM51" s="154"/>
      <c r="CN51" s="693"/>
      <c r="CO51" s="694"/>
      <c r="CP51" s="693"/>
      <c r="CQ51" s="694"/>
      <c r="CR51" s="693"/>
      <c r="CS51" s="694"/>
      <c r="CT51" s="693"/>
      <c r="CU51" s="694"/>
      <c r="CV51" s="693"/>
      <c r="CW51" s="694"/>
      <c r="CX51" s="693"/>
      <c r="CY51" s="694"/>
      <c r="CZ51" s="693"/>
      <c r="DA51" s="694"/>
      <c r="DB51" s="693"/>
      <c r="DC51" s="694"/>
      <c r="DD51" s="693"/>
      <c r="DE51" s="694"/>
      <c r="DF51" s="693"/>
      <c r="DG51" s="116"/>
      <c r="DH51" s="693"/>
      <c r="DI51" s="694"/>
      <c r="DJ51" s="693"/>
      <c r="DK51" s="694"/>
      <c r="DL51" s="693"/>
      <c r="DM51" s="694"/>
      <c r="DN51" s="337"/>
      <c r="DO51" s="416"/>
      <c r="DP51" s="337"/>
      <c r="DQ51" s="416"/>
      <c r="DR51" s="337"/>
      <c r="DS51" s="416"/>
      <c r="DT51" s="337"/>
      <c r="DU51" s="416"/>
      <c r="DV51" s="337"/>
      <c r="DW51" s="416"/>
      <c r="DX51" s="337"/>
      <c r="DY51" s="416"/>
      <c r="DZ51" s="337"/>
      <c r="EA51" s="416"/>
      <c r="EB51" s="337"/>
      <c r="EC51" s="416"/>
      <c r="ED51" s="337"/>
      <c r="EE51" s="416"/>
      <c r="EF51" s="337"/>
      <c r="EG51" s="416"/>
      <c r="EH51" s="337"/>
      <c r="EI51" s="416"/>
      <c r="EJ51" s="337"/>
      <c r="EK51" s="416"/>
      <c r="EL51" s="337"/>
      <c r="EM51" s="416"/>
      <c r="EN51" s="337"/>
      <c r="EO51" s="416"/>
      <c r="EP51" s="337"/>
      <c r="EQ51" s="416"/>
      <c r="ER51" s="337"/>
      <c r="ES51" s="416"/>
      <c r="ET51" s="337"/>
      <c r="EU51" s="416"/>
      <c r="EV51" s="337"/>
      <c r="EW51" s="416"/>
      <c r="EX51" s="337"/>
      <c r="EY51" s="416"/>
      <c r="EZ51" s="337"/>
      <c r="FA51" s="416"/>
      <c r="FB51" s="337"/>
      <c r="FC51" s="416"/>
      <c r="FD51" s="337"/>
      <c r="FE51" s="416"/>
      <c r="FF51" s="337"/>
      <c r="FG51" s="416"/>
      <c r="FH51" s="37"/>
      <c r="FI51" s="730"/>
      <c r="FJ51" s="115"/>
      <c r="FK51" s="116"/>
      <c r="FL51" s="710"/>
      <c r="FM51" s="710"/>
      <c r="FN51" s="710"/>
      <c r="FO51" s="8"/>
    </row>
    <row r="52" spans="1:230" x14ac:dyDescent="0.25">
      <c r="B52" s="56">
        <v>8.1</v>
      </c>
      <c r="C52" s="7"/>
      <c r="D52" s="119"/>
      <c r="E52" s="1046" t="s">
        <v>63</v>
      </c>
      <c r="F52" s="1046"/>
      <c r="G52" s="1047"/>
      <c r="H52" s="383">
        <v>127</v>
      </c>
      <c r="I52" s="77">
        <v>113</v>
      </c>
      <c r="J52" s="33">
        <v>146</v>
      </c>
      <c r="K52" s="77">
        <v>160</v>
      </c>
      <c r="L52" s="33">
        <v>127</v>
      </c>
      <c r="M52" s="77">
        <v>89</v>
      </c>
      <c r="N52" s="33">
        <v>92</v>
      </c>
      <c r="O52" s="77">
        <v>133</v>
      </c>
      <c r="P52" s="33">
        <v>149</v>
      </c>
      <c r="Q52" s="77">
        <v>134</v>
      </c>
      <c r="R52" s="33">
        <v>87</v>
      </c>
      <c r="S52" s="77">
        <v>82</v>
      </c>
      <c r="T52" s="130">
        <v>1439</v>
      </c>
      <c r="U52" s="163">
        <v>119.91666666666667</v>
      </c>
      <c r="V52" s="383">
        <f>SUM(V53:V62)</f>
        <v>79</v>
      </c>
      <c r="W52" s="77">
        <f>SUM(W53:W62)</f>
        <v>103</v>
      </c>
      <c r="X52" s="33">
        <f>SUM(X53:X62)</f>
        <v>116</v>
      </c>
      <c r="Y52" s="77">
        <f>SUM(Y53:Y62)</f>
        <v>96</v>
      </c>
      <c r="Z52" s="33">
        <v>70</v>
      </c>
      <c r="AA52" s="77">
        <v>70</v>
      </c>
      <c r="AB52" s="33">
        <v>71</v>
      </c>
      <c r="AC52" s="77">
        <v>78</v>
      </c>
      <c r="AD52" s="33">
        <v>107</v>
      </c>
      <c r="AE52" s="77">
        <v>103</v>
      </c>
      <c r="AF52" s="33">
        <v>97</v>
      </c>
      <c r="AG52" s="77">
        <v>102</v>
      </c>
      <c r="AH52" s="130">
        <v>1092</v>
      </c>
      <c r="AI52" s="163">
        <v>91</v>
      </c>
      <c r="AJ52" s="383">
        <f>SUM(AJ53:AJ62)</f>
        <v>90</v>
      </c>
      <c r="AK52" s="77">
        <f>SUM(AK53:AK62)</f>
        <v>111</v>
      </c>
      <c r="AL52" s="33">
        <f>SUM(AL53:AL62)</f>
        <v>94</v>
      </c>
      <c r="AM52" s="77">
        <f>SUM(AM53:AM62)</f>
        <v>118</v>
      </c>
      <c r="AN52" s="33">
        <f t="shared" ref="AN52:AU52" si="633">SUM(AN53:AN62)</f>
        <v>101</v>
      </c>
      <c r="AO52" s="77">
        <f t="shared" si="633"/>
        <v>99</v>
      </c>
      <c r="AP52" s="633">
        <f t="shared" si="633"/>
        <v>122</v>
      </c>
      <c r="AQ52" s="77">
        <f t="shared" si="633"/>
        <v>119</v>
      </c>
      <c r="AR52" s="633">
        <f t="shared" si="633"/>
        <v>116</v>
      </c>
      <c r="AS52" s="77">
        <f t="shared" si="633"/>
        <v>151</v>
      </c>
      <c r="AT52" s="633">
        <f t="shared" si="633"/>
        <v>117</v>
      </c>
      <c r="AU52" s="77">
        <f t="shared" si="633"/>
        <v>99</v>
      </c>
      <c r="AV52" s="130">
        <f t="shared" ref="AV52:AV64" si="634">SUM(AJ52:AU52)</f>
        <v>1337</v>
      </c>
      <c r="AW52" s="163">
        <f t="shared" ref="AW52:AW64" si="635">SUM(AJ52:AU52)/$AV$4</f>
        <v>111.41666666666667</v>
      </c>
      <c r="AX52" s="383">
        <f t="shared" ref="AX52:BC52" si="636">SUM(AX53:AX62)</f>
        <v>88</v>
      </c>
      <c r="AY52" s="77">
        <f t="shared" si="636"/>
        <v>121</v>
      </c>
      <c r="AZ52" s="33">
        <f t="shared" si="636"/>
        <v>93</v>
      </c>
      <c r="BA52" s="77">
        <f t="shared" si="636"/>
        <v>17</v>
      </c>
      <c r="BB52" s="33">
        <f t="shared" si="636"/>
        <v>9</v>
      </c>
      <c r="BC52" s="77">
        <f t="shared" si="636"/>
        <v>17</v>
      </c>
      <c r="BD52" s="633">
        <f t="shared" ref="BD52:BI52" si="637">SUM(BD53:BD62)</f>
        <v>10</v>
      </c>
      <c r="BE52" s="77">
        <f t="shared" si="637"/>
        <v>20</v>
      </c>
      <c r="BF52" s="633">
        <f t="shared" si="637"/>
        <v>23</v>
      </c>
      <c r="BG52" s="77">
        <f t="shared" si="637"/>
        <v>23</v>
      </c>
      <c r="BH52" s="633">
        <f t="shared" si="637"/>
        <v>15</v>
      </c>
      <c r="BI52" s="77">
        <f t="shared" si="637"/>
        <v>14</v>
      </c>
      <c r="BJ52" s="130">
        <f t="shared" ref="BJ52:BJ64" si="638">SUM(AX52:BI52)</f>
        <v>450</v>
      </c>
      <c r="BK52" s="163">
        <f t="shared" ref="BK52:BK64" si="639">SUM(AX52:BI52)/$BJ$4</f>
        <v>37.5</v>
      </c>
      <c r="BL52" s="383">
        <f t="shared" ref="BL52:BP52" si="640">SUM(BL53:BL62)</f>
        <v>20</v>
      </c>
      <c r="BM52" s="77">
        <f t="shared" ref="BM52:BN52" si="641">SUM(BM53:BM62)</f>
        <v>22</v>
      </c>
      <c r="BN52" s="33">
        <f t="shared" si="641"/>
        <v>20</v>
      </c>
      <c r="BO52" s="77">
        <f t="shared" si="640"/>
        <v>16</v>
      </c>
      <c r="BP52" s="33">
        <f t="shared" si="640"/>
        <v>19</v>
      </c>
      <c r="BQ52" s="77">
        <f t="shared" ref="BQ52:BR52" si="642">SUM(BQ53:BQ62)</f>
        <v>14</v>
      </c>
      <c r="BR52" s="633">
        <f t="shared" si="642"/>
        <v>17</v>
      </c>
      <c r="BS52" s="77">
        <f t="shared" ref="BS52:BT52" si="643">SUM(BS53:BS62)</f>
        <v>28</v>
      </c>
      <c r="BT52" s="633">
        <f t="shared" si="643"/>
        <v>33</v>
      </c>
      <c r="BU52" s="633">
        <f t="shared" ref="BU52" si="644">SUM(BU53:BU62)</f>
        <v>31</v>
      </c>
      <c r="BV52" s="633">
        <f t="shared" ref="BV52:BW52" si="645">SUM(BV53:BV62)</f>
        <v>43</v>
      </c>
      <c r="BW52" s="633">
        <f t="shared" si="645"/>
        <v>33</v>
      </c>
      <c r="BX52" s="130">
        <f t="shared" ref="BX52:BX64" si="646">SUM(BL52:BW52)</f>
        <v>296</v>
      </c>
      <c r="BY52" s="163">
        <f t="shared" ref="BY52:BY64" si="647">SUM(BL52:BW52)/$BX$4</f>
        <v>24.666666666666668</v>
      </c>
      <c r="BZ52" s="633">
        <f t="shared" ref="BZ52:CA52" si="648">SUM(BZ53:BZ62)</f>
        <v>29</v>
      </c>
      <c r="CA52" s="77">
        <f t="shared" si="648"/>
        <v>25</v>
      </c>
      <c r="CB52" s="33">
        <f t="shared" ref="CB52:CC52" si="649">SUM(CB53:CB62)</f>
        <v>20</v>
      </c>
      <c r="CC52" s="77">
        <f t="shared" si="649"/>
        <v>19</v>
      </c>
      <c r="CD52" s="33">
        <f t="shared" ref="CD52:CE52" si="650">SUM(CD53:CD62)</f>
        <v>18</v>
      </c>
      <c r="CE52" s="77">
        <f t="shared" si="650"/>
        <v>18</v>
      </c>
      <c r="CF52" s="633">
        <f t="shared" ref="CF52:CG52" si="651">SUM(CF53:CF62)</f>
        <v>18</v>
      </c>
      <c r="CG52" s="77">
        <f t="shared" si="651"/>
        <v>24</v>
      </c>
      <c r="CH52" s="633">
        <f t="shared" ref="CH52:CI52" si="652">SUM(CH53:CH62)</f>
        <v>30</v>
      </c>
      <c r="CI52" s="633">
        <f t="shared" si="652"/>
        <v>20</v>
      </c>
      <c r="CJ52" s="633">
        <f t="shared" ref="CJ52" si="653">SUM(CJ53:CJ62)</f>
        <v>19</v>
      </c>
      <c r="CK52" s="633"/>
      <c r="CL52" s="130">
        <f t="shared" ref="CL52:CL64" si="654">SUM(BZ52:CK52)</f>
        <v>240</v>
      </c>
      <c r="CM52" s="163">
        <f t="shared" ref="CM52:CM64" si="655">SUM(BZ52:CK52)/$CL$4</f>
        <v>21.818181818181817</v>
      </c>
      <c r="CN52" s="683">
        <f>AX52-AU52</f>
        <v>-11</v>
      </c>
      <c r="CO52" s="672">
        <f>CN52/AU52</f>
        <v>-0.1111111111111111</v>
      </c>
      <c r="CP52" s="683">
        <f>AY52-AX52</f>
        <v>33</v>
      </c>
      <c r="CQ52" s="672">
        <f>CP52/AX52</f>
        <v>0.375</v>
      </c>
      <c r="CR52" s="683">
        <f>AZ52-AY52</f>
        <v>-28</v>
      </c>
      <c r="CS52" s="672">
        <f>CR52/AY52</f>
        <v>-0.23140495867768596</v>
      </c>
      <c r="CT52" s="683">
        <f>BA52-AZ52</f>
        <v>-76</v>
      </c>
      <c r="CU52" s="672">
        <f>CT52/AZ52</f>
        <v>-0.81720430107526887</v>
      </c>
      <c r="CV52" s="683">
        <f>BB52-BA52</f>
        <v>-8</v>
      </c>
      <c r="CW52" s="672">
        <f>CV52/BA52</f>
        <v>-0.47058823529411764</v>
      </c>
      <c r="CX52" s="683">
        <f>BC52-BB52</f>
        <v>8</v>
      </c>
      <c r="CY52" s="672">
        <f>CX52/BB52</f>
        <v>0.88888888888888884</v>
      </c>
      <c r="CZ52" s="683">
        <f>BD52-BC52</f>
        <v>-7</v>
      </c>
      <c r="DA52" s="672">
        <f>CZ52/BC52</f>
        <v>-0.41176470588235292</v>
      </c>
      <c r="DB52" s="683">
        <f>BE52-BD52</f>
        <v>10</v>
      </c>
      <c r="DC52" s="672">
        <f>DB52/BD52</f>
        <v>1</v>
      </c>
      <c r="DD52" s="683">
        <f>BF52-BE52</f>
        <v>3</v>
      </c>
      <c r="DE52" s="672">
        <f>DD52/BE52</f>
        <v>0.15</v>
      </c>
      <c r="DF52" s="683">
        <f>BG52-BF52</f>
        <v>0</v>
      </c>
      <c r="DG52" s="109">
        <f>DF52/BF52</f>
        <v>0</v>
      </c>
      <c r="DH52" s="683">
        <f>BH52-BG52</f>
        <v>-8</v>
      </c>
      <c r="DI52" s="672">
        <f>DH52/BG52</f>
        <v>-0.34782608695652173</v>
      </c>
      <c r="DJ52" s="683">
        <f>BI52-BH52</f>
        <v>-1</v>
      </c>
      <c r="DK52" s="672">
        <f>DJ52/BH52</f>
        <v>-6.6666666666666666E-2</v>
      </c>
      <c r="DL52" s="683">
        <f>BL52-BI52</f>
        <v>6</v>
      </c>
      <c r="DM52" s="672">
        <f>DL52/BI52</f>
        <v>0.42857142857142855</v>
      </c>
      <c r="DN52" s="332">
        <f>BM52-BL52</f>
        <v>2</v>
      </c>
      <c r="DO52" s="410">
        <f>DN52/BL52</f>
        <v>0.1</v>
      </c>
      <c r="DP52" s="332">
        <f>BN52-BM52</f>
        <v>-2</v>
      </c>
      <c r="DQ52" s="410">
        <f>DP52/BM52</f>
        <v>-9.0909090909090912E-2</v>
      </c>
      <c r="DR52" s="332">
        <f>BO52-BN52</f>
        <v>-4</v>
      </c>
      <c r="DS52" s="410">
        <f>DR52/BN52</f>
        <v>-0.2</v>
      </c>
      <c r="DT52" s="332">
        <f>BP52-BO52</f>
        <v>3</v>
      </c>
      <c r="DU52" s="410">
        <f>DT52/BO52</f>
        <v>0.1875</v>
      </c>
      <c r="DV52" s="332">
        <f t="shared" ref="DV52:DV64" si="656">BQ52-BP52</f>
        <v>-5</v>
      </c>
      <c r="DW52" s="410">
        <f>DV52/BP52</f>
        <v>-0.26315789473684209</v>
      </c>
      <c r="DX52" s="332">
        <f t="shared" ref="DX52:DX64" si="657">BR52-BQ52</f>
        <v>3</v>
      </c>
      <c r="DY52" s="410">
        <f>DX52/BQ52</f>
        <v>0.21428571428571427</v>
      </c>
      <c r="DZ52" s="332">
        <f t="shared" ref="DZ52:DZ64" si="658">BS52-BR52</f>
        <v>11</v>
      </c>
      <c r="EA52" s="410">
        <f>DZ52/BR52</f>
        <v>0.6470588235294118</v>
      </c>
      <c r="EB52" s="332">
        <f t="shared" ref="EB52:EB64" si="659">BT52-BS52</f>
        <v>5</v>
      </c>
      <c r="EC52" s="410">
        <f>EB52/BS52</f>
        <v>0.17857142857142858</v>
      </c>
      <c r="ED52" s="332">
        <f t="shared" ref="ED52:ED64" si="660">BU52-BT52</f>
        <v>-2</v>
      </c>
      <c r="EE52" s="410">
        <f t="shared" ref="EE52:EE64" si="661">ED52/BT52</f>
        <v>-6.0606060606060608E-2</v>
      </c>
      <c r="EF52" s="332">
        <f t="shared" ref="EF52:EF64" si="662">BV52-BU52</f>
        <v>12</v>
      </c>
      <c r="EG52" s="410">
        <f t="shared" ref="EG52:EG64" si="663">EF52/BU52</f>
        <v>0.38709677419354838</v>
      </c>
      <c r="EH52" s="332">
        <f t="shared" ref="EH52:EH64" si="664">BW52-BV52</f>
        <v>-10</v>
      </c>
      <c r="EI52" s="410">
        <f t="shared" ref="EI52:EI64" si="665">EH52/BV52</f>
        <v>-0.23255813953488372</v>
      </c>
      <c r="EJ52" s="332">
        <f t="shared" ref="EJ52:EJ64" si="666">BZ52-BW52</f>
        <v>-4</v>
      </c>
      <c r="EK52" s="410">
        <f t="shared" ref="EK52:EK64" si="667">EJ52/BW52</f>
        <v>-0.12121212121212122</v>
      </c>
      <c r="EL52" s="332">
        <f t="shared" ref="EL52:EL64" si="668">CA52-BZ52</f>
        <v>-4</v>
      </c>
      <c r="EM52" s="410">
        <f t="shared" ref="EM52:EM64" si="669">EL52/BZ52</f>
        <v>-0.13793103448275862</v>
      </c>
      <c r="EN52" s="332">
        <f t="shared" ref="EN52:EN64" si="670">CB52-CA52</f>
        <v>-5</v>
      </c>
      <c r="EO52" s="410">
        <f t="shared" ref="EO52:EO64" si="671">EN52/CA52</f>
        <v>-0.2</v>
      </c>
      <c r="EP52" s="332">
        <f t="shared" ref="EP52:EP64" si="672">CC52-CB52</f>
        <v>-1</v>
      </c>
      <c r="EQ52" s="410">
        <f t="shared" ref="EQ52:EQ64" si="673">EP52/CB52</f>
        <v>-0.05</v>
      </c>
      <c r="ER52" s="332">
        <f t="shared" ref="ER52:ER64" si="674">CD52-CC52</f>
        <v>-1</v>
      </c>
      <c r="ES52" s="410">
        <f t="shared" ref="ES52:ES64" si="675">ER52/CC52</f>
        <v>-5.2631578947368418E-2</v>
      </c>
      <c r="ET52" s="332">
        <f t="shared" ref="ET52:ET64" si="676">CE52-CD52</f>
        <v>0</v>
      </c>
      <c r="EU52" s="410">
        <f t="shared" ref="EU52:EU64" si="677">ET52/CD52</f>
        <v>0</v>
      </c>
      <c r="EV52" s="332">
        <f t="shared" ref="EV52:EV64" si="678">CF52-CE52</f>
        <v>0</v>
      </c>
      <c r="EW52" s="410">
        <f t="shared" ref="EW52:EW64" si="679">EV52/CE52</f>
        <v>0</v>
      </c>
      <c r="EX52" s="332">
        <f t="shared" ref="EX52:EX64" si="680">CG52-CF52</f>
        <v>6</v>
      </c>
      <c r="EY52" s="410">
        <f t="shared" ref="EY52:EY64" si="681">EX52/CF52</f>
        <v>0.33333333333333331</v>
      </c>
      <c r="EZ52" s="332">
        <f t="shared" ref="EZ52:EZ64" si="682">CH52-CG52</f>
        <v>6</v>
      </c>
      <c r="FA52" s="410">
        <f t="shared" ref="FA52:FA64" si="683">EZ52/CG52</f>
        <v>0.25</v>
      </c>
      <c r="FB52" s="332">
        <f t="shared" ref="FB52:FB64" si="684">CI52-CH52</f>
        <v>-10</v>
      </c>
      <c r="FC52" s="410">
        <f t="shared" ref="FC52:FC64" si="685">FB52/CH52</f>
        <v>-0.33333333333333331</v>
      </c>
      <c r="FD52" s="332">
        <f t="shared" ref="FD52:FD64" si="686">CJ52-CI52</f>
        <v>-1</v>
      </c>
      <c r="FE52" s="410">
        <f t="shared" ref="FE52:FE64" si="687">FD52/CI52</f>
        <v>-0.05</v>
      </c>
      <c r="FF52" s="332">
        <f t="shared" ref="FF52:FF64" si="688">CK52-CJ52</f>
        <v>-19</v>
      </c>
      <c r="FG52" s="410">
        <f t="shared" ref="FG52:FG64" si="689">FF52/CJ52</f>
        <v>-1</v>
      </c>
      <c r="FH52" s="919">
        <f t="shared" ref="FH52:FH64" si="690">BV52</f>
        <v>43</v>
      </c>
      <c r="FI52" s="920">
        <f t="shared" ref="FI52:FI64" si="691">CJ52</f>
        <v>19</v>
      </c>
      <c r="FJ52" s="122">
        <f t="shared" ref="FJ52:FJ64" si="692">FI52-FH52</f>
        <v>-24</v>
      </c>
      <c r="FK52" s="109">
        <f t="shared" ref="FK52:FK61" si="693">IF(ISERROR(FJ52/FH52),0,FJ52/FH52)</f>
        <v>-0.55813953488372092</v>
      </c>
      <c r="FL52" s="707"/>
      <c r="FM52" s="707"/>
      <c r="FN52" s="707"/>
      <c r="FO52" t="str">
        <f>E52</f>
        <v>Number of Classes Offered</v>
      </c>
      <c r="FP52" s="270" t="e">
        <f>#REF!</f>
        <v>#REF!</v>
      </c>
      <c r="FQ52" s="270" t="e">
        <f>#REF!</f>
        <v>#REF!</v>
      </c>
      <c r="FR52" s="270" t="e">
        <f>#REF!</f>
        <v>#REF!</v>
      </c>
      <c r="FS52" s="270" t="e">
        <f>#REF!</f>
        <v>#REF!</v>
      </c>
      <c r="FT52" s="270" t="e">
        <f>#REF!</f>
        <v>#REF!</v>
      </c>
      <c r="FU52" s="270" t="e">
        <f>#REF!</f>
        <v>#REF!</v>
      </c>
      <c r="FV52" s="270" t="e">
        <f>#REF!</f>
        <v>#REF!</v>
      </c>
      <c r="FW52" s="270" t="e">
        <f>#REF!</f>
        <v>#REF!</v>
      </c>
      <c r="FX52" s="270" t="e">
        <f>#REF!</f>
        <v>#REF!</v>
      </c>
      <c r="FY52" s="270" t="e">
        <f>#REF!</f>
        <v>#REF!</v>
      </c>
      <c r="FZ52" s="270" t="e">
        <f>#REF!</f>
        <v>#REF!</v>
      </c>
      <c r="GA52" s="271">
        <f t="shared" ref="GA52:GL55" si="694">AJ52</f>
        <v>90</v>
      </c>
      <c r="GB52" s="271">
        <f t="shared" si="694"/>
        <v>111</v>
      </c>
      <c r="GC52" s="271">
        <f t="shared" si="694"/>
        <v>94</v>
      </c>
      <c r="GD52" s="271">
        <f t="shared" si="694"/>
        <v>118</v>
      </c>
      <c r="GE52" s="271">
        <f t="shared" si="694"/>
        <v>101</v>
      </c>
      <c r="GF52" s="271">
        <f t="shared" si="694"/>
        <v>99</v>
      </c>
      <c r="GG52" s="271">
        <f t="shared" si="694"/>
        <v>122</v>
      </c>
      <c r="GH52" s="271">
        <f t="shared" si="694"/>
        <v>119</v>
      </c>
      <c r="GI52" s="271">
        <f t="shared" si="694"/>
        <v>116</v>
      </c>
      <c r="GJ52" s="271">
        <f t="shared" si="694"/>
        <v>151</v>
      </c>
      <c r="GK52" s="271">
        <f t="shared" si="694"/>
        <v>117</v>
      </c>
      <c r="GL52" s="271">
        <f t="shared" si="694"/>
        <v>99</v>
      </c>
      <c r="GM52" s="271">
        <f t="shared" ref="GM52:GX55" si="695">AX52</f>
        <v>88</v>
      </c>
      <c r="GN52" s="271">
        <f t="shared" si="695"/>
        <v>121</v>
      </c>
      <c r="GO52" s="271">
        <f t="shared" si="695"/>
        <v>93</v>
      </c>
      <c r="GP52" s="271">
        <f t="shared" si="695"/>
        <v>17</v>
      </c>
      <c r="GQ52" s="271">
        <f t="shared" si="695"/>
        <v>9</v>
      </c>
      <c r="GR52" s="271">
        <f t="shared" si="695"/>
        <v>17</v>
      </c>
      <c r="GS52" s="271">
        <f t="shared" si="695"/>
        <v>10</v>
      </c>
      <c r="GT52" s="271">
        <f t="shared" si="695"/>
        <v>20</v>
      </c>
      <c r="GU52" s="271">
        <f t="shared" si="695"/>
        <v>23</v>
      </c>
      <c r="GV52" s="271">
        <f t="shared" si="695"/>
        <v>23</v>
      </c>
      <c r="GW52" s="271">
        <f t="shared" si="695"/>
        <v>15</v>
      </c>
      <c r="GX52" s="271">
        <f t="shared" si="695"/>
        <v>14</v>
      </c>
      <c r="GY52" s="826">
        <f t="shared" ref="GY52:HJ56" si="696">BL52</f>
        <v>20</v>
      </c>
      <c r="GZ52" s="826">
        <f t="shared" si="696"/>
        <v>22</v>
      </c>
      <c r="HA52" s="826">
        <f t="shared" si="696"/>
        <v>20</v>
      </c>
      <c r="HB52" s="826">
        <f t="shared" si="696"/>
        <v>16</v>
      </c>
      <c r="HC52" s="826">
        <f t="shared" si="696"/>
        <v>19</v>
      </c>
      <c r="HD52" s="826">
        <f t="shared" si="696"/>
        <v>14</v>
      </c>
      <c r="HE52" s="826">
        <f t="shared" si="696"/>
        <v>17</v>
      </c>
      <c r="HF52" s="826">
        <f t="shared" si="696"/>
        <v>28</v>
      </c>
      <c r="HG52" s="826">
        <f t="shared" si="696"/>
        <v>33</v>
      </c>
      <c r="HH52" s="826">
        <f t="shared" si="696"/>
        <v>31</v>
      </c>
      <c r="HI52" s="826">
        <f t="shared" si="696"/>
        <v>43</v>
      </c>
      <c r="HJ52" s="826">
        <f t="shared" si="696"/>
        <v>33</v>
      </c>
      <c r="HK52" s="954">
        <f>BZ52</f>
        <v>29</v>
      </c>
      <c r="HL52" s="954">
        <f t="shared" ref="HL52:HV56" si="697">CA52</f>
        <v>25</v>
      </c>
      <c r="HM52" s="954">
        <f t="shared" si="697"/>
        <v>20</v>
      </c>
      <c r="HN52" s="954">
        <f t="shared" si="697"/>
        <v>19</v>
      </c>
      <c r="HO52" s="954">
        <f t="shared" si="697"/>
        <v>18</v>
      </c>
      <c r="HP52" s="954">
        <f t="shared" si="697"/>
        <v>18</v>
      </c>
      <c r="HQ52" s="954">
        <f t="shared" si="697"/>
        <v>18</v>
      </c>
      <c r="HR52" s="954">
        <f t="shared" si="697"/>
        <v>24</v>
      </c>
      <c r="HS52" s="954">
        <f t="shared" si="697"/>
        <v>30</v>
      </c>
      <c r="HT52" s="954">
        <f t="shared" si="697"/>
        <v>20</v>
      </c>
      <c r="HU52" s="954">
        <f t="shared" si="697"/>
        <v>19</v>
      </c>
      <c r="HV52" s="954">
        <f t="shared" si="697"/>
        <v>0</v>
      </c>
    </row>
    <row r="53" spans="1:230" x14ac:dyDescent="0.25">
      <c r="A53" s="802"/>
      <c r="B53" s="56">
        <v>8.1999999999999993</v>
      </c>
      <c r="C53" s="7"/>
      <c r="D53" s="119"/>
      <c r="E53" s="1037" t="s">
        <v>6</v>
      </c>
      <c r="F53" s="1037"/>
      <c r="G53" s="1038"/>
      <c r="H53" s="376">
        <v>1</v>
      </c>
      <c r="I53" s="70">
        <v>1</v>
      </c>
      <c r="J53" s="23">
        <v>1</v>
      </c>
      <c r="K53" s="70">
        <v>1</v>
      </c>
      <c r="L53" s="23">
        <v>2</v>
      </c>
      <c r="M53" s="70">
        <v>1</v>
      </c>
      <c r="N53" s="23">
        <v>1</v>
      </c>
      <c r="O53" s="70">
        <v>1</v>
      </c>
      <c r="P53" s="23">
        <v>1</v>
      </c>
      <c r="Q53" s="70">
        <v>1</v>
      </c>
      <c r="R53" s="23">
        <v>0</v>
      </c>
      <c r="S53" s="70">
        <v>1</v>
      </c>
      <c r="T53" s="130">
        <v>12</v>
      </c>
      <c r="U53" s="163">
        <v>1</v>
      </c>
      <c r="V53" s="376">
        <v>0</v>
      </c>
      <c r="W53" s="70">
        <v>1</v>
      </c>
      <c r="X53" s="23">
        <v>1</v>
      </c>
      <c r="Y53" s="70">
        <v>1</v>
      </c>
      <c r="Z53" s="23">
        <v>1</v>
      </c>
      <c r="AA53" s="70">
        <v>1</v>
      </c>
      <c r="AB53" s="23">
        <v>1</v>
      </c>
      <c r="AC53" s="70">
        <v>1</v>
      </c>
      <c r="AD53" s="23">
        <v>1</v>
      </c>
      <c r="AE53" s="70">
        <v>3</v>
      </c>
      <c r="AF53" s="23">
        <v>1</v>
      </c>
      <c r="AG53" s="70">
        <v>8</v>
      </c>
      <c r="AH53" s="130">
        <v>20</v>
      </c>
      <c r="AI53" s="163">
        <v>1.6666666666666667</v>
      </c>
      <c r="AJ53" s="376">
        <v>1</v>
      </c>
      <c r="AK53" s="70">
        <v>1</v>
      </c>
      <c r="AL53" s="23">
        <v>1</v>
      </c>
      <c r="AM53" s="70">
        <v>1</v>
      </c>
      <c r="AN53" s="23">
        <v>1</v>
      </c>
      <c r="AO53" s="70">
        <v>1</v>
      </c>
      <c r="AP53" s="634">
        <v>1</v>
      </c>
      <c r="AQ53" s="70">
        <v>1</v>
      </c>
      <c r="AR53" s="634">
        <v>1</v>
      </c>
      <c r="AS53" s="70">
        <v>0</v>
      </c>
      <c r="AT53" s="634">
        <v>2</v>
      </c>
      <c r="AU53" s="70">
        <v>2</v>
      </c>
      <c r="AV53" s="130">
        <f t="shared" si="634"/>
        <v>13</v>
      </c>
      <c r="AW53" s="163">
        <f t="shared" si="635"/>
        <v>1.0833333333333333</v>
      </c>
      <c r="AX53" s="376">
        <v>0</v>
      </c>
      <c r="AY53" s="70">
        <v>2</v>
      </c>
      <c r="AZ53" s="23">
        <v>0</v>
      </c>
      <c r="BA53" s="70">
        <v>2</v>
      </c>
      <c r="BB53" s="23">
        <v>0</v>
      </c>
      <c r="BC53" s="70">
        <v>0</v>
      </c>
      <c r="BD53" s="634">
        <v>0</v>
      </c>
      <c r="BE53" s="70">
        <v>1</v>
      </c>
      <c r="BF53" s="634">
        <v>1</v>
      </c>
      <c r="BG53" s="70">
        <v>3</v>
      </c>
      <c r="BH53" s="634">
        <v>0</v>
      </c>
      <c r="BI53" s="70">
        <v>0</v>
      </c>
      <c r="BJ53" s="130">
        <f t="shared" si="638"/>
        <v>9</v>
      </c>
      <c r="BK53" s="163">
        <f t="shared" si="639"/>
        <v>0.75</v>
      </c>
      <c r="BL53" s="376">
        <v>1</v>
      </c>
      <c r="BM53" s="70">
        <v>1</v>
      </c>
      <c r="BN53" s="23">
        <v>1</v>
      </c>
      <c r="BO53" s="70">
        <v>1</v>
      </c>
      <c r="BP53" s="23">
        <v>1</v>
      </c>
      <c r="BQ53" s="70">
        <v>1</v>
      </c>
      <c r="BR53" s="634">
        <v>1</v>
      </c>
      <c r="BS53" s="70">
        <v>0</v>
      </c>
      <c r="BT53" s="634">
        <v>1</v>
      </c>
      <c r="BU53" s="634">
        <v>1</v>
      </c>
      <c r="BV53" s="634">
        <v>1</v>
      </c>
      <c r="BW53" s="634">
        <v>1</v>
      </c>
      <c r="BX53" s="130">
        <f t="shared" si="646"/>
        <v>11</v>
      </c>
      <c r="BY53" s="163">
        <f t="shared" si="647"/>
        <v>0.91666666666666663</v>
      </c>
      <c r="BZ53" s="634">
        <v>0</v>
      </c>
      <c r="CA53" s="70">
        <v>0</v>
      </c>
      <c r="CB53" s="23">
        <v>2</v>
      </c>
      <c r="CC53" s="70">
        <v>1</v>
      </c>
      <c r="CD53" s="23">
        <v>0</v>
      </c>
      <c r="CE53" s="70">
        <v>1</v>
      </c>
      <c r="CF53" s="634">
        <v>1</v>
      </c>
      <c r="CG53" s="70">
        <v>1</v>
      </c>
      <c r="CH53" s="634">
        <v>1</v>
      </c>
      <c r="CI53" s="634">
        <v>1</v>
      </c>
      <c r="CJ53" s="1027">
        <v>0</v>
      </c>
      <c r="CK53" s="634"/>
      <c r="CL53" s="130">
        <f t="shared" si="654"/>
        <v>8</v>
      </c>
      <c r="CM53" s="163">
        <f t="shared" si="655"/>
        <v>0.72727272727272729</v>
      </c>
      <c r="CN53" s="683">
        <f>AX53-AU53</f>
        <v>-2</v>
      </c>
      <c r="CO53" s="672">
        <f>CN53/AU53</f>
        <v>-1</v>
      </c>
      <c r="CP53" s="683">
        <f>AY53-AX53</f>
        <v>2</v>
      </c>
      <c r="CQ53" s="481">
        <v>-1</v>
      </c>
      <c r="CR53" s="683">
        <f>AZ53-AY53</f>
        <v>-2</v>
      </c>
      <c r="CS53" s="672">
        <f>CR53/AY53</f>
        <v>-1</v>
      </c>
      <c r="CT53" s="683">
        <f>BA53-AZ53</f>
        <v>2</v>
      </c>
      <c r="CU53" s="481">
        <v>1</v>
      </c>
      <c r="CV53" s="683">
        <f>BB53-BA53</f>
        <v>-2</v>
      </c>
      <c r="CW53" s="672">
        <f>CV53/BA53</f>
        <v>-1</v>
      </c>
      <c r="CX53" s="683">
        <f>BC53-BB53</f>
        <v>0</v>
      </c>
      <c r="CY53" s="626">
        <v>0</v>
      </c>
      <c r="CZ53" s="683">
        <f>BD53-BC53</f>
        <v>0</v>
      </c>
      <c r="DA53" s="788">
        <v>0</v>
      </c>
      <c r="DB53" s="683">
        <f>BE53-BD53</f>
        <v>1</v>
      </c>
      <c r="DC53" s="672">
        <v>1</v>
      </c>
      <c r="DD53" s="683">
        <f>BF53-BE53</f>
        <v>0</v>
      </c>
      <c r="DE53" s="672">
        <f>DD53/BE53</f>
        <v>0</v>
      </c>
      <c r="DF53" s="683">
        <f>BG53-BF53</f>
        <v>2</v>
      </c>
      <c r="DG53" s="109">
        <f>DF53/BF53</f>
        <v>2</v>
      </c>
      <c r="DH53" s="683">
        <f>BH53-BG53</f>
        <v>-3</v>
      </c>
      <c r="DI53" s="672">
        <f>DH53/BG53</f>
        <v>-1</v>
      </c>
      <c r="DJ53" s="683">
        <f>BI53-BH53</f>
        <v>0</v>
      </c>
      <c r="DK53" s="672">
        <v>0</v>
      </c>
      <c r="DL53" s="683">
        <f>BL53-BI53</f>
        <v>1</v>
      </c>
      <c r="DM53" s="672" t="e">
        <f>DL53/BI53</f>
        <v>#DIV/0!</v>
      </c>
      <c r="DN53" s="332">
        <f>BM53-BL53</f>
        <v>0</v>
      </c>
      <c r="DO53" s="410">
        <f>DN53/BL53</f>
        <v>0</v>
      </c>
      <c r="DP53" s="332">
        <f>BN53-BM53</f>
        <v>0</v>
      </c>
      <c r="DQ53" s="410">
        <f>DP53/BM53</f>
        <v>0</v>
      </c>
      <c r="DR53" s="332">
        <f>BO53-BN53</f>
        <v>0</v>
      </c>
      <c r="DS53" s="410">
        <f>DR53/BN53</f>
        <v>0</v>
      </c>
      <c r="DT53" s="332">
        <f>BP53-BO53</f>
        <v>0</v>
      </c>
      <c r="DU53" s="410">
        <f>DT53/BO53</f>
        <v>0</v>
      </c>
      <c r="DV53" s="332">
        <f t="shared" si="656"/>
        <v>0</v>
      </c>
      <c r="DW53" s="410">
        <f>DV53/BP53</f>
        <v>0</v>
      </c>
      <c r="DX53" s="332">
        <f t="shared" si="657"/>
        <v>0</v>
      </c>
      <c r="DY53" s="410">
        <f>DX53/BQ53</f>
        <v>0</v>
      </c>
      <c r="DZ53" s="332">
        <f t="shared" si="658"/>
        <v>-1</v>
      </c>
      <c r="EA53" s="410">
        <f>DZ53/BR53</f>
        <v>-1</v>
      </c>
      <c r="EB53" s="332">
        <f t="shared" si="659"/>
        <v>1</v>
      </c>
      <c r="EC53" s="410">
        <v>1</v>
      </c>
      <c r="ED53" s="332">
        <f t="shared" si="660"/>
        <v>0</v>
      </c>
      <c r="EE53" s="410">
        <f t="shared" si="661"/>
        <v>0</v>
      </c>
      <c r="EF53" s="332">
        <f t="shared" si="662"/>
        <v>0</v>
      </c>
      <c r="EG53" s="410">
        <f t="shared" si="663"/>
        <v>0</v>
      </c>
      <c r="EH53" s="332">
        <f t="shared" si="664"/>
        <v>0</v>
      </c>
      <c r="EI53" s="410">
        <f t="shared" si="665"/>
        <v>0</v>
      </c>
      <c r="EJ53" s="332">
        <f t="shared" si="666"/>
        <v>-1</v>
      </c>
      <c r="EK53" s="410">
        <f t="shared" si="667"/>
        <v>-1</v>
      </c>
      <c r="EL53" s="332">
        <f t="shared" si="668"/>
        <v>0</v>
      </c>
      <c r="EM53" s="410">
        <v>0</v>
      </c>
      <c r="EN53" s="332">
        <f t="shared" si="670"/>
        <v>2</v>
      </c>
      <c r="EO53" s="410">
        <v>1</v>
      </c>
      <c r="EP53" s="332">
        <f t="shared" si="672"/>
        <v>-1</v>
      </c>
      <c r="EQ53" s="410">
        <f t="shared" si="673"/>
        <v>-0.5</v>
      </c>
      <c r="ER53" s="332">
        <f t="shared" si="674"/>
        <v>-1</v>
      </c>
      <c r="ES53" s="410">
        <f t="shared" si="675"/>
        <v>-1</v>
      </c>
      <c r="ET53" s="332">
        <f t="shared" si="676"/>
        <v>1</v>
      </c>
      <c r="EU53" s="410">
        <v>0</v>
      </c>
      <c r="EV53" s="332">
        <f t="shared" si="678"/>
        <v>0</v>
      </c>
      <c r="EW53" s="410">
        <f t="shared" si="679"/>
        <v>0</v>
      </c>
      <c r="EX53" s="332">
        <f t="shared" si="680"/>
        <v>0</v>
      </c>
      <c r="EY53" s="410">
        <f t="shared" si="681"/>
        <v>0</v>
      </c>
      <c r="EZ53" s="332">
        <f t="shared" si="682"/>
        <v>0</v>
      </c>
      <c r="FA53" s="410">
        <f t="shared" si="683"/>
        <v>0</v>
      </c>
      <c r="FB53" s="332">
        <f t="shared" si="684"/>
        <v>0</v>
      </c>
      <c r="FC53" s="410">
        <f t="shared" si="685"/>
        <v>0</v>
      </c>
      <c r="FD53" s="332">
        <f t="shared" si="686"/>
        <v>-1</v>
      </c>
      <c r="FE53" s="410">
        <f t="shared" si="687"/>
        <v>-1</v>
      </c>
      <c r="FF53" s="332">
        <f t="shared" si="688"/>
        <v>0</v>
      </c>
      <c r="FG53" s="410" t="e">
        <f t="shared" si="689"/>
        <v>#DIV/0!</v>
      </c>
      <c r="FH53" s="921">
        <f t="shared" si="690"/>
        <v>1</v>
      </c>
      <c r="FI53" s="922">
        <f t="shared" si="691"/>
        <v>0</v>
      </c>
      <c r="FJ53" s="122">
        <f t="shared" si="692"/>
        <v>-1</v>
      </c>
      <c r="FK53" s="109">
        <f t="shared" si="693"/>
        <v>-1</v>
      </c>
      <c r="FL53" s="707"/>
      <c r="FM53" s="707"/>
      <c r="FN53" s="707"/>
      <c r="FO53" t="str">
        <f>E53</f>
        <v>Benefits</v>
      </c>
      <c r="FP53" s="270" t="e">
        <f>#REF!</f>
        <v>#REF!</v>
      </c>
      <c r="FQ53" s="270" t="e">
        <f>#REF!</f>
        <v>#REF!</v>
      </c>
      <c r="FR53" s="270" t="e">
        <f>#REF!</f>
        <v>#REF!</v>
      </c>
      <c r="FS53" s="270" t="e">
        <f>#REF!</f>
        <v>#REF!</v>
      </c>
      <c r="FT53" s="270" t="e">
        <f>#REF!</f>
        <v>#REF!</v>
      </c>
      <c r="FU53" s="270" t="e">
        <f>#REF!</f>
        <v>#REF!</v>
      </c>
      <c r="FV53" s="270" t="e">
        <f>#REF!</f>
        <v>#REF!</v>
      </c>
      <c r="FW53" s="270" t="e">
        <f>#REF!</f>
        <v>#REF!</v>
      </c>
      <c r="FX53" s="270" t="e">
        <f>#REF!</f>
        <v>#REF!</v>
      </c>
      <c r="FY53" s="270" t="e">
        <f>#REF!</f>
        <v>#REF!</v>
      </c>
      <c r="FZ53" s="270" t="e">
        <f>#REF!</f>
        <v>#REF!</v>
      </c>
      <c r="GA53" s="271">
        <f t="shared" si="694"/>
        <v>1</v>
      </c>
      <c r="GB53" s="271">
        <f t="shared" si="694"/>
        <v>1</v>
      </c>
      <c r="GC53" s="271">
        <f t="shared" si="694"/>
        <v>1</v>
      </c>
      <c r="GD53" s="271">
        <f t="shared" si="694"/>
        <v>1</v>
      </c>
      <c r="GE53" s="271">
        <f t="shared" si="694"/>
        <v>1</v>
      </c>
      <c r="GF53" s="271">
        <f t="shared" si="694"/>
        <v>1</v>
      </c>
      <c r="GG53" s="271">
        <f t="shared" si="694"/>
        <v>1</v>
      </c>
      <c r="GH53" s="271">
        <f t="shared" si="694"/>
        <v>1</v>
      </c>
      <c r="GI53" s="271">
        <f t="shared" si="694"/>
        <v>1</v>
      </c>
      <c r="GJ53" s="271">
        <f t="shared" si="694"/>
        <v>0</v>
      </c>
      <c r="GK53" s="271">
        <f t="shared" si="694"/>
        <v>2</v>
      </c>
      <c r="GL53" s="271">
        <f t="shared" si="694"/>
        <v>2</v>
      </c>
      <c r="GM53" s="271">
        <f t="shared" si="695"/>
        <v>0</v>
      </c>
      <c r="GN53" s="271">
        <f t="shared" si="695"/>
        <v>2</v>
      </c>
      <c r="GO53" s="271">
        <f t="shared" si="695"/>
        <v>0</v>
      </c>
      <c r="GP53" s="271">
        <f t="shared" si="695"/>
        <v>2</v>
      </c>
      <c r="GQ53" s="271">
        <f t="shared" si="695"/>
        <v>0</v>
      </c>
      <c r="GR53" s="271">
        <f t="shared" si="695"/>
        <v>0</v>
      </c>
      <c r="GS53" s="271">
        <f t="shared" si="695"/>
        <v>0</v>
      </c>
      <c r="GT53" s="271">
        <f t="shared" si="695"/>
        <v>1</v>
      </c>
      <c r="GU53" s="271">
        <f t="shared" si="695"/>
        <v>1</v>
      </c>
      <c r="GV53" s="271">
        <f t="shared" si="695"/>
        <v>3</v>
      </c>
      <c r="GW53" s="271">
        <f t="shared" si="695"/>
        <v>0</v>
      </c>
      <c r="GX53" s="271">
        <f t="shared" si="695"/>
        <v>0</v>
      </c>
      <c r="GY53" s="826">
        <f t="shared" si="696"/>
        <v>1</v>
      </c>
      <c r="GZ53" s="826">
        <f t="shared" si="696"/>
        <v>1</v>
      </c>
      <c r="HA53" s="826">
        <f t="shared" si="696"/>
        <v>1</v>
      </c>
      <c r="HB53" s="826">
        <f t="shared" si="696"/>
        <v>1</v>
      </c>
      <c r="HC53" s="826">
        <f t="shared" si="696"/>
        <v>1</v>
      </c>
      <c r="HD53" s="826">
        <f t="shared" si="696"/>
        <v>1</v>
      </c>
      <c r="HE53" s="826">
        <f t="shared" si="696"/>
        <v>1</v>
      </c>
      <c r="HF53" s="826">
        <f t="shared" si="696"/>
        <v>0</v>
      </c>
      <c r="HG53" s="826">
        <f t="shared" si="696"/>
        <v>1</v>
      </c>
      <c r="HH53" s="826">
        <f t="shared" si="696"/>
        <v>1</v>
      </c>
      <c r="HI53" s="826">
        <f t="shared" si="696"/>
        <v>1</v>
      </c>
      <c r="HJ53" s="826">
        <f t="shared" si="696"/>
        <v>1</v>
      </c>
      <c r="HK53" s="954">
        <f>BZ53</f>
        <v>0</v>
      </c>
      <c r="HL53" s="954">
        <f t="shared" si="697"/>
        <v>0</v>
      </c>
      <c r="HM53" s="954">
        <f t="shared" si="697"/>
        <v>2</v>
      </c>
      <c r="HN53" s="954">
        <f t="shared" si="697"/>
        <v>1</v>
      </c>
      <c r="HO53" s="954">
        <f t="shared" si="697"/>
        <v>0</v>
      </c>
      <c r="HP53" s="954">
        <f t="shared" si="697"/>
        <v>1</v>
      </c>
      <c r="HQ53" s="954">
        <f t="shared" si="697"/>
        <v>1</v>
      </c>
      <c r="HR53" s="954">
        <f t="shared" si="697"/>
        <v>1</v>
      </c>
      <c r="HS53" s="954">
        <f t="shared" si="697"/>
        <v>1</v>
      </c>
      <c r="HT53" s="954">
        <f t="shared" si="697"/>
        <v>1</v>
      </c>
      <c r="HU53" s="954">
        <f t="shared" si="697"/>
        <v>0</v>
      </c>
      <c r="HV53" s="954">
        <f t="shared" si="697"/>
        <v>0</v>
      </c>
    </row>
    <row r="54" spans="1:230" x14ac:dyDescent="0.25">
      <c r="A54" s="802"/>
      <c r="B54" s="56">
        <v>8.3000000000000007</v>
      </c>
      <c r="C54" s="7"/>
      <c r="D54" s="119"/>
      <c r="E54" s="1037" t="s">
        <v>7</v>
      </c>
      <c r="F54" s="1037"/>
      <c r="G54" s="1038"/>
      <c r="H54" s="376">
        <v>0</v>
      </c>
      <c r="I54" s="70">
        <v>2</v>
      </c>
      <c r="J54" s="23">
        <v>0</v>
      </c>
      <c r="K54" s="70">
        <v>1</v>
      </c>
      <c r="L54" s="23">
        <v>0</v>
      </c>
      <c r="M54" s="70">
        <v>2</v>
      </c>
      <c r="N54" s="23">
        <v>0</v>
      </c>
      <c r="O54" s="70">
        <v>1</v>
      </c>
      <c r="P54" s="23">
        <v>1</v>
      </c>
      <c r="Q54" s="70">
        <v>1</v>
      </c>
      <c r="R54" s="23">
        <v>1</v>
      </c>
      <c r="S54" s="70">
        <v>1</v>
      </c>
      <c r="T54" s="130">
        <v>10</v>
      </c>
      <c r="U54" s="163">
        <v>0.83333333333333337</v>
      </c>
      <c r="V54" s="376">
        <v>1</v>
      </c>
      <c r="W54" s="70">
        <v>1</v>
      </c>
      <c r="X54" s="23">
        <v>1</v>
      </c>
      <c r="Y54" s="70">
        <v>1</v>
      </c>
      <c r="Z54" s="23">
        <v>0</v>
      </c>
      <c r="AA54" s="70">
        <v>1</v>
      </c>
      <c r="AB54" s="23">
        <v>1</v>
      </c>
      <c r="AC54" s="70">
        <v>0</v>
      </c>
      <c r="AD54" s="23">
        <v>1</v>
      </c>
      <c r="AE54" s="70">
        <v>1</v>
      </c>
      <c r="AF54" s="23">
        <v>2</v>
      </c>
      <c r="AG54" s="70">
        <v>9</v>
      </c>
      <c r="AH54" s="130">
        <v>19</v>
      </c>
      <c r="AI54" s="163">
        <v>1.5833333333333333</v>
      </c>
      <c r="AJ54" s="376">
        <v>1</v>
      </c>
      <c r="AK54" s="70">
        <v>1</v>
      </c>
      <c r="AL54" s="23">
        <v>0</v>
      </c>
      <c r="AM54" s="70">
        <v>1</v>
      </c>
      <c r="AN54" s="23">
        <v>2</v>
      </c>
      <c r="AO54" s="70">
        <v>0</v>
      </c>
      <c r="AP54" s="634">
        <v>4</v>
      </c>
      <c r="AQ54" s="70">
        <v>3</v>
      </c>
      <c r="AR54" s="634">
        <v>1</v>
      </c>
      <c r="AS54" s="70">
        <v>2</v>
      </c>
      <c r="AT54" s="634">
        <v>1</v>
      </c>
      <c r="AU54" s="70">
        <v>0</v>
      </c>
      <c r="AV54" s="130">
        <f t="shared" si="634"/>
        <v>16</v>
      </c>
      <c r="AW54" s="163">
        <f t="shared" si="635"/>
        <v>1.3333333333333333</v>
      </c>
      <c r="AX54" s="376">
        <v>1</v>
      </c>
      <c r="AY54" s="70">
        <v>4</v>
      </c>
      <c r="AZ54" s="23">
        <v>2</v>
      </c>
      <c r="BA54" s="70">
        <v>1</v>
      </c>
      <c r="BB54" s="23">
        <v>0</v>
      </c>
      <c r="BC54" s="70">
        <v>1</v>
      </c>
      <c r="BD54" s="634">
        <v>2</v>
      </c>
      <c r="BE54" s="70">
        <v>2</v>
      </c>
      <c r="BF54" s="634">
        <v>2</v>
      </c>
      <c r="BG54" s="70">
        <v>1</v>
      </c>
      <c r="BH54" s="634">
        <v>0</v>
      </c>
      <c r="BI54" s="70">
        <v>1</v>
      </c>
      <c r="BJ54" s="130">
        <f t="shared" si="638"/>
        <v>17</v>
      </c>
      <c r="BK54" s="163">
        <f t="shared" si="639"/>
        <v>1.4166666666666667</v>
      </c>
      <c r="BL54" s="376">
        <v>2</v>
      </c>
      <c r="BM54" s="70">
        <v>2</v>
      </c>
      <c r="BN54" s="23">
        <v>1</v>
      </c>
      <c r="BO54" s="70">
        <v>1</v>
      </c>
      <c r="BP54" s="23">
        <v>1</v>
      </c>
      <c r="BQ54" s="70">
        <v>1</v>
      </c>
      <c r="BR54" s="634">
        <v>1</v>
      </c>
      <c r="BS54" s="70">
        <v>1</v>
      </c>
      <c r="BT54" s="634">
        <v>1</v>
      </c>
      <c r="BU54" s="634">
        <v>2</v>
      </c>
      <c r="BV54" s="634">
        <v>1</v>
      </c>
      <c r="BW54" s="634">
        <v>0</v>
      </c>
      <c r="BX54" s="130">
        <f t="shared" si="646"/>
        <v>14</v>
      </c>
      <c r="BY54" s="163">
        <f t="shared" si="647"/>
        <v>1.1666666666666667</v>
      </c>
      <c r="BZ54" s="634">
        <v>1</v>
      </c>
      <c r="CA54" s="70">
        <v>1</v>
      </c>
      <c r="CB54" s="23">
        <v>1</v>
      </c>
      <c r="CC54" s="70">
        <v>1</v>
      </c>
      <c r="CD54" s="23">
        <v>0</v>
      </c>
      <c r="CE54" s="1025">
        <v>1</v>
      </c>
      <c r="CF54" s="1027">
        <v>0</v>
      </c>
      <c r="CG54" s="1025">
        <v>0</v>
      </c>
      <c r="CH54" s="1027">
        <v>1</v>
      </c>
      <c r="CI54" s="1027">
        <v>0</v>
      </c>
      <c r="CJ54" s="1027">
        <v>0</v>
      </c>
      <c r="CK54" s="1027"/>
      <c r="CL54" s="1028">
        <f t="shared" si="654"/>
        <v>6</v>
      </c>
      <c r="CM54" s="163">
        <f t="shared" si="655"/>
        <v>0.54545454545454541</v>
      </c>
      <c r="CN54" s="683">
        <f>AX54-AU54</f>
        <v>1</v>
      </c>
      <c r="CO54" s="788">
        <v>1</v>
      </c>
      <c r="CP54" s="683">
        <f>AY54-AX54</f>
        <v>3</v>
      </c>
      <c r="CQ54" s="672">
        <f>CP54/AX54</f>
        <v>3</v>
      </c>
      <c r="CR54" s="683">
        <f>AZ54-AY54</f>
        <v>-2</v>
      </c>
      <c r="CS54" s="672">
        <f>CR54/AY54</f>
        <v>-0.5</v>
      </c>
      <c r="CT54" s="683">
        <f>BA54-AZ54</f>
        <v>-1</v>
      </c>
      <c r="CU54" s="672">
        <f>CT54/AZ54</f>
        <v>-0.5</v>
      </c>
      <c r="CV54" s="683">
        <f>BB54-BA54</f>
        <v>-1</v>
      </c>
      <c r="CW54" s="672">
        <f>CV54/BA54</f>
        <v>-1</v>
      </c>
      <c r="CX54" s="683">
        <f>BC54-BB54</f>
        <v>1</v>
      </c>
      <c r="CY54" s="626">
        <v>0</v>
      </c>
      <c r="CZ54" s="683">
        <f>BD54-BC54</f>
        <v>1</v>
      </c>
      <c r="DA54" s="672">
        <f>CZ54/BC54</f>
        <v>1</v>
      </c>
      <c r="DB54" s="683">
        <f>BE54-BD54</f>
        <v>0</v>
      </c>
      <c r="DC54" s="672">
        <f>DB54/BD54</f>
        <v>0</v>
      </c>
      <c r="DD54" s="683">
        <f>BF54-BE54</f>
        <v>0</v>
      </c>
      <c r="DE54" s="672">
        <f>DD54/BE54</f>
        <v>0</v>
      </c>
      <c r="DF54" s="683">
        <f>BG54-BF54</f>
        <v>-1</v>
      </c>
      <c r="DG54" s="109">
        <f>DF54/BF54</f>
        <v>-0.5</v>
      </c>
      <c r="DH54" s="683">
        <f>BH54-BG54</f>
        <v>-1</v>
      </c>
      <c r="DI54" s="672">
        <f>DH54/BG54</f>
        <v>-1</v>
      </c>
      <c r="DJ54" s="683">
        <f>BI54-BH54</f>
        <v>1</v>
      </c>
      <c r="DK54" s="672">
        <v>1</v>
      </c>
      <c r="DL54" s="683">
        <f>BL54-BI54</f>
        <v>1</v>
      </c>
      <c r="DM54" s="672">
        <f>DL54/BI54</f>
        <v>1</v>
      </c>
      <c r="DN54" s="332">
        <f>BM54-BL54</f>
        <v>0</v>
      </c>
      <c r="DO54" s="410">
        <f>DN54/BL54</f>
        <v>0</v>
      </c>
      <c r="DP54" s="332">
        <f>BN54-BM54</f>
        <v>-1</v>
      </c>
      <c r="DQ54" s="410">
        <f>DP54/BM54</f>
        <v>-0.5</v>
      </c>
      <c r="DR54" s="332">
        <f>BO54-BN54</f>
        <v>0</v>
      </c>
      <c r="DS54" s="410">
        <f>DR54/BN54</f>
        <v>0</v>
      </c>
      <c r="DT54" s="332">
        <f>BP54-BO54</f>
        <v>0</v>
      </c>
      <c r="DU54" s="410">
        <f>DT54/BO54</f>
        <v>0</v>
      </c>
      <c r="DV54" s="332">
        <f t="shared" si="656"/>
        <v>0</v>
      </c>
      <c r="DW54" s="410">
        <f>DV54/BP54</f>
        <v>0</v>
      </c>
      <c r="DX54" s="332">
        <f t="shared" si="657"/>
        <v>0</v>
      </c>
      <c r="DY54" s="410">
        <f>DX54/BQ54</f>
        <v>0</v>
      </c>
      <c r="DZ54" s="332">
        <f t="shared" si="658"/>
        <v>0</v>
      </c>
      <c r="EA54" s="410">
        <f>DZ54/BR54</f>
        <v>0</v>
      </c>
      <c r="EB54" s="332">
        <f t="shared" si="659"/>
        <v>0</v>
      </c>
      <c r="EC54" s="410">
        <f>EB54/BS54</f>
        <v>0</v>
      </c>
      <c r="ED54" s="332">
        <f t="shared" si="660"/>
        <v>1</v>
      </c>
      <c r="EE54" s="410">
        <f t="shared" si="661"/>
        <v>1</v>
      </c>
      <c r="EF54" s="332">
        <f t="shared" si="662"/>
        <v>-1</v>
      </c>
      <c r="EG54" s="410">
        <f t="shared" si="663"/>
        <v>-0.5</v>
      </c>
      <c r="EH54" s="332">
        <f t="shared" si="664"/>
        <v>-1</v>
      </c>
      <c r="EI54" s="410">
        <f t="shared" si="665"/>
        <v>-1</v>
      </c>
      <c r="EJ54" s="332">
        <f t="shared" si="666"/>
        <v>1</v>
      </c>
      <c r="EK54" s="410">
        <v>0</v>
      </c>
      <c r="EL54" s="332">
        <f t="shared" si="668"/>
        <v>0</v>
      </c>
      <c r="EM54" s="410">
        <f t="shared" si="669"/>
        <v>0</v>
      </c>
      <c r="EN54" s="332">
        <f t="shared" si="670"/>
        <v>0</v>
      </c>
      <c r="EO54" s="410">
        <f t="shared" si="671"/>
        <v>0</v>
      </c>
      <c r="EP54" s="332">
        <f t="shared" si="672"/>
        <v>0</v>
      </c>
      <c r="EQ54" s="410">
        <f t="shared" si="673"/>
        <v>0</v>
      </c>
      <c r="ER54" s="332">
        <f t="shared" si="674"/>
        <v>-1</v>
      </c>
      <c r="ES54" s="410">
        <f t="shared" si="675"/>
        <v>-1</v>
      </c>
      <c r="ET54" s="332">
        <f t="shared" si="676"/>
        <v>1</v>
      </c>
      <c r="EU54" s="410">
        <v>0</v>
      </c>
      <c r="EV54" s="332">
        <f t="shared" si="678"/>
        <v>-1</v>
      </c>
      <c r="EW54" s="410">
        <f t="shared" si="679"/>
        <v>-1</v>
      </c>
      <c r="EX54" s="332">
        <f t="shared" si="680"/>
        <v>0</v>
      </c>
      <c r="EY54" s="410">
        <v>0</v>
      </c>
      <c r="EZ54" s="332">
        <f t="shared" si="682"/>
        <v>1</v>
      </c>
      <c r="FA54" s="410">
        <v>0</v>
      </c>
      <c r="FB54" s="332">
        <f t="shared" si="684"/>
        <v>-1</v>
      </c>
      <c r="FC54" s="410">
        <f t="shared" si="685"/>
        <v>-1</v>
      </c>
      <c r="FD54" s="332">
        <f t="shared" si="686"/>
        <v>0</v>
      </c>
      <c r="FE54" s="410">
        <v>0</v>
      </c>
      <c r="FF54" s="332">
        <f t="shared" si="688"/>
        <v>0</v>
      </c>
      <c r="FG54" s="410" t="e">
        <f t="shared" si="689"/>
        <v>#DIV/0!</v>
      </c>
      <c r="FH54" s="921">
        <f t="shared" si="690"/>
        <v>1</v>
      </c>
      <c r="FI54" s="923">
        <f t="shared" si="691"/>
        <v>0</v>
      </c>
      <c r="FJ54" s="122">
        <f t="shared" si="692"/>
        <v>-1</v>
      </c>
      <c r="FK54" s="109">
        <f t="shared" si="693"/>
        <v>-1</v>
      </c>
      <c r="FL54" s="707"/>
      <c r="FM54" s="707"/>
      <c r="FN54" s="707"/>
      <c r="FO54" t="str">
        <f>E54</f>
        <v xml:space="preserve">BI </v>
      </c>
      <c r="FP54" s="270" t="e">
        <f>#REF!</f>
        <v>#REF!</v>
      </c>
      <c r="FQ54" s="270" t="e">
        <f>#REF!</f>
        <v>#REF!</v>
      </c>
      <c r="FR54" s="270" t="e">
        <f>#REF!</f>
        <v>#REF!</v>
      </c>
      <c r="FS54" s="270" t="e">
        <f>#REF!</f>
        <v>#REF!</v>
      </c>
      <c r="FT54" s="270" t="e">
        <f>#REF!</f>
        <v>#REF!</v>
      </c>
      <c r="FU54" s="270" t="e">
        <f>#REF!</f>
        <v>#REF!</v>
      </c>
      <c r="FV54" s="270" t="e">
        <f>#REF!</f>
        <v>#REF!</v>
      </c>
      <c r="FW54" s="270" t="e">
        <f>#REF!</f>
        <v>#REF!</v>
      </c>
      <c r="FX54" s="270" t="e">
        <f>#REF!</f>
        <v>#REF!</v>
      </c>
      <c r="FY54" s="270" t="e">
        <f>#REF!</f>
        <v>#REF!</v>
      </c>
      <c r="FZ54" s="270" t="e">
        <f>#REF!</f>
        <v>#REF!</v>
      </c>
      <c r="GA54" s="271">
        <f t="shared" si="694"/>
        <v>1</v>
      </c>
      <c r="GB54" s="271">
        <f t="shared" si="694"/>
        <v>1</v>
      </c>
      <c r="GC54" s="271">
        <f t="shared" si="694"/>
        <v>0</v>
      </c>
      <c r="GD54" s="271">
        <f t="shared" si="694"/>
        <v>1</v>
      </c>
      <c r="GE54" s="271">
        <f t="shared" si="694"/>
        <v>2</v>
      </c>
      <c r="GF54" s="271">
        <f t="shared" si="694"/>
        <v>0</v>
      </c>
      <c r="GG54" s="271">
        <f t="shared" si="694"/>
        <v>4</v>
      </c>
      <c r="GH54" s="271">
        <f t="shared" si="694"/>
        <v>3</v>
      </c>
      <c r="GI54" s="271">
        <f t="shared" si="694"/>
        <v>1</v>
      </c>
      <c r="GJ54" s="271">
        <f t="shared" si="694"/>
        <v>2</v>
      </c>
      <c r="GK54" s="271">
        <f t="shared" si="694"/>
        <v>1</v>
      </c>
      <c r="GL54" s="271">
        <f t="shared" si="694"/>
        <v>0</v>
      </c>
      <c r="GM54" s="271">
        <f t="shared" si="695"/>
        <v>1</v>
      </c>
      <c r="GN54" s="271">
        <f t="shared" si="695"/>
        <v>4</v>
      </c>
      <c r="GO54" s="271">
        <f t="shared" si="695"/>
        <v>2</v>
      </c>
      <c r="GP54" s="271">
        <f t="shared" si="695"/>
        <v>1</v>
      </c>
      <c r="GQ54" s="271">
        <f t="shared" si="695"/>
        <v>0</v>
      </c>
      <c r="GR54" s="271">
        <f t="shared" si="695"/>
        <v>1</v>
      </c>
      <c r="GS54" s="271">
        <f t="shared" si="695"/>
        <v>2</v>
      </c>
      <c r="GT54" s="271">
        <f t="shared" si="695"/>
        <v>2</v>
      </c>
      <c r="GU54" s="271">
        <f t="shared" si="695"/>
        <v>2</v>
      </c>
      <c r="GV54" s="271">
        <f t="shared" si="695"/>
        <v>1</v>
      </c>
      <c r="GW54" s="271">
        <f t="shared" si="695"/>
        <v>0</v>
      </c>
      <c r="GX54" s="271">
        <f t="shared" si="695"/>
        <v>1</v>
      </c>
      <c r="GY54" s="826">
        <f t="shared" si="696"/>
        <v>2</v>
      </c>
      <c r="GZ54" s="826">
        <f t="shared" si="696"/>
        <v>2</v>
      </c>
      <c r="HA54" s="826">
        <f t="shared" si="696"/>
        <v>1</v>
      </c>
      <c r="HB54" s="826">
        <f t="shared" si="696"/>
        <v>1</v>
      </c>
      <c r="HC54" s="826">
        <f t="shared" si="696"/>
        <v>1</v>
      </c>
      <c r="HD54" s="826">
        <f t="shared" si="696"/>
        <v>1</v>
      </c>
      <c r="HE54" s="826">
        <f t="shared" si="696"/>
        <v>1</v>
      </c>
      <c r="HF54" s="826">
        <f t="shared" si="696"/>
        <v>1</v>
      </c>
      <c r="HG54" s="826">
        <f t="shared" si="696"/>
        <v>1</v>
      </c>
      <c r="HH54" s="826">
        <f t="shared" si="696"/>
        <v>2</v>
      </c>
      <c r="HI54" s="826">
        <f t="shared" si="696"/>
        <v>1</v>
      </c>
      <c r="HJ54" s="826">
        <f t="shared" si="696"/>
        <v>0</v>
      </c>
      <c r="HK54" s="954">
        <f>BZ54</f>
        <v>1</v>
      </c>
      <c r="HL54" s="954">
        <f t="shared" si="697"/>
        <v>1</v>
      </c>
      <c r="HM54" s="954">
        <f t="shared" si="697"/>
        <v>1</v>
      </c>
      <c r="HN54" s="954">
        <f t="shared" si="697"/>
        <v>1</v>
      </c>
      <c r="HO54" s="954">
        <f t="shared" si="697"/>
        <v>0</v>
      </c>
      <c r="HP54" s="954">
        <f t="shared" si="697"/>
        <v>1</v>
      </c>
      <c r="HQ54" s="954">
        <f t="shared" si="697"/>
        <v>0</v>
      </c>
      <c r="HR54" s="954">
        <f t="shared" si="697"/>
        <v>0</v>
      </c>
      <c r="HS54" s="954">
        <f t="shared" si="697"/>
        <v>1</v>
      </c>
      <c r="HT54" s="954">
        <f t="shared" si="697"/>
        <v>0</v>
      </c>
      <c r="HU54" s="954">
        <f t="shared" si="697"/>
        <v>0</v>
      </c>
      <c r="HV54" s="954">
        <f t="shared" si="697"/>
        <v>0</v>
      </c>
    </row>
    <row r="55" spans="1:230" x14ac:dyDescent="0.25">
      <c r="A55" s="802"/>
      <c r="B55" s="56">
        <v>8.4</v>
      </c>
      <c r="C55" s="7"/>
      <c r="D55" s="119"/>
      <c r="E55" s="1037" t="s">
        <v>249</v>
      </c>
      <c r="F55" s="1037"/>
      <c r="G55" s="1038"/>
      <c r="H55" s="376"/>
      <c r="I55" s="70"/>
      <c r="J55" s="23"/>
      <c r="K55" s="70"/>
      <c r="L55" s="23"/>
      <c r="M55" s="70"/>
      <c r="N55" s="23"/>
      <c r="O55" s="70"/>
      <c r="P55" s="23"/>
      <c r="Q55" s="70"/>
      <c r="R55" s="23"/>
      <c r="S55" s="70"/>
      <c r="T55" s="130"/>
      <c r="U55" s="163"/>
      <c r="V55" s="376"/>
      <c r="W55" s="70"/>
      <c r="X55" s="23"/>
      <c r="Y55" s="70"/>
      <c r="Z55" s="23"/>
      <c r="AA55" s="70"/>
      <c r="AB55" s="23"/>
      <c r="AC55" s="70"/>
      <c r="AD55" s="23"/>
      <c r="AE55" s="70"/>
      <c r="AF55" s="23"/>
      <c r="AG55" s="70"/>
      <c r="AH55" s="130"/>
      <c r="AI55" s="163"/>
      <c r="AJ55" s="376"/>
      <c r="AK55" s="70"/>
      <c r="AL55" s="23"/>
      <c r="AM55" s="70"/>
      <c r="AN55" s="23"/>
      <c r="AO55" s="70"/>
      <c r="AP55" s="634"/>
      <c r="AQ55" s="70"/>
      <c r="AR55" s="634"/>
      <c r="AS55" s="70"/>
      <c r="AT55" s="634"/>
      <c r="AU55" s="70"/>
      <c r="AV55" s="130"/>
      <c r="AW55" s="163"/>
      <c r="AX55" s="376"/>
      <c r="AY55" s="70"/>
      <c r="AZ55" s="23"/>
      <c r="BA55" s="70"/>
      <c r="BB55" s="23"/>
      <c r="BC55" s="70"/>
      <c r="BD55" s="634"/>
      <c r="BE55" s="70"/>
      <c r="BF55" s="634"/>
      <c r="BG55" s="70"/>
      <c r="BH55" s="634"/>
      <c r="BI55" s="70"/>
      <c r="BJ55" s="130">
        <v>0</v>
      </c>
      <c r="BK55" s="163">
        <v>0</v>
      </c>
      <c r="BL55" s="376"/>
      <c r="BM55" s="70"/>
      <c r="BN55" s="23"/>
      <c r="BO55" s="70"/>
      <c r="BP55" s="23">
        <v>0</v>
      </c>
      <c r="BQ55" s="70">
        <v>3</v>
      </c>
      <c r="BR55" s="634">
        <v>0</v>
      </c>
      <c r="BS55" s="70">
        <v>0</v>
      </c>
      <c r="BT55" s="634">
        <v>1</v>
      </c>
      <c r="BU55" s="634">
        <v>11</v>
      </c>
      <c r="BV55" s="634">
        <v>16</v>
      </c>
      <c r="BW55" s="634">
        <v>16</v>
      </c>
      <c r="BX55" s="130">
        <f t="shared" ref="BX55:BX56" si="698">SUM(BL55:BW55)</f>
        <v>47</v>
      </c>
      <c r="BY55" s="163">
        <f t="shared" ref="BY55:BY56" si="699">SUM(BL55:BW55)/$BX$4</f>
        <v>3.9166666666666665</v>
      </c>
      <c r="BZ55" s="634">
        <v>4</v>
      </c>
      <c r="CA55" s="70">
        <v>6</v>
      </c>
      <c r="CB55" s="23">
        <v>2</v>
      </c>
      <c r="CC55" s="70">
        <v>3</v>
      </c>
      <c r="CD55" s="23">
        <v>1</v>
      </c>
      <c r="CE55" s="1025">
        <v>2</v>
      </c>
      <c r="CF55" s="1027">
        <v>2</v>
      </c>
      <c r="CG55" s="1025">
        <v>2</v>
      </c>
      <c r="CH55" s="1027">
        <v>2</v>
      </c>
      <c r="CI55" s="1027">
        <v>2</v>
      </c>
      <c r="CJ55" s="1027">
        <v>3</v>
      </c>
      <c r="CK55" s="1027"/>
      <c r="CL55" s="1028">
        <f t="shared" si="654"/>
        <v>29</v>
      </c>
      <c r="CM55" s="163">
        <f t="shared" si="655"/>
        <v>2.6363636363636362</v>
      </c>
      <c r="CN55" s="683"/>
      <c r="CO55" s="788"/>
      <c r="CP55" s="683"/>
      <c r="CQ55" s="672"/>
      <c r="CR55" s="683"/>
      <c r="CS55" s="672"/>
      <c r="CT55" s="683"/>
      <c r="CU55" s="672"/>
      <c r="CV55" s="683"/>
      <c r="CW55" s="672"/>
      <c r="CX55" s="683"/>
      <c r="CY55" s="626"/>
      <c r="CZ55" s="683"/>
      <c r="DA55" s="672"/>
      <c r="DB55" s="683"/>
      <c r="DC55" s="672"/>
      <c r="DD55" s="683"/>
      <c r="DE55" s="672"/>
      <c r="DF55" s="683"/>
      <c r="DG55" s="109"/>
      <c r="DH55" s="683"/>
      <c r="DI55" s="672"/>
      <c r="DJ55" s="683"/>
      <c r="DK55" s="672"/>
      <c r="DL55" s="683"/>
      <c r="DM55" s="672"/>
      <c r="DN55" s="332"/>
      <c r="DO55" s="410"/>
      <c r="DP55" s="332"/>
      <c r="DQ55" s="410"/>
      <c r="DR55" s="332"/>
      <c r="DS55" s="410"/>
      <c r="DT55" s="332"/>
      <c r="DU55" s="410"/>
      <c r="DV55" s="332">
        <f t="shared" si="656"/>
        <v>3</v>
      </c>
      <c r="DW55" s="410">
        <v>1</v>
      </c>
      <c r="DX55" s="332">
        <f t="shared" si="657"/>
        <v>-3</v>
      </c>
      <c r="DY55" s="410">
        <f>DX55/BQ55</f>
        <v>-1</v>
      </c>
      <c r="DZ55" s="332">
        <f t="shared" si="658"/>
        <v>0</v>
      </c>
      <c r="EA55" s="410">
        <v>0</v>
      </c>
      <c r="EB55" s="332">
        <f t="shared" si="659"/>
        <v>1</v>
      </c>
      <c r="EC55" s="410">
        <v>1</v>
      </c>
      <c r="ED55" s="332">
        <f t="shared" si="660"/>
        <v>10</v>
      </c>
      <c r="EE55" s="410">
        <f t="shared" si="661"/>
        <v>10</v>
      </c>
      <c r="EF55" s="332">
        <f t="shared" si="662"/>
        <v>5</v>
      </c>
      <c r="EG55" s="410">
        <f t="shared" si="663"/>
        <v>0.45454545454545453</v>
      </c>
      <c r="EH55" s="332">
        <f t="shared" si="664"/>
        <v>0</v>
      </c>
      <c r="EI55" s="410">
        <f t="shared" si="665"/>
        <v>0</v>
      </c>
      <c r="EJ55" s="332">
        <f t="shared" si="666"/>
        <v>-12</v>
      </c>
      <c r="EK55" s="410">
        <f t="shared" si="667"/>
        <v>-0.75</v>
      </c>
      <c r="EL55" s="332">
        <f t="shared" si="668"/>
        <v>2</v>
      </c>
      <c r="EM55" s="410">
        <f t="shared" si="669"/>
        <v>0.5</v>
      </c>
      <c r="EN55" s="332">
        <f t="shared" si="670"/>
        <v>-4</v>
      </c>
      <c r="EO55" s="410">
        <f t="shared" si="671"/>
        <v>-0.66666666666666663</v>
      </c>
      <c r="EP55" s="332">
        <f t="shared" si="672"/>
        <v>1</v>
      </c>
      <c r="EQ55" s="410">
        <f t="shared" si="673"/>
        <v>0.5</v>
      </c>
      <c r="ER55" s="332">
        <f t="shared" si="674"/>
        <v>-2</v>
      </c>
      <c r="ES55" s="410">
        <f t="shared" si="675"/>
        <v>-0.66666666666666663</v>
      </c>
      <c r="ET55" s="332">
        <f t="shared" si="676"/>
        <v>1</v>
      </c>
      <c r="EU55" s="410">
        <f t="shared" si="677"/>
        <v>1</v>
      </c>
      <c r="EV55" s="332">
        <f t="shared" si="678"/>
        <v>0</v>
      </c>
      <c r="EW55" s="410">
        <f t="shared" si="679"/>
        <v>0</v>
      </c>
      <c r="EX55" s="332">
        <f t="shared" si="680"/>
        <v>0</v>
      </c>
      <c r="EY55" s="410">
        <f t="shared" si="681"/>
        <v>0</v>
      </c>
      <c r="EZ55" s="332">
        <f t="shared" si="682"/>
        <v>0</v>
      </c>
      <c r="FA55" s="410">
        <f t="shared" si="683"/>
        <v>0</v>
      </c>
      <c r="FB55" s="332">
        <f t="shared" si="684"/>
        <v>0</v>
      </c>
      <c r="FC55" s="410">
        <f t="shared" si="685"/>
        <v>0</v>
      </c>
      <c r="FD55" s="332">
        <f t="shared" si="686"/>
        <v>1</v>
      </c>
      <c r="FE55" s="410">
        <f t="shared" si="687"/>
        <v>0.5</v>
      </c>
      <c r="FF55" s="332">
        <f t="shared" si="688"/>
        <v>-3</v>
      </c>
      <c r="FG55" s="410">
        <f t="shared" si="689"/>
        <v>-1</v>
      </c>
      <c r="FH55" s="921">
        <f t="shared" si="690"/>
        <v>16</v>
      </c>
      <c r="FI55" s="923">
        <f t="shared" si="691"/>
        <v>3</v>
      </c>
      <c r="FJ55" s="122">
        <f t="shared" ref="FJ55" si="700">FI55-FH55</f>
        <v>-13</v>
      </c>
      <c r="FK55" s="1024">
        <f t="shared" si="693"/>
        <v>-0.8125</v>
      </c>
      <c r="FL55" s="707"/>
      <c r="FM55" s="707"/>
      <c r="FN55" s="707"/>
      <c r="FO55" t="str">
        <f>E55</f>
        <v>Bus Objects</v>
      </c>
      <c r="FP55" s="270" t="e">
        <f>#REF!</f>
        <v>#REF!</v>
      </c>
      <c r="FQ55" s="270" t="e">
        <f>#REF!</f>
        <v>#REF!</v>
      </c>
      <c r="FR55" s="270" t="e">
        <f>#REF!</f>
        <v>#REF!</v>
      </c>
      <c r="FS55" s="270" t="e">
        <f>#REF!</f>
        <v>#REF!</v>
      </c>
      <c r="FT55" s="270" t="e">
        <f>#REF!</f>
        <v>#REF!</v>
      </c>
      <c r="FU55" s="270" t="e">
        <f>#REF!</f>
        <v>#REF!</v>
      </c>
      <c r="FV55" s="270" t="e">
        <f>#REF!</f>
        <v>#REF!</v>
      </c>
      <c r="FW55" s="270" t="e">
        <f>#REF!</f>
        <v>#REF!</v>
      </c>
      <c r="FX55" s="270" t="e">
        <f>#REF!</f>
        <v>#REF!</v>
      </c>
      <c r="FY55" s="270" t="e">
        <f>#REF!</f>
        <v>#REF!</v>
      </c>
      <c r="FZ55" s="270" t="e">
        <f>#REF!</f>
        <v>#REF!</v>
      </c>
      <c r="GA55" s="271">
        <f t="shared" si="694"/>
        <v>0</v>
      </c>
      <c r="GB55" s="271">
        <f t="shared" si="694"/>
        <v>0</v>
      </c>
      <c r="GC55" s="271">
        <f t="shared" si="694"/>
        <v>0</v>
      </c>
      <c r="GD55" s="271">
        <f t="shared" si="694"/>
        <v>0</v>
      </c>
      <c r="GE55" s="271">
        <f t="shared" si="694"/>
        <v>0</v>
      </c>
      <c r="GF55" s="271">
        <f t="shared" si="694"/>
        <v>0</v>
      </c>
      <c r="GG55" s="271">
        <f t="shared" si="694"/>
        <v>0</v>
      </c>
      <c r="GH55" s="271">
        <f t="shared" si="694"/>
        <v>0</v>
      </c>
      <c r="GI55" s="271">
        <f t="shared" si="694"/>
        <v>0</v>
      </c>
      <c r="GJ55" s="271">
        <f t="shared" si="694"/>
        <v>0</v>
      </c>
      <c r="GK55" s="271">
        <f t="shared" si="694"/>
        <v>0</v>
      </c>
      <c r="GL55" s="271">
        <f t="shared" si="694"/>
        <v>0</v>
      </c>
      <c r="GM55" s="271">
        <f t="shared" si="695"/>
        <v>0</v>
      </c>
      <c r="GN55" s="271">
        <f t="shared" si="695"/>
        <v>0</v>
      </c>
      <c r="GO55" s="271">
        <f t="shared" si="695"/>
        <v>0</v>
      </c>
      <c r="GP55" s="271">
        <f t="shared" si="695"/>
        <v>0</v>
      </c>
      <c r="GQ55" s="271">
        <f t="shared" si="695"/>
        <v>0</v>
      </c>
      <c r="GR55" s="271">
        <f t="shared" si="695"/>
        <v>0</v>
      </c>
      <c r="GS55" s="271">
        <f t="shared" si="695"/>
        <v>0</v>
      </c>
      <c r="GT55" s="271">
        <f t="shared" si="695"/>
        <v>0</v>
      </c>
      <c r="GU55" s="271">
        <f t="shared" si="695"/>
        <v>0</v>
      </c>
      <c r="GV55" s="271">
        <f t="shared" si="695"/>
        <v>0</v>
      </c>
      <c r="GW55" s="271">
        <f t="shared" si="695"/>
        <v>0</v>
      </c>
      <c r="GX55" s="271">
        <f t="shared" si="695"/>
        <v>0</v>
      </c>
      <c r="GY55" s="826">
        <f t="shared" si="696"/>
        <v>0</v>
      </c>
      <c r="GZ55" s="826">
        <f t="shared" si="696"/>
        <v>0</v>
      </c>
      <c r="HA55" s="826">
        <f t="shared" si="696"/>
        <v>0</v>
      </c>
      <c r="HB55" s="826">
        <f t="shared" si="696"/>
        <v>0</v>
      </c>
      <c r="HC55" s="826">
        <f t="shared" si="696"/>
        <v>0</v>
      </c>
      <c r="HD55" s="826">
        <f t="shared" si="696"/>
        <v>3</v>
      </c>
      <c r="HE55" s="826">
        <f t="shared" si="696"/>
        <v>0</v>
      </c>
      <c r="HF55" s="826">
        <f t="shared" si="696"/>
        <v>0</v>
      </c>
      <c r="HG55" s="826">
        <f t="shared" si="696"/>
        <v>1</v>
      </c>
      <c r="HH55" s="826">
        <f t="shared" si="696"/>
        <v>11</v>
      </c>
      <c r="HI55" s="826">
        <f t="shared" si="696"/>
        <v>16</v>
      </c>
      <c r="HJ55" s="826">
        <f t="shared" si="696"/>
        <v>16</v>
      </c>
      <c r="HK55" s="954">
        <f>BZ55</f>
        <v>4</v>
      </c>
      <c r="HL55" s="954">
        <f t="shared" si="697"/>
        <v>6</v>
      </c>
      <c r="HM55" s="954">
        <f t="shared" si="697"/>
        <v>2</v>
      </c>
      <c r="HN55" s="954">
        <f t="shared" si="697"/>
        <v>3</v>
      </c>
      <c r="HO55" s="954">
        <f t="shared" si="697"/>
        <v>1</v>
      </c>
      <c r="HP55" s="954">
        <f t="shared" si="697"/>
        <v>2</v>
      </c>
      <c r="HQ55" s="954">
        <f t="shared" si="697"/>
        <v>2</v>
      </c>
      <c r="HR55" s="954">
        <f t="shared" si="697"/>
        <v>2</v>
      </c>
      <c r="HS55" s="954">
        <f t="shared" si="697"/>
        <v>2</v>
      </c>
      <c r="HT55" s="954">
        <f t="shared" si="697"/>
        <v>2</v>
      </c>
      <c r="HU55" s="954">
        <f t="shared" si="697"/>
        <v>3</v>
      </c>
      <c r="HV55" s="954">
        <f t="shared" si="697"/>
        <v>0</v>
      </c>
    </row>
    <row r="56" spans="1:230" x14ac:dyDescent="0.25">
      <c r="A56" s="802"/>
      <c r="B56" s="56">
        <v>8.5</v>
      </c>
      <c r="C56" s="7"/>
      <c r="D56" s="119"/>
      <c r="E56" s="1037" t="s">
        <v>248</v>
      </c>
      <c r="F56" s="1037"/>
      <c r="G56" s="1038"/>
      <c r="H56" s="376"/>
      <c r="I56" s="70"/>
      <c r="J56" s="23"/>
      <c r="K56" s="70"/>
      <c r="L56" s="23"/>
      <c r="M56" s="70"/>
      <c r="N56" s="23"/>
      <c r="O56" s="70"/>
      <c r="P56" s="23"/>
      <c r="Q56" s="70"/>
      <c r="R56" s="23"/>
      <c r="S56" s="70"/>
      <c r="T56" s="130"/>
      <c r="U56" s="163"/>
      <c r="V56" s="376"/>
      <c r="W56" s="70"/>
      <c r="X56" s="23"/>
      <c r="Y56" s="70"/>
      <c r="Z56" s="23"/>
      <c r="AA56" s="70"/>
      <c r="AB56" s="23"/>
      <c r="AC56" s="70"/>
      <c r="AD56" s="23"/>
      <c r="AE56" s="70"/>
      <c r="AF56" s="23"/>
      <c r="AG56" s="70"/>
      <c r="AH56" s="130"/>
      <c r="AI56" s="163"/>
      <c r="AJ56" s="376"/>
      <c r="AK56" s="70"/>
      <c r="AL56" s="23"/>
      <c r="AM56" s="70"/>
      <c r="AN56" s="23"/>
      <c r="AO56" s="70"/>
      <c r="AP56" s="634"/>
      <c r="AQ56" s="70"/>
      <c r="AR56" s="634"/>
      <c r="AS56" s="70"/>
      <c r="AT56" s="634"/>
      <c r="AU56" s="70"/>
      <c r="AV56" s="130"/>
      <c r="AW56" s="163"/>
      <c r="AX56" s="376"/>
      <c r="AY56" s="70"/>
      <c r="AZ56" s="23"/>
      <c r="BA56" s="70"/>
      <c r="BB56" s="23"/>
      <c r="BC56" s="70"/>
      <c r="BD56" s="634"/>
      <c r="BE56" s="70"/>
      <c r="BF56" s="634"/>
      <c r="BG56" s="70"/>
      <c r="BH56" s="634"/>
      <c r="BI56" s="70"/>
      <c r="BJ56" s="130">
        <v>0</v>
      </c>
      <c r="BK56" s="163">
        <v>0</v>
      </c>
      <c r="BL56" s="376"/>
      <c r="BM56" s="70"/>
      <c r="BN56" s="23"/>
      <c r="BO56" s="70">
        <v>0</v>
      </c>
      <c r="BP56" s="23">
        <v>3</v>
      </c>
      <c r="BQ56" s="70">
        <v>0</v>
      </c>
      <c r="BR56" s="634">
        <v>0</v>
      </c>
      <c r="BS56" s="70">
        <v>1</v>
      </c>
      <c r="BT56" s="634">
        <v>0</v>
      </c>
      <c r="BU56" s="634">
        <v>1</v>
      </c>
      <c r="BV56" s="634">
        <v>0</v>
      </c>
      <c r="BW56" s="634">
        <v>0</v>
      </c>
      <c r="BX56" s="130">
        <f t="shared" si="698"/>
        <v>5</v>
      </c>
      <c r="BY56" s="163">
        <f t="shared" si="699"/>
        <v>0.41666666666666669</v>
      </c>
      <c r="BZ56" s="634">
        <v>0</v>
      </c>
      <c r="CA56" s="70">
        <v>0</v>
      </c>
      <c r="CB56" s="23">
        <v>0</v>
      </c>
      <c r="CC56" s="1025">
        <v>0</v>
      </c>
      <c r="CD56" s="23">
        <v>1</v>
      </c>
      <c r="CE56" s="1025">
        <v>0</v>
      </c>
      <c r="CF56" s="1027">
        <v>0</v>
      </c>
      <c r="CG56" s="1025">
        <v>1</v>
      </c>
      <c r="CH56" s="1027">
        <v>1</v>
      </c>
      <c r="CI56" s="1027">
        <v>0</v>
      </c>
      <c r="CJ56" s="1027">
        <v>0</v>
      </c>
      <c r="CK56" s="1027"/>
      <c r="CL56" s="1028">
        <f t="shared" si="654"/>
        <v>3</v>
      </c>
      <c r="CM56" s="163">
        <f t="shared" si="655"/>
        <v>0.27272727272727271</v>
      </c>
      <c r="CN56" s="683">
        <f t="shared" ref="CN56:CN64" si="701">AX56-AU56</f>
        <v>0</v>
      </c>
      <c r="CO56" s="788">
        <v>2</v>
      </c>
      <c r="CP56" s="683">
        <f t="shared" ref="CP56:CP64" si="702">AY56-AX56</f>
        <v>0</v>
      </c>
      <c r="CQ56" s="672" t="e">
        <f t="shared" ref="CQ56:CQ61" si="703">CP56/AX56</f>
        <v>#DIV/0!</v>
      </c>
      <c r="CR56" s="683">
        <f t="shared" ref="CR56:CR64" si="704">AZ56-AY56</f>
        <v>0</v>
      </c>
      <c r="CS56" s="672" t="e">
        <f t="shared" ref="CS56:CS64" si="705">CR56/AY56</f>
        <v>#DIV/0!</v>
      </c>
      <c r="CT56" s="683">
        <f t="shared" ref="CT56:CT64" si="706">BA56-AZ56</f>
        <v>0</v>
      </c>
      <c r="CU56" s="672" t="e">
        <f t="shared" ref="CU56:CU64" si="707">CT56/AZ56</f>
        <v>#DIV/0!</v>
      </c>
      <c r="CV56" s="683">
        <f t="shared" ref="CV56:CV64" si="708">BB56-BA56</f>
        <v>0</v>
      </c>
      <c r="CW56" s="672" t="e">
        <f>CV56/BA56</f>
        <v>#DIV/0!</v>
      </c>
      <c r="CX56" s="683">
        <f t="shared" ref="CX56:CX64" si="709">BC56-BB56</f>
        <v>0</v>
      </c>
      <c r="CY56" s="626">
        <v>1</v>
      </c>
      <c r="CZ56" s="683">
        <f t="shared" ref="CZ56:CZ64" si="710">BD56-BC56</f>
        <v>0</v>
      </c>
      <c r="DA56" s="672" t="e">
        <f>CZ56/BC56</f>
        <v>#DIV/0!</v>
      </c>
      <c r="DB56" s="683">
        <f t="shared" ref="DB56:DB64" si="711">BE56-BD56</f>
        <v>0</v>
      </c>
      <c r="DC56" s="672" t="e">
        <f>DB56/BD56</f>
        <v>#DIV/0!</v>
      </c>
      <c r="DD56" s="683">
        <f t="shared" ref="DD56:DD64" si="712">BF56-BE56</f>
        <v>0</v>
      </c>
      <c r="DE56" s="672" t="e">
        <f t="shared" ref="DE56:DE64" si="713">DD56/BE56</f>
        <v>#DIV/0!</v>
      </c>
      <c r="DF56" s="683">
        <f t="shared" ref="DF56:DF64" si="714">BG56-BF56</f>
        <v>0</v>
      </c>
      <c r="DG56" s="109" t="e">
        <f t="shared" ref="DG56:DG64" si="715">DF56/BF56</f>
        <v>#DIV/0!</v>
      </c>
      <c r="DH56" s="683">
        <f t="shared" ref="DH56:DH64" si="716">BH56-BG56</f>
        <v>0</v>
      </c>
      <c r="DI56" s="672" t="e">
        <f t="shared" ref="DI56:DI64" si="717">DH56/BG56</f>
        <v>#DIV/0!</v>
      </c>
      <c r="DJ56" s="683">
        <f t="shared" ref="DJ56:DJ64" si="718">BI56-BH56</f>
        <v>0</v>
      </c>
      <c r="DK56" s="672">
        <v>2</v>
      </c>
      <c r="DL56" s="683">
        <f t="shared" ref="DL56:DL64" si="719">BL56-BI56</f>
        <v>0</v>
      </c>
      <c r="DM56" s="672" t="e">
        <f t="shared" ref="DM56:DM64" si="720">DL56/BI56</f>
        <v>#DIV/0!</v>
      </c>
      <c r="DN56" s="332">
        <f t="shared" ref="DN56:DN64" si="721">BM56-BL56</f>
        <v>0</v>
      </c>
      <c r="DO56" s="410" t="e">
        <f t="shared" ref="DO56:DO64" si="722">DN56/BL56</f>
        <v>#DIV/0!</v>
      </c>
      <c r="DP56" s="332">
        <f t="shared" ref="DP56:DP64" si="723">BN56-BM56</f>
        <v>0</v>
      </c>
      <c r="DQ56" s="410" t="e">
        <f t="shared" ref="DQ56:DQ64" si="724">DP56/BM56</f>
        <v>#DIV/0!</v>
      </c>
      <c r="DR56" s="332">
        <f t="shared" ref="DR56:DR64" si="725">BO56-BN56</f>
        <v>0</v>
      </c>
      <c r="DS56" s="410" t="e">
        <f t="shared" ref="DS56:DS64" si="726">DR56/BN56</f>
        <v>#DIV/0!</v>
      </c>
      <c r="DT56" s="332">
        <f t="shared" ref="DT56:DT64" si="727">BP56-BO56</f>
        <v>3</v>
      </c>
      <c r="DU56" s="410">
        <v>1</v>
      </c>
      <c r="DV56" s="332">
        <f t="shared" si="656"/>
        <v>-3</v>
      </c>
      <c r="DW56" s="410">
        <f t="shared" ref="DW56:DW64" si="728">DV56/BP56</f>
        <v>-1</v>
      </c>
      <c r="DX56" s="332">
        <f t="shared" si="657"/>
        <v>0</v>
      </c>
      <c r="DY56" s="410">
        <v>0</v>
      </c>
      <c r="DZ56" s="332">
        <f t="shared" si="658"/>
        <v>1</v>
      </c>
      <c r="EA56" s="410">
        <v>1</v>
      </c>
      <c r="EB56" s="332">
        <f t="shared" si="659"/>
        <v>-1</v>
      </c>
      <c r="EC56" s="410">
        <f t="shared" ref="EC56:EC64" si="729">EB56/BS56</f>
        <v>-1</v>
      </c>
      <c r="ED56" s="332">
        <f t="shared" si="660"/>
        <v>1</v>
      </c>
      <c r="EE56" s="932">
        <v>1</v>
      </c>
      <c r="EF56" s="332">
        <f t="shared" si="662"/>
        <v>-1</v>
      </c>
      <c r="EG56" s="410">
        <f t="shared" si="663"/>
        <v>-1</v>
      </c>
      <c r="EH56" s="332">
        <f t="shared" si="664"/>
        <v>0</v>
      </c>
      <c r="EI56" s="410">
        <v>0</v>
      </c>
      <c r="EJ56" s="332">
        <f t="shared" si="666"/>
        <v>0</v>
      </c>
      <c r="EK56" s="410">
        <v>0</v>
      </c>
      <c r="EL56" s="332">
        <f t="shared" si="668"/>
        <v>0</v>
      </c>
      <c r="EM56" s="410">
        <v>0</v>
      </c>
      <c r="EN56" s="332">
        <f t="shared" si="670"/>
        <v>0</v>
      </c>
      <c r="EO56" s="410">
        <v>1</v>
      </c>
      <c r="EP56" s="332">
        <f t="shared" si="672"/>
        <v>0</v>
      </c>
      <c r="EQ56" s="410">
        <v>0</v>
      </c>
      <c r="ER56" s="332">
        <f t="shared" si="674"/>
        <v>1</v>
      </c>
      <c r="ES56" s="410">
        <v>1</v>
      </c>
      <c r="ET56" s="332">
        <f t="shared" si="676"/>
        <v>-1</v>
      </c>
      <c r="EU56" s="410">
        <f t="shared" si="677"/>
        <v>-1</v>
      </c>
      <c r="EV56" s="332">
        <f t="shared" si="678"/>
        <v>0</v>
      </c>
      <c r="EW56" s="410">
        <v>0</v>
      </c>
      <c r="EX56" s="332">
        <f t="shared" si="680"/>
        <v>1</v>
      </c>
      <c r="EY56" s="410">
        <v>0</v>
      </c>
      <c r="EZ56" s="332">
        <f t="shared" si="682"/>
        <v>0</v>
      </c>
      <c r="FA56" s="410">
        <f t="shared" si="683"/>
        <v>0</v>
      </c>
      <c r="FB56" s="332">
        <f t="shared" si="684"/>
        <v>-1</v>
      </c>
      <c r="FC56" s="410">
        <f t="shared" si="685"/>
        <v>-1</v>
      </c>
      <c r="FD56" s="332">
        <f t="shared" si="686"/>
        <v>0</v>
      </c>
      <c r="FE56" s="410">
        <v>0</v>
      </c>
      <c r="FF56" s="332">
        <f t="shared" si="688"/>
        <v>0</v>
      </c>
      <c r="FG56" s="410" t="e">
        <f t="shared" si="689"/>
        <v>#DIV/0!</v>
      </c>
      <c r="FH56" s="921">
        <f t="shared" si="690"/>
        <v>0</v>
      </c>
      <c r="FI56" s="923">
        <f t="shared" si="691"/>
        <v>0</v>
      </c>
      <c r="FJ56" s="122">
        <f t="shared" ref="FJ56" si="730">FI56-FH56</f>
        <v>0</v>
      </c>
      <c r="FK56" s="1024">
        <f t="shared" si="693"/>
        <v>0</v>
      </c>
      <c r="FL56" s="707"/>
      <c r="FM56" s="707"/>
      <c r="FN56" s="707"/>
      <c r="FO56" t="str">
        <f>E56</f>
        <v>Finance</v>
      </c>
      <c r="FP56" s="270"/>
      <c r="FQ56" s="270"/>
      <c r="FR56" s="270"/>
      <c r="FS56" s="270"/>
      <c r="FT56" s="270"/>
      <c r="FU56" s="270"/>
      <c r="FV56" s="270"/>
      <c r="FW56" s="270"/>
      <c r="FX56" s="270"/>
      <c r="FY56" s="270"/>
      <c r="FZ56" s="270"/>
      <c r="GA56" s="271"/>
      <c r="GB56" s="271"/>
      <c r="GC56" s="271"/>
      <c r="GD56" s="271"/>
      <c r="GE56" s="271"/>
      <c r="GF56" s="271"/>
      <c r="GG56" s="271"/>
      <c r="GH56" s="271"/>
      <c r="GI56" s="271"/>
      <c r="GJ56" s="271"/>
      <c r="GK56" s="271"/>
      <c r="GL56" s="271"/>
      <c r="GM56" s="271"/>
      <c r="GN56" s="271"/>
      <c r="GO56" s="271"/>
      <c r="GP56" s="271"/>
      <c r="GQ56" s="271"/>
      <c r="GR56" s="271"/>
      <c r="GS56" s="271"/>
      <c r="GT56" s="271"/>
      <c r="GU56" s="271"/>
      <c r="GV56" s="271"/>
      <c r="GW56" s="271"/>
      <c r="GX56" s="271"/>
      <c r="GY56" s="826"/>
      <c r="GZ56" s="826"/>
      <c r="HA56" s="826"/>
      <c r="HB56" s="826"/>
      <c r="HC56" s="826"/>
      <c r="HD56" s="826">
        <f t="shared" ref="HD56:HD64" si="731">BQ56</f>
        <v>0</v>
      </c>
      <c r="HE56" s="826">
        <f t="shared" ref="HE56:HE64" si="732">BR56</f>
        <v>0</v>
      </c>
      <c r="HF56" s="826">
        <f t="shared" ref="HF56:HF64" si="733">BS56</f>
        <v>1</v>
      </c>
      <c r="HG56" s="826">
        <f t="shared" ref="HG56:HG64" si="734">BT56</f>
        <v>0</v>
      </c>
      <c r="HH56" s="826"/>
      <c r="HI56" s="826">
        <f t="shared" si="696"/>
        <v>0</v>
      </c>
      <c r="HJ56" s="826"/>
      <c r="HK56" s="954">
        <f>BZ56</f>
        <v>0</v>
      </c>
      <c r="HL56" s="954">
        <f t="shared" si="697"/>
        <v>0</v>
      </c>
      <c r="HM56" s="954">
        <f t="shared" si="697"/>
        <v>0</v>
      </c>
      <c r="HN56" s="954">
        <f t="shared" si="697"/>
        <v>0</v>
      </c>
      <c r="HO56" s="954">
        <f t="shared" si="697"/>
        <v>1</v>
      </c>
      <c r="HP56" s="954">
        <f t="shared" si="697"/>
        <v>0</v>
      </c>
      <c r="HQ56" s="954">
        <f t="shared" si="697"/>
        <v>0</v>
      </c>
      <c r="HR56" s="954"/>
      <c r="HS56" s="954"/>
      <c r="HT56" s="954"/>
      <c r="HU56" s="954">
        <f t="shared" si="697"/>
        <v>0</v>
      </c>
      <c r="HV56" s="954"/>
    </row>
    <row r="57" spans="1:230" x14ac:dyDescent="0.25">
      <c r="A57" s="802"/>
      <c r="B57" s="56">
        <v>8.6</v>
      </c>
      <c r="C57" s="7"/>
      <c r="D57" s="119"/>
      <c r="E57" s="1037" t="s">
        <v>8</v>
      </c>
      <c r="F57" s="1037"/>
      <c r="G57" s="1038"/>
      <c r="H57" s="376">
        <v>6</v>
      </c>
      <c r="I57" s="70">
        <v>5</v>
      </c>
      <c r="J57" s="23">
        <v>5</v>
      </c>
      <c r="K57" s="70">
        <v>5</v>
      </c>
      <c r="L57" s="23">
        <v>9</v>
      </c>
      <c r="M57" s="70">
        <v>5</v>
      </c>
      <c r="N57" s="23">
        <v>4</v>
      </c>
      <c r="O57" s="70">
        <v>5</v>
      </c>
      <c r="P57" s="23">
        <v>3</v>
      </c>
      <c r="Q57" s="70">
        <v>4</v>
      </c>
      <c r="R57" s="23">
        <v>2</v>
      </c>
      <c r="S57" s="70">
        <v>4</v>
      </c>
      <c r="T57" s="130">
        <v>57</v>
      </c>
      <c r="U57" s="163">
        <v>4.75</v>
      </c>
      <c r="V57" s="376">
        <v>0</v>
      </c>
      <c r="W57" s="70">
        <v>3</v>
      </c>
      <c r="X57" s="23">
        <v>3</v>
      </c>
      <c r="Y57" s="70">
        <v>5</v>
      </c>
      <c r="Z57" s="23">
        <v>3</v>
      </c>
      <c r="AA57" s="70">
        <v>2</v>
      </c>
      <c r="AB57" s="23">
        <v>5</v>
      </c>
      <c r="AC57" s="70">
        <v>2</v>
      </c>
      <c r="AD57" s="23">
        <v>7</v>
      </c>
      <c r="AE57" s="70">
        <v>4</v>
      </c>
      <c r="AF57" s="23">
        <v>5</v>
      </c>
      <c r="AG57" s="70">
        <v>18</v>
      </c>
      <c r="AH57" s="130">
        <v>57</v>
      </c>
      <c r="AI57" s="163">
        <v>4.75</v>
      </c>
      <c r="AJ57" s="376">
        <v>8</v>
      </c>
      <c r="AK57" s="70">
        <v>3</v>
      </c>
      <c r="AL57" s="23">
        <v>5</v>
      </c>
      <c r="AM57" s="70">
        <v>9</v>
      </c>
      <c r="AN57" s="23">
        <v>10</v>
      </c>
      <c r="AO57" s="70">
        <v>5</v>
      </c>
      <c r="AP57" s="634">
        <v>6</v>
      </c>
      <c r="AQ57" s="70">
        <v>7</v>
      </c>
      <c r="AR57" s="634">
        <v>6</v>
      </c>
      <c r="AS57" s="70">
        <v>9</v>
      </c>
      <c r="AT57" s="634">
        <v>6</v>
      </c>
      <c r="AU57" s="70">
        <v>2</v>
      </c>
      <c r="AV57" s="130">
        <f t="shared" si="634"/>
        <v>76</v>
      </c>
      <c r="AW57" s="163">
        <f t="shared" si="635"/>
        <v>6.333333333333333</v>
      </c>
      <c r="AX57" s="376">
        <v>5</v>
      </c>
      <c r="AY57" s="70">
        <v>7</v>
      </c>
      <c r="AZ57" s="23">
        <v>3</v>
      </c>
      <c r="BA57" s="70">
        <v>3</v>
      </c>
      <c r="BB57" s="23">
        <v>0</v>
      </c>
      <c r="BC57" s="70">
        <v>2</v>
      </c>
      <c r="BD57" s="634">
        <v>2</v>
      </c>
      <c r="BE57" s="70">
        <v>3</v>
      </c>
      <c r="BF57" s="634">
        <v>3</v>
      </c>
      <c r="BG57" s="70">
        <v>4</v>
      </c>
      <c r="BH57" s="634">
        <v>3</v>
      </c>
      <c r="BI57" s="70">
        <v>1</v>
      </c>
      <c r="BJ57" s="130">
        <f t="shared" si="638"/>
        <v>36</v>
      </c>
      <c r="BK57" s="163">
        <f t="shared" si="639"/>
        <v>3</v>
      </c>
      <c r="BL57" s="376">
        <v>2</v>
      </c>
      <c r="BM57" s="70">
        <v>4</v>
      </c>
      <c r="BN57" s="23">
        <v>2</v>
      </c>
      <c r="BO57" s="70">
        <v>2</v>
      </c>
      <c r="BP57" s="23">
        <v>2</v>
      </c>
      <c r="BQ57" s="70">
        <v>2</v>
      </c>
      <c r="BR57" s="634">
        <v>2</v>
      </c>
      <c r="BS57" s="70">
        <v>2</v>
      </c>
      <c r="BT57" s="634">
        <v>4</v>
      </c>
      <c r="BU57" s="634">
        <v>2</v>
      </c>
      <c r="BV57" s="634">
        <v>4</v>
      </c>
      <c r="BW57" s="634">
        <v>0</v>
      </c>
      <c r="BX57" s="130">
        <f t="shared" si="646"/>
        <v>28</v>
      </c>
      <c r="BY57" s="163">
        <f t="shared" si="647"/>
        <v>2.3333333333333335</v>
      </c>
      <c r="BZ57" s="634">
        <v>2</v>
      </c>
      <c r="CA57" s="70">
        <v>3</v>
      </c>
      <c r="CB57" s="23">
        <v>3</v>
      </c>
      <c r="CC57" s="1025">
        <v>0</v>
      </c>
      <c r="CD57" s="23">
        <v>3</v>
      </c>
      <c r="CE57" s="1025">
        <v>1</v>
      </c>
      <c r="CF57" s="1027">
        <v>2</v>
      </c>
      <c r="CG57" s="1025">
        <v>3</v>
      </c>
      <c r="CH57" s="1027">
        <v>4</v>
      </c>
      <c r="CI57" s="1027">
        <v>1</v>
      </c>
      <c r="CJ57" s="1027">
        <v>3</v>
      </c>
      <c r="CK57" s="1027"/>
      <c r="CL57" s="1028">
        <f t="shared" si="654"/>
        <v>25</v>
      </c>
      <c r="CM57" s="163">
        <f t="shared" si="655"/>
        <v>2.2727272727272729</v>
      </c>
      <c r="CN57" s="683">
        <f t="shared" si="701"/>
        <v>3</v>
      </c>
      <c r="CO57" s="672">
        <f t="shared" ref="CO57:CO64" si="735">CN57/AU57</f>
        <v>1.5</v>
      </c>
      <c r="CP57" s="683">
        <f t="shared" si="702"/>
        <v>2</v>
      </c>
      <c r="CQ57" s="672">
        <f t="shared" si="703"/>
        <v>0.4</v>
      </c>
      <c r="CR57" s="683">
        <f t="shared" si="704"/>
        <v>-4</v>
      </c>
      <c r="CS57" s="672">
        <f t="shared" si="705"/>
        <v>-0.5714285714285714</v>
      </c>
      <c r="CT57" s="683">
        <f t="shared" si="706"/>
        <v>0</v>
      </c>
      <c r="CU57" s="672">
        <f t="shared" si="707"/>
        <v>0</v>
      </c>
      <c r="CV57" s="683">
        <f t="shared" si="708"/>
        <v>-3</v>
      </c>
      <c r="CW57" s="672">
        <f>CV57/BA57</f>
        <v>-1</v>
      </c>
      <c r="CX57" s="683">
        <f t="shared" si="709"/>
        <v>2</v>
      </c>
      <c r="CY57" s="626">
        <v>0</v>
      </c>
      <c r="CZ57" s="683">
        <f t="shared" si="710"/>
        <v>0</v>
      </c>
      <c r="DA57" s="672">
        <f>CZ57/BC57</f>
        <v>0</v>
      </c>
      <c r="DB57" s="683">
        <f t="shared" si="711"/>
        <v>1</v>
      </c>
      <c r="DC57" s="672">
        <f>DB57/BD57</f>
        <v>0.5</v>
      </c>
      <c r="DD57" s="683">
        <f t="shared" si="712"/>
        <v>0</v>
      </c>
      <c r="DE57" s="672">
        <f t="shared" si="713"/>
        <v>0</v>
      </c>
      <c r="DF57" s="683">
        <f t="shared" si="714"/>
        <v>1</v>
      </c>
      <c r="DG57" s="109">
        <f t="shared" si="715"/>
        <v>0.33333333333333331</v>
      </c>
      <c r="DH57" s="683">
        <f t="shared" si="716"/>
        <v>-1</v>
      </c>
      <c r="DI57" s="672">
        <f t="shared" si="717"/>
        <v>-0.25</v>
      </c>
      <c r="DJ57" s="683">
        <f t="shared" si="718"/>
        <v>-2</v>
      </c>
      <c r="DK57" s="672">
        <f>DJ57/BH57</f>
        <v>-0.66666666666666663</v>
      </c>
      <c r="DL57" s="683">
        <f t="shared" si="719"/>
        <v>1</v>
      </c>
      <c r="DM57" s="672">
        <f t="shared" si="720"/>
        <v>1</v>
      </c>
      <c r="DN57" s="332">
        <f t="shared" si="721"/>
        <v>2</v>
      </c>
      <c r="DO57" s="410">
        <f t="shared" si="722"/>
        <v>1</v>
      </c>
      <c r="DP57" s="332">
        <f t="shared" si="723"/>
        <v>-2</v>
      </c>
      <c r="DQ57" s="410">
        <f t="shared" si="724"/>
        <v>-0.5</v>
      </c>
      <c r="DR57" s="332">
        <f t="shared" si="725"/>
        <v>0</v>
      </c>
      <c r="DS57" s="410">
        <f t="shared" si="726"/>
        <v>0</v>
      </c>
      <c r="DT57" s="332">
        <f t="shared" si="727"/>
        <v>0</v>
      </c>
      <c r="DU57" s="410">
        <f t="shared" ref="DU57:DU64" si="736">DT57/BO57</f>
        <v>0</v>
      </c>
      <c r="DV57" s="332">
        <f t="shared" si="656"/>
        <v>0</v>
      </c>
      <c r="DW57" s="410">
        <f t="shared" si="728"/>
        <v>0</v>
      </c>
      <c r="DX57" s="332">
        <f t="shared" si="657"/>
        <v>0</v>
      </c>
      <c r="DY57" s="410">
        <f>DX57/BQ57</f>
        <v>0</v>
      </c>
      <c r="DZ57" s="332">
        <f t="shared" si="658"/>
        <v>0</v>
      </c>
      <c r="EA57" s="410">
        <f>DZ57/BR57</f>
        <v>0</v>
      </c>
      <c r="EB57" s="332">
        <f t="shared" si="659"/>
        <v>2</v>
      </c>
      <c r="EC57" s="410">
        <f t="shared" si="729"/>
        <v>1</v>
      </c>
      <c r="ED57" s="332">
        <f t="shared" si="660"/>
        <v>-2</v>
      </c>
      <c r="EE57" s="410">
        <f t="shared" si="661"/>
        <v>-0.5</v>
      </c>
      <c r="EF57" s="332">
        <f t="shared" si="662"/>
        <v>2</v>
      </c>
      <c r="EG57" s="410">
        <f t="shared" si="663"/>
        <v>1</v>
      </c>
      <c r="EH57" s="332">
        <f t="shared" si="664"/>
        <v>-4</v>
      </c>
      <c r="EI57" s="410">
        <f t="shared" si="665"/>
        <v>-1</v>
      </c>
      <c r="EJ57" s="332">
        <f t="shared" si="666"/>
        <v>2</v>
      </c>
      <c r="EK57" s="410">
        <v>0</v>
      </c>
      <c r="EL57" s="332">
        <f t="shared" si="668"/>
        <v>1</v>
      </c>
      <c r="EM57" s="410">
        <f t="shared" si="669"/>
        <v>0.5</v>
      </c>
      <c r="EN57" s="332">
        <f t="shared" si="670"/>
        <v>0</v>
      </c>
      <c r="EO57" s="410">
        <f t="shared" si="671"/>
        <v>0</v>
      </c>
      <c r="EP57" s="332">
        <f t="shared" si="672"/>
        <v>-3</v>
      </c>
      <c r="EQ57" s="410">
        <f t="shared" si="673"/>
        <v>-1</v>
      </c>
      <c r="ER57" s="332">
        <f t="shared" si="674"/>
        <v>3</v>
      </c>
      <c r="ES57" s="410">
        <v>1</v>
      </c>
      <c r="ET57" s="332">
        <f t="shared" si="676"/>
        <v>-2</v>
      </c>
      <c r="EU57" s="410">
        <f t="shared" si="677"/>
        <v>-0.66666666666666663</v>
      </c>
      <c r="EV57" s="332">
        <f t="shared" si="678"/>
        <v>1</v>
      </c>
      <c r="EW57" s="410">
        <f t="shared" si="679"/>
        <v>1</v>
      </c>
      <c r="EX57" s="332">
        <f t="shared" si="680"/>
        <v>1</v>
      </c>
      <c r="EY57" s="410">
        <f t="shared" si="681"/>
        <v>0.5</v>
      </c>
      <c r="EZ57" s="332">
        <f t="shared" si="682"/>
        <v>1</v>
      </c>
      <c r="FA57" s="410">
        <f t="shared" si="683"/>
        <v>0.33333333333333331</v>
      </c>
      <c r="FB57" s="332">
        <f t="shared" si="684"/>
        <v>-3</v>
      </c>
      <c r="FC57" s="410">
        <f t="shared" si="685"/>
        <v>-0.75</v>
      </c>
      <c r="FD57" s="332">
        <f t="shared" si="686"/>
        <v>2</v>
      </c>
      <c r="FE57" s="410">
        <f t="shared" si="687"/>
        <v>2</v>
      </c>
      <c r="FF57" s="332">
        <f t="shared" si="688"/>
        <v>-3</v>
      </c>
      <c r="FG57" s="410">
        <f t="shared" si="689"/>
        <v>-1</v>
      </c>
      <c r="FH57" s="921">
        <f t="shared" si="690"/>
        <v>4</v>
      </c>
      <c r="FI57" s="922">
        <f t="shared" si="691"/>
        <v>3</v>
      </c>
      <c r="FJ57" s="122">
        <f t="shared" si="692"/>
        <v>-1</v>
      </c>
      <c r="FK57" s="1024">
        <f t="shared" si="693"/>
        <v>-0.25</v>
      </c>
      <c r="FL57" s="707"/>
      <c r="FM57" s="707"/>
      <c r="FN57" s="707"/>
      <c r="FO57" t="str">
        <f t="shared" ref="FO57:FO64" si="737">E57</f>
        <v>Org Management</v>
      </c>
      <c r="FP57" s="270" t="e">
        <f>#REF!</f>
        <v>#REF!</v>
      </c>
      <c r="FQ57" s="270" t="e">
        <f>#REF!</f>
        <v>#REF!</v>
      </c>
      <c r="FR57" s="270" t="e">
        <f>#REF!</f>
        <v>#REF!</v>
      </c>
      <c r="FS57" s="270" t="e">
        <f>#REF!</f>
        <v>#REF!</v>
      </c>
      <c r="FT57" s="270" t="e">
        <f>#REF!</f>
        <v>#REF!</v>
      </c>
      <c r="FU57" s="270" t="e">
        <f>#REF!</f>
        <v>#REF!</v>
      </c>
      <c r="FV57" s="270" t="e">
        <f>#REF!</f>
        <v>#REF!</v>
      </c>
      <c r="FW57" s="270" t="e">
        <f>#REF!</f>
        <v>#REF!</v>
      </c>
      <c r="FX57" s="270" t="e">
        <f>#REF!</f>
        <v>#REF!</v>
      </c>
      <c r="FY57" s="270" t="e">
        <f>#REF!</f>
        <v>#REF!</v>
      </c>
      <c r="FZ57" s="270" t="e">
        <f>#REF!</f>
        <v>#REF!</v>
      </c>
      <c r="GA57" s="271">
        <f t="shared" ref="GA57:GL64" si="738">AJ57</f>
        <v>8</v>
      </c>
      <c r="GB57" s="271">
        <f t="shared" si="738"/>
        <v>3</v>
      </c>
      <c r="GC57" s="271">
        <f t="shared" si="738"/>
        <v>5</v>
      </c>
      <c r="GD57" s="271">
        <f t="shared" si="738"/>
        <v>9</v>
      </c>
      <c r="GE57" s="271">
        <f t="shared" si="738"/>
        <v>10</v>
      </c>
      <c r="GF57" s="271">
        <f t="shared" si="738"/>
        <v>5</v>
      </c>
      <c r="GG57" s="271">
        <f t="shared" si="738"/>
        <v>6</v>
      </c>
      <c r="GH57" s="271">
        <f t="shared" si="738"/>
        <v>7</v>
      </c>
      <c r="GI57" s="271">
        <f t="shared" si="738"/>
        <v>6</v>
      </c>
      <c r="GJ57" s="271">
        <f t="shared" si="738"/>
        <v>9</v>
      </c>
      <c r="GK57" s="271">
        <f t="shared" si="738"/>
        <v>6</v>
      </c>
      <c r="GL57" s="271">
        <f t="shared" si="738"/>
        <v>2</v>
      </c>
      <c r="GM57" s="271">
        <f t="shared" ref="GM57:GX64" si="739">AX57</f>
        <v>5</v>
      </c>
      <c r="GN57" s="271">
        <f t="shared" si="739"/>
        <v>7</v>
      </c>
      <c r="GO57" s="271">
        <f t="shared" si="739"/>
        <v>3</v>
      </c>
      <c r="GP57" s="271">
        <f t="shared" si="739"/>
        <v>3</v>
      </c>
      <c r="GQ57" s="271">
        <f t="shared" si="739"/>
        <v>0</v>
      </c>
      <c r="GR57" s="271">
        <f t="shared" si="739"/>
        <v>2</v>
      </c>
      <c r="GS57" s="271">
        <f t="shared" si="739"/>
        <v>2</v>
      </c>
      <c r="GT57" s="271">
        <f t="shared" si="739"/>
        <v>3</v>
      </c>
      <c r="GU57" s="271">
        <f t="shared" si="739"/>
        <v>3</v>
      </c>
      <c r="GV57" s="271">
        <f t="shared" si="739"/>
        <v>4</v>
      </c>
      <c r="GW57" s="271">
        <f t="shared" si="739"/>
        <v>3</v>
      </c>
      <c r="GX57" s="271">
        <f t="shared" si="739"/>
        <v>1</v>
      </c>
      <c r="GY57" s="826">
        <f t="shared" ref="GY57:HC64" si="740">BL57</f>
        <v>2</v>
      </c>
      <c r="GZ57" s="826">
        <f t="shared" si="740"/>
        <v>4</v>
      </c>
      <c r="HA57" s="826">
        <f t="shared" si="740"/>
        <v>2</v>
      </c>
      <c r="HB57" s="826">
        <f t="shared" si="740"/>
        <v>2</v>
      </c>
      <c r="HC57" s="826">
        <f t="shared" si="740"/>
        <v>2</v>
      </c>
      <c r="HD57" s="826">
        <f t="shared" si="731"/>
        <v>2</v>
      </c>
      <c r="HE57" s="826">
        <f t="shared" si="732"/>
        <v>2</v>
      </c>
      <c r="HF57" s="826">
        <f t="shared" si="733"/>
        <v>2</v>
      </c>
      <c r="HG57" s="826">
        <f t="shared" si="734"/>
        <v>4</v>
      </c>
      <c r="HH57" s="826">
        <f t="shared" ref="HH57:HJ64" si="741">BU57</f>
        <v>2</v>
      </c>
      <c r="HI57" s="826">
        <f t="shared" si="741"/>
        <v>4</v>
      </c>
      <c r="HJ57" s="826">
        <f t="shared" si="741"/>
        <v>0</v>
      </c>
      <c r="HK57" s="954">
        <f t="shared" ref="HK57:HK64" si="742">BZ57</f>
        <v>2</v>
      </c>
      <c r="HL57" s="954">
        <f t="shared" ref="HL57:HV64" si="743">CA57</f>
        <v>3</v>
      </c>
      <c r="HM57" s="954">
        <f t="shared" si="743"/>
        <v>3</v>
      </c>
      <c r="HN57" s="954">
        <f t="shared" si="743"/>
        <v>0</v>
      </c>
      <c r="HO57" s="954">
        <f t="shared" si="743"/>
        <v>3</v>
      </c>
      <c r="HP57" s="954">
        <f t="shared" si="743"/>
        <v>1</v>
      </c>
      <c r="HQ57" s="954">
        <f t="shared" si="743"/>
        <v>2</v>
      </c>
      <c r="HR57" s="954">
        <f t="shared" si="743"/>
        <v>3</v>
      </c>
      <c r="HS57" s="954">
        <f t="shared" si="743"/>
        <v>4</v>
      </c>
      <c r="HT57" s="954">
        <f t="shared" si="743"/>
        <v>1</v>
      </c>
      <c r="HU57" s="954">
        <f t="shared" si="743"/>
        <v>3</v>
      </c>
      <c r="HV57" s="954">
        <f t="shared" si="743"/>
        <v>0</v>
      </c>
    </row>
    <row r="58" spans="1:230" x14ac:dyDescent="0.25">
      <c r="A58" s="802"/>
      <c r="B58" s="56">
        <v>8.6999999999999993</v>
      </c>
      <c r="C58" s="7"/>
      <c r="D58" s="119"/>
      <c r="E58" s="1037" t="s">
        <v>28</v>
      </c>
      <c r="F58" s="1037"/>
      <c r="G58" s="1038"/>
      <c r="H58" s="376">
        <v>31</v>
      </c>
      <c r="I58" s="70">
        <v>23</v>
      </c>
      <c r="J58" s="23">
        <v>29</v>
      </c>
      <c r="K58" s="70">
        <v>35</v>
      </c>
      <c r="L58" s="23">
        <v>30</v>
      </c>
      <c r="M58" s="70">
        <v>17</v>
      </c>
      <c r="N58" s="23">
        <v>21</v>
      </c>
      <c r="O58" s="70">
        <v>27</v>
      </c>
      <c r="P58" s="23">
        <v>33</v>
      </c>
      <c r="Q58" s="70">
        <v>30</v>
      </c>
      <c r="R58" s="23">
        <v>20</v>
      </c>
      <c r="S58" s="70">
        <v>21</v>
      </c>
      <c r="T58" s="130">
        <v>317</v>
      </c>
      <c r="U58" s="163">
        <v>26.416666666666668</v>
      </c>
      <c r="V58" s="376">
        <v>15</v>
      </c>
      <c r="W58" s="70">
        <v>26</v>
      </c>
      <c r="X58" s="23">
        <v>18</v>
      </c>
      <c r="Y58" s="70">
        <v>20</v>
      </c>
      <c r="Z58" s="23">
        <v>15</v>
      </c>
      <c r="AA58" s="70">
        <v>15</v>
      </c>
      <c r="AB58" s="23">
        <v>16</v>
      </c>
      <c r="AC58" s="70">
        <v>17</v>
      </c>
      <c r="AD58" s="23">
        <v>31</v>
      </c>
      <c r="AE58" s="70">
        <v>33</v>
      </c>
      <c r="AF58" s="23">
        <v>27</v>
      </c>
      <c r="AG58" s="70">
        <v>39</v>
      </c>
      <c r="AH58" s="130">
        <v>272</v>
      </c>
      <c r="AI58" s="163">
        <v>22.666666666666668</v>
      </c>
      <c r="AJ58" s="376">
        <v>18</v>
      </c>
      <c r="AK58" s="70">
        <v>30</v>
      </c>
      <c r="AL58" s="23">
        <v>24</v>
      </c>
      <c r="AM58" s="70">
        <v>25</v>
      </c>
      <c r="AN58" s="23">
        <v>17</v>
      </c>
      <c r="AO58" s="70">
        <v>26</v>
      </c>
      <c r="AP58" s="634">
        <v>30</v>
      </c>
      <c r="AQ58" s="70">
        <v>29</v>
      </c>
      <c r="AR58" s="634">
        <v>26</v>
      </c>
      <c r="AS58" s="70">
        <v>39</v>
      </c>
      <c r="AT58" s="634">
        <v>31</v>
      </c>
      <c r="AU58" s="70">
        <v>32</v>
      </c>
      <c r="AV58" s="130">
        <f t="shared" si="634"/>
        <v>327</v>
      </c>
      <c r="AW58" s="163">
        <f t="shared" si="635"/>
        <v>27.25</v>
      </c>
      <c r="AX58" s="376">
        <v>29</v>
      </c>
      <c r="AY58" s="70">
        <v>36</v>
      </c>
      <c r="AZ58" s="23">
        <v>24</v>
      </c>
      <c r="BA58" s="70">
        <v>5</v>
      </c>
      <c r="BB58" s="23">
        <v>4</v>
      </c>
      <c r="BC58" s="70">
        <v>7</v>
      </c>
      <c r="BD58" s="634">
        <v>0</v>
      </c>
      <c r="BE58" s="70">
        <v>6</v>
      </c>
      <c r="BF58" s="634">
        <v>11</v>
      </c>
      <c r="BG58" s="70">
        <v>7</v>
      </c>
      <c r="BH58" s="634">
        <v>7</v>
      </c>
      <c r="BI58" s="70">
        <v>5</v>
      </c>
      <c r="BJ58" s="130">
        <f t="shared" si="638"/>
        <v>141</v>
      </c>
      <c r="BK58" s="163">
        <f t="shared" si="639"/>
        <v>11.75</v>
      </c>
      <c r="BL58" s="376">
        <v>8</v>
      </c>
      <c r="BM58" s="70">
        <v>9</v>
      </c>
      <c r="BN58" s="23">
        <v>8</v>
      </c>
      <c r="BO58" s="70">
        <v>5</v>
      </c>
      <c r="BP58" s="23">
        <v>6</v>
      </c>
      <c r="BQ58" s="70">
        <v>2</v>
      </c>
      <c r="BR58" s="634">
        <v>9</v>
      </c>
      <c r="BS58" s="70">
        <v>13</v>
      </c>
      <c r="BT58" s="634">
        <v>15</v>
      </c>
      <c r="BU58" s="634">
        <v>10</v>
      </c>
      <c r="BV58" s="634">
        <v>12</v>
      </c>
      <c r="BW58" s="634">
        <v>11</v>
      </c>
      <c r="BX58" s="130">
        <f t="shared" si="646"/>
        <v>108</v>
      </c>
      <c r="BY58" s="163">
        <f t="shared" si="647"/>
        <v>9</v>
      </c>
      <c r="BZ58" s="634">
        <v>7</v>
      </c>
      <c r="CA58" s="70">
        <v>6</v>
      </c>
      <c r="CB58" s="23">
        <v>6</v>
      </c>
      <c r="CC58" s="70">
        <v>9</v>
      </c>
      <c r="CD58" s="23">
        <v>7</v>
      </c>
      <c r="CE58" s="1025">
        <v>6</v>
      </c>
      <c r="CF58" s="1027">
        <v>8</v>
      </c>
      <c r="CG58" s="1025">
        <v>10</v>
      </c>
      <c r="CH58" s="1027">
        <v>14</v>
      </c>
      <c r="CI58" s="1027">
        <v>7</v>
      </c>
      <c r="CJ58" s="1027">
        <v>6</v>
      </c>
      <c r="CK58" s="1027"/>
      <c r="CL58" s="1028">
        <f t="shared" si="654"/>
        <v>86</v>
      </c>
      <c r="CM58" s="163">
        <f t="shared" si="655"/>
        <v>7.8181818181818183</v>
      </c>
      <c r="CN58" s="683">
        <f t="shared" si="701"/>
        <v>-3</v>
      </c>
      <c r="CO58" s="672">
        <f t="shared" si="735"/>
        <v>-9.375E-2</v>
      </c>
      <c r="CP58" s="683">
        <f t="shared" si="702"/>
        <v>7</v>
      </c>
      <c r="CQ58" s="672">
        <f t="shared" si="703"/>
        <v>0.2413793103448276</v>
      </c>
      <c r="CR58" s="683">
        <f t="shared" si="704"/>
        <v>-12</v>
      </c>
      <c r="CS58" s="672">
        <f t="shared" si="705"/>
        <v>-0.33333333333333331</v>
      </c>
      <c r="CT58" s="683">
        <f t="shared" si="706"/>
        <v>-19</v>
      </c>
      <c r="CU58" s="672">
        <f t="shared" si="707"/>
        <v>-0.79166666666666663</v>
      </c>
      <c r="CV58" s="683">
        <f t="shared" si="708"/>
        <v>-1</v>
      </c>
      <c r="CW58" s="672">
        <f>CV58/BA58</f>
        <v>-0.2</v>
      </c>
      <c r="CX58" s="683">
        <f t="shared" si="709"/>
        <v>3</v>
      </c>
      <c r="CY58" s="672">
        <f t="shared" ref="CY58:CY64" si="744">CX58/BB58</f>
        <v>0.75</v>
      </c>
      <c r="CZ58" s="683">
        <f t="shared" si="710"/>
        <v>-7</v>
      </c>
      <c r="DA58" s="672">
        <f>CZ58/BC58</f>
        <v>-1</v>
      </c>
      <c r="DB58" s="683">
        <f t="shared" si="711"/>
        <v>6</v>
      </c>
      <c r="DC58" s="672">
        <v>1</v>
      </c>
      <c r="DD58" s="683">
        <f t="shared" si="712"/>
        <v>5</v>
      </c>
      <c r="DE58" s="672">
        <f t="shared" si="713"/>
        <v>0.83333333333333337</v>
      </c>
      <c r="DF58" s="683">
        <f t="shared" si="714"/>
        <v>-4</v>
      </c>
      <c r="DG58" s="109">
        <f t="shared" si="715"/>
        <v>-0.36363636363636365</v>
      </c>
      <c r="DH58" s="683">
        <f t="shared" si="716"/>
        <v>0</v>
      </c>
      <c r="DI58" s="672">
        <f t="shared" si="717"/>
        <v>0</v>
      </c>
      <c r="DJ58" s="683">
        <f t="shared" si="718"/>
        <v>-2</v>
      </c>
      <c r="DK58" s="672">
        <f>DJ58/BH58</f>
        <v>-0.2857142857142857</v>
      </c>
      <c r="DL58" s="683">
        <f t="shared" si="719"/>
        <v>3</v>
      </c>
      <c r="DM58" s="672">
        <f t="shared" si="720"/>
        <v>0.6</v>
      </c>
      <c r="DN58" s="332">
        <f t="shared" si="721"/>
        <v>1</v>
      </c>
      <c r="DO58" s="410">
        <f t="shared" si="722"/>
        <v>0.125</v>
      </c>
      <c r="DP58" s="332">
        <f t="shared" si="723"/>
        <v>-1</v>
      </c>
      <c r="DQ58" s="410">
        <f t="shared" si="724"/>
        <v>-0.1111111111111111</v>
      </c>
      <c r="DR58" s="332">
        <f t="shared" si="725"/>
        <v>-3</v>
      </c>
      <c r="DS58" s="410">
        <f t="shared" si="726"/>
        <v>-0.375</v>
      </c>
      <c r="DT58" s="332">
        <f t="shared" si="727"/>
        <v>1</v>
      </c>
      <c r="DU58" s="410">
        <f t="shared" si="736"/>
        <v>0.2</v>
      </c>
      <c r="DV58" s="332">
        <f t="shared" si="656"/>
        <v>-4</v>
      </c>
      <c r="DW58" s="410">
        <f t="shared" si="728"/>
        <v>-0.66666666666666663</v>
      </c>
      <c r="DX58" s="332">
        <f t="shared" si="657"/>
        <v>7</v>
      </c>
      <c r="DY58" s="410">
        <f>DX58/BQ58</f>
        <v>3.5</v>
      </c>
      <c r="DZ58" s="332">
        <f t="shared" si="658"/>
        <v>4</v>
      </c>
      <c r="EA58" s="410">
        <f>DZ58/BR58</f>
        <v>0.44444444444444442</v>
      </c>
      <c r="EB58" s="332">
        <f t="shared" si="659"/>
        <v>2</v>
      </c>
      <c r="EC58" s="410">
        <f t="shared" si="729"/>
        <v>0.15384615384615385</v>
      </c>
      <c r="ED58" s="332">
        <f t="shared" si="660"/>
        <v>-5</v>
      </c>
      <c r="EE58" s="410">
        <f t="shared" si="661"/>
        <v>-0.33333333333333331</v>
      </c>
      <c r="EF58" s="332">
        <f t="shared" si="662"/>
        <v>2</v>
      </c>
      <c r="EG58" s="410">
        <f t="shared" si="663"/>
        <v>0.2</v>
      </c>
      <c r="EH58" s="332">
        <f t="shared" si="664"/>
        <v>-1</v>
      </c>
      <c r="EI58" s="410">
        <f t="shared" si="665"/>
        <v>-8.3333333333333329E-2</v>
      </c>
      <c r="EJ58" s="332">
        <f t="shared" si="666"/>
        <v>-4</v>
      </c>
      <c r="EK58" s="410">
        <f t="shared" si="667"/>
        <v>-0.36363636363636365</v>
      </c>
      <c r="EL58" s="332">
        <f t="shared" si="668"/>
        <v>-1</v>
      </c>
      <c r="EM58" s="410">
        <f t="shared" si="669"/>
        <v>-0.14285714285714285</v>
      </c>
      <c r="EN58" s="332">
        <f t="shared" si="670"/>
        <v>0</v>
      </c>
      <c r="EO58" s="410">
        <f t="shared" si="671"/>
        <v>0</v>
      </c>
      <c r="EP58" s="332">
        <f t="shared" si="672"/>
        <v>3</v>
      </c>
      <c r="EQ58" s="410">
        <f t="shared" si="673"/>
        <v>0.5</v>
      </c>
      <c r="ER58" s="332">
        <f t="shared" si="674"/>
        <v>-2</v>
      </c>
      <c r="ES58" s="410">
        <f t="shared" si="675"/>
        <v>-0.22222222222222221</v>
      </c>
      <c r="ET58" s="332">
        <f t="shared" si="676"/>
        <v>-1</v>
      </c>
      <c r="EU58" s="410">
        <f t="shared" si="677"/>
        <v>-0.14285714285714285</v>
      </c>
      <c r="EV58" s="332">
        <f t="shared" si="678"/>
        <v>2</v>
      </c>
      <c r="EW58" s="410">
        <f t="shared" si="679"/>
        <v>0.33333333333333331</v>
      </c>
      <c r="EX58" s="332">
        <f t="shared" si="680"/>
        <v>2</v>
      </c>
      <c r="EY58" s="410">
        <f t="shared" si="681"/>
        <v>0.25</v>
      </c>
      <c r="EZ58" s="332">
        <f t="shared" si="682"/>
        <v>4</v>
      </c>
      <c r="FA58" s="410">
        <f t="shared" si="683"/>
        <v>0.4</v>
      </c>
      <c r="FB58" s="332">
        <f t="shared" si="684"/>
        <v>-7</v>
      </c>
      <c r="FC58" s="410">
        <f t="shared" si="685"/>
        <v>-0.5</v>
      </c>
      <c r="FD58" s="332">
        <f t="shared" si="686"/>
        <v>-1</v>
      </c>
      <c r="FE58" s="410">
        <f t="shared" si="687"/>
        <v>-0.14285714285714285</v>
      </c>
      <c r="FF58" s="332">
        <f t="shared" si="688"/>
        <v>-6</v>
      </c>
      <c r="FG58" s="410">
        <f t="shared" si="689"/>
        <v>-1</v>
      </c>
      <c r="FH58" s="921">
        <f t="shared" si="690"/>
        <v>12</v>
      </c>
      <c r="FI58" s="922">
        <f t="shared" si="691"/>
        <v>6</v>
      </c>
      <c r="FJ58" s="122">
        <f t="shared" si="692"/>
        <v>-6</v>
      </c>
      <c r="FK58" s="1024">
        <f t="shared" si="693"/>
        <v>-0.5</v>
      </c>
      <c r="FL58" s="707"/>
      <c r="FM58" s="707"/>
      <c r="FN58" s="707"/>
      <c r="FO58" t="str">
        <f t="shared" si="737"/>
        <v>Personnel Administration</v>
      </c>
      <c r="FP58" s="270" t="e">
        <f>#REF!</f>
        <v>#REF!</v>
      </c>
      <c r="FQ58" s="270" t="e">
        <f>#REF!</f>
        <v>#REF!</v>
      </c>
      <c r="FR58" s="270" t="e">
        <f>#REF!</f>
        <v>#REF!</v>
      </c>
      <c r="FS58" s="270" t="e">
        <f>#REF!</f>
        <v>#REF!</v>
      </c>
      <c r="FT58" s="270" t="e">
        <f>#REF!</f>
        <v>#REF!</v>
      </c>
      <c r="FU58" s="270" t="e">
        <f>#REF!</f>
        <v>#REF!</v>
      </c>
      <c r="FV58" s="270" t="e">
        <f>#REF!</f>
        <v>#REF!</v>
      </c>
      <c r="FW58" s="270" t="e">
        <f>#REF!</f>
        <v>#REF!</v>
      </c>
      <c r="FX58" s="270" t="e">
        <f>#REF!</f>
        <v>#REF!</v>
      </c>
      <c r="FY58" s="270" t="e">
        <f>#REF!</f>
        <v>#REF!</v>
      </c>
      <c r="FZ58" s="270" t="e">
        <f>#REF!</f>
        <v>#REF!</v>
      </c>
      <c r="GA58" s="271">
        <f t="shared" si="738"/>
        <v>18</v>
      </c>
      <c r="GB58" s="271">
        <f t="shared" si="738"/>
        <v>30</v>
      </c>
      <c r="GC58" s="271">
        <f t="shared" si="738"/>
        <v>24</v>
      </c>
      <c r="GD58" s="271">
        <f t="shared" si="738"/>
        <v>25</v>
      </c>
      <c r="GE58" s="271">
        <f t="shared" si="738"/>
        <v>17</v>
      </c>
      <c r="GF58" s="271">
        <f t="shared" si="738"/>
        <v>26</v>
      </c>
      <c r="GG58" s="271">
        <f t="shared" si="738"/>
        <v>30</v>
      </c>
      <c r="GH58" s="271">
        <f t="shared" si="738"/>
        <v>29</v>
      </c>
      <c r="GI58" s="271">
        <f t="shared" si="738"/>
        <v>26</v>
      </c>
      <c r="GJ58" s="271">
        <f t="shared" si="738"/>
        <v>39</v>
      </c>
      <c r="GK58" s="271">
        <f t="shared" si="738"/>
        <v>31</v>
      </c>
      <c r="GL58" s="271">
        <f t="shared" si="738"/>
        <v>32</v>
      </c>
      <c r="GM58" s="271">
        <f t="shared" si="739"/>
        <v>29</v>
      </c>
      <c r="GN58" s="271">
        <f t="shared" si="739"/>
        <v>36</v>
      </c>
      <c r="GO58" s="271">
        <f t="shared" si="739"/>
        <v>24</v>
      </c>
      <c r="GP58" s="271">
        <f t="shared" si="739"/>
        <v>5</v>
      </c>
      <c r="GQ58" s="271">
        <f t="shared" si="739"/>
        <v>4</v>
      </c>
      <c r="GR58" s="271">
        <f t="shared" si="739"/>
        <v>7</v>
      </c>
      <c r="GS58" s="271">
        <f t="shared" si="739"/>
        <v>0</v>
      </c>
      <c r="GT58" s="271">
        <f t="shared" si="739"/>
        <v>6</v>
      </c>
      <c r="GU58" s="271">
        <f t="shared" si="739"/>
        <v>11</v>
      </c>
      <c r="GV58" s="271">
        <f t="shared" si="739"/>
        <v>7</v>
      </c>
      <c r="GW58" s="271">
        <f t="shared" si="739"/>
        <v>7</v>
      </c>
      <c r="GX58" s="271">
        <f t="shared" si="739"/>
        <v>5</v>
      </c>
      <c r="GY58" s="826">
        <f t="shared" si="740"/>
        <v>8</v>
      </c>
      <c r="GZ58" s="826">
        <f t="shared" si="740"/>
        <v>9</v>
      </c>
      <c r="HA58" s="826">
        <f t="shared" si="740"/>
        <v>8</v>
      </c>
      <c r="HB58" s="826">
        <f t="shared" si="740"/>
        <v>5</v>
      </c>
      <c r="HC58" s="826">
        <f t="shared" si="740"/>
        <v>6</v>
      </c>
      <c r="HD58" s="826">
        <f t="shared" si="731"/>
        <v>2</v>
      </c>
      <c r="HE58" s="826">
        <f t="shared" si="732"/>
        <v>9</v>
      </c>
      <c r="HF58" s="826">
        <f t="shared" si="733"/>
        <v>13</v>
      </c>
      <c r="HG58" s="826">
        <f t="shared" si="734"/>
        <v>15</v>
      </c>
      <c r="HH58" s="826">
        <f t="shared" si="741"/>
        <v>10</v>
      </c>
      <c r="HI58" s="826">
        <f t="shared" si="741"/>
        <v>12</v>
      </c>
      <c r="HJ58" s="826">
        <f t="shared" si="741"/>
        <v>11</v>
      </c>
      <c r="HK58" s="954">
        <f t="shared" si="742"/>
        <v>7</v>
      </c>
      <c r="HL58" s="954">
        <f t="shared" si="743"/>
        <v>6</v>
      </c>
      <c r="HM58" s="954">
        <f t="shared" si="743"/>
        <v>6</v>
      </c>
      <c r="HN58" s="954">
        <f t="shared" si="743"/>
        <v>9</v>
      </c>
      <c r="HO58" s="954">
        <f t="shared" si="743"/>
        <v>7</v>
      </c>
      <c r="HP58" s="954">
        <f t="shared" si="743"/>
        <v>6</v>
      </c>
      <c r="HQ58" s="954">
        <f t="shared" si="743"/>
        <v>8</v>
      </c>
      <c r="HR58" s="954">
        <f t="shared" si="743"/>
        <v>10</v>
      </c>
      <c r="HS58" s="954">
        <f t="shared" si="743"/>
        <v>14</v>
      </c>
      <c r="HT58" s="954">
        <f t="shared" si="743"/>
        <v>7</v>
      </c>
      <c r="HU58" s="954">
        <f t="shared" si="743"/>
        <v>6</v>
      </c>
      <c r="HV58" s="954">
        <f t="shared" si="743"/>
        <v>0</v>
      </c>
    </row>
    <row r="59" spans="1:230" x14ac:dyDescent="0.25">
      <c r="A59" s="802"/>
      <c r="B59" s="56">
        <v>8.8000000000000007</v>
      </c>
      <c r="C59" s="7"/>
      <c r="D59" s="119"/>
      <c r="E59" s="1037" t="s">
        <v>9</v>
      </c>
      <c r="F59" s="1037"/>
      <c r="G59" s="1038"/>
      <c r="H59" s="376">
        <v>16</v>
      </c>
      <c r="I59" s="70">
        <v>12</v>
      </c>
      <c r="J59" s="23">
        <v>16</v>
      </c>
      <c r="K59" s="70">
        <v>18</v>
      </c>
      <c r="L59" s="23">
        <v>13</v>
      </c>
      <c r="M59" s="70">
        <v>7</v>
      </c>
      <c r="N59" s="23">
        <v>11</v>
      </c>
      <c r="O59" s="70">
        <v>13</v>
      </c>
      <c r="P59" s="23">
        <v>15</v>
      </c>
      <c r="Q59" s="70">
        <v>12</v>
      </c>
      <c r="R59" s="23">
        <v>8</v>
      </c>
      <c r="S59" s="70">
        <v>6</v>
      </c>
      <c r="T59" s="130">
        <v>147</v>
      </c>
      <c r="U59" s="163">
        <v>12.25</v>
      </c>
      <c r="V59" s="376">
        <v>7</v>
      </c>
      <c r="W59" s="70">
        <v>12</v>
      </c>
      <c r="X59" s="23">
        <v>12</v>
      </c>
      <c r="Y59" s="70">
        <v>6</v>
      </c>
      <c r="Z59" s="23">
        <v>6</v>
      </c>
      <c r="AA59" s="70">
        <v>8</v>
      </c>
      <c r="AB59" s="23">
        <v>7</v>
      </c>
      <c r="AC59" s="70">
        <v>14</v>
      </c>
      <c r="AD59" s="23">
        <v>9</v>
      </c>
      <c r="AE59" s="70">
        <v>11</v>
      </c>
      <c r="AF59" s="23">
        <v>10</v>
      </c>
      <c r="AG59" s="70">
        <v>5</v>
      </c>
      <c r="AH59" s="130">
        <v>107</v>
      </c>
      <c r="AI59" s="163">
        <v>8.9166666666666661</v>
      </c>
      <c r="AJ59" s="376">
        <v>12</v>
      </c>
      <c r="AK59" s="70">
        <v>13</v>
      </c>
      <c r="AL59" s="23">
        <v>12</v>
      </c>
      <c r="AM59" s="70">
        <v>12</v>
      </c>
      <c r="AN59" s="23">
        <v>15</v>
      </c>
      <c r="AO59" s="70">
        <v>11</v>
      </c>
      <c r="AP59" s="634">
        <v>17</v>
      </c>
      <c r="AQ59" s="70">
        <v>9</v>
      </c>
      <c r="AR59" s="634">
        <v>14</v>
      </c>
      <c r="AS59" s="70">
        <v>13</v>
      </c>
      <c r="AT59" s="634">
        <v>11</v>
      </c>
      <c r="AU59" s="70">
        <v>8</v>
      </c>
      <c r="AV59" s="130">
        <f t="shared" si="634"/>
        <v>147</v>
      </c>
      <c r="AW59" s="163">
        <f t="shared" si="635"/>
        <v>12.25</v>
      </c>
      <c r="AX59" s="376">
        <v>8</v>
      </c>
      <c r="AY59" s="70">
        <v>9</v>
      </c>
      <c r="AZ59" s="23">
        <v>13</v>
      </c>
      <c r="BA59" s="70">
        <v>0</v>
      </c>
      <c r="BB59" s="23">
        <v>1</v>
      </c>
      <c r="BC59" s="70">
        <v>0</v>
      </c>
      <c r="BD59" s="634">
        <v>5</v>
      </c>
      <c r="BE59" s="70">
        <v>1</v>
      </c>
      <c r="BF59" s="634">
        <v>1</v>
      </c>
      <c r="BG59" s="70">
        <v>1</v>
      </c>
      <c r="BH59" s="634">
        <v>0</v>
      </c>
      <c r="BI59" s="70">
        <v>2</v>
      </c>
      <c r="BJ59" s="130">
        <f t="shared" si="638"/>
        <v>41</v>
      </c>
      <c r="BK59" s="163">
        <f t="shared" si="639"/>
        <v>3.4166666666666665</v>
      </c>
      <c r="BL59" s="376">
        <v>1</v>
      </c>
      <c r="BM59" s="70">
        <v>1</v>
      </c>
      <c r="BN59" s="23">
        <v>1</v>
      </c>
      <c r="BO59" s="70">
        <v>1</v>
      </c>
      <c r="BP59" s="23">
        <v>1</v>
      </c>
      <c r="BQ59" s="70">
        <v>1</v>
      </c>
      <c r="BR59" s="634">
        <v>0</v>
      </c>
      <c r="BS59" s="70">
        <v>1</v>
      </c>
      <c r="BT59" s="634">
        <v>1</v>
      </c>
      <c r="BU59" s="634">
        <v>0</v>
      </c>
      <c r="BV59" s="634">
        <v>0</v>
      </c>
      <c r="BW59" s="634">
        <v>0</v>
      </c>
      <c r="BX59" s="130">
        <f t="shared" si="646"/>
        <v>8</v>
      </c>
      <c r="BY59" s="163">
        <f t="shared" si="647"/>
        <v>0.66666666666666663</v>
      </c>
      <c r="BZ59" s="634">
        <v>1</v>
      </c>
      <c r="CA59" s="70">
        <v>1</v>
      </c>
      <c r="CB59" s="23">
        <v>1</v>
      </c>
      <c r="CC59" s="1025">
        <v>0</v>
      </c>
      <c r="CD59" s="23">
        <v>1</v>
      </c>
      <c r="CE59" s="1025">
        <v>1</v>
      </c>
      <c r="CF59" s="1027">
        <v>1</v>
      </c>
      <c r="CG59" s="1025">
        <v>1</v>
      </c>
      <c r="CH59" s="1027">
        <v>1</v>
      </c>
      <c r="CI59" s="1027">
        <v>1</v>
      </c>
      <c r="CJ59" s="1027">
        <v>0</v>
      </c>
      <c r="CK59" s="1027"/>
      <c r="CL59" s="1028">
        <f t="shared" si="654"/>
        <v>9</v>
      </c>
      <c r="CM59" s="163">
        <f t="shared" si="655"/>
        <v>0.81818181818181823</v>
      </c>
      <c r="CN59" s="683">
        <f t="shared" si="701"/>
        <v>0</v>
      </c>
      <c r="CO59" s="672">
        <f t="shared" si="735"/>
        <v>0</v>
      </c>
      <c r="CP59" s="683">
        <f t="shared" si="702"/>
        <v>1</v>
      </c>
      <c r="CQ59" s="672">
        <f t="shared" si="703"/>
        <v>0.125</v>
      </c>
      <c r="CR59" s="683">
        <f t="shared" si="704"/>
        <v>4</v>
      </c>
      <c r="CS59" s="672">
        <f t="shared" si="705"/>
        <v>0.44444444444444442</v>
      </c>
      <c r="CT59" s="683">
        <f t="shared" si="706"/>
        <v>-13</v>
      </c>
      <c r="CU59" s="672">
        <f t="shared" si="707"/>
        <v>-1</v>
      </c>
      <c r="CV59" s="683">
        <f t="shared" si="708"/>
        <v>1</v>
      </c>
      <c r="CW59" s="788">
        <v>0</v>
      </c>
      <c r="CX59" s="683">
        <f t="shared" si="709"/>
        <v>-1</v>
      </c>
      <c r="CY59" s="672">
        <f t="shared" si="744"/>
        <v>-1</v>
      </c>
      <c r="CZ59" s="683">
        <f t="shared" si="710"/>
        <v>5</v>
      </c>
      <c r="DA59" s="788">
        <v>0</v>
      </c>
      <c r="DB59" s="683">
        <f t="shared" si="711"/>
        <v>-4</v>
      </c>
      <c r="DC59" s="672">
        <f>DB59/BD59</f>
        <v>-0.8</v>
      </c>
      <c r="DD59" s="683">
        <f t="shared" si="712"/>
        <v>0</v>
      </c>
      <c r="DE59" s="672">
        <f t="shared" si="713"/>
        <v>0</v>
      </c>
      <c r="DF59" s="683">
        <f t="shared" si="714"/>
        <v>0</v>
      </c>
      <c r="DG59" s="109">
        <f t="shared" si="715"/>
        <v>0</v>
      </c>
      <c r="DH59" s="683">
        <f t="shared" si="716"/>
        <v>-1</v>
      </c>
      <c r="DI59" s="672">
        <f t="shared" si="717"/>
        <v>-1</v>
      </c>
      <c r="DJ59" s="683">
        <f t="shared" si="718"/>
        <v>2</v>
      </c>
      <c r="DK59" s="672">
        <v>1</v>
      </c>
      <c r="DL59" s="683">
        <f t="shared" si="719"/>
        <v>-1</v>
      </c>
      <c r="DM59" s="672">
        <f t="shared" si="720"/>
        <v>-0.5</v>
      </c>
      <c r="DN59" s="332">
        <f t="shared" si="721"/>
        <v>0</v>
      </c>
      <c r="DO59" s="410">
        <f t="shared" si="722"/>
        <v>0</v>
      </c>
      <c r="DP59" s="332">
        <f t="shared" si="723"/>
        <v>0</v>
      </c>
      <c r="DQ59" s="410">
        <f t="shared" si="724"/>
        <v>0</v>
      </c>
      <c r="DR59" s="332">
        <f t="shared" si="725"/>
        <v>0</v>
      </c>
      <c r="DS59" s="410">
        <f t="shared" si="726"/>
        <v>0</v>
      </c>
      <c r="DT59" s="332">
        <f t="shared" si="727"/>
        <v>0</v>
      </c>
      <c r="DU59" s="410">
        <f t="shared" si="736"/>
        <v>0</v>
      </c>
      <c r="DV59" s="332">
        <f t="shared" si="656"/>
        <v>0</v>
      </c>
      <c r="DW59" s="410">
        <f t="shared" si="728"/>
        <v>0</v>
      </c>
      <c r="DX59" s="332">
        <f t="shared" si="657"/>
        <v>-1</v>
      </c>
      <c r="DY59" s="410">
        <f>DX59/BQ59</f>
        <v>-1</v>
      </c>
      <c r="DZ59" s="332">
        <f t="shared" si="658"/>
        <v>1</v>
      </c>
      <c r="EA59" s="410">
        <v>1</v>
      </c>
      <c r="EB59" s="332">
        <f t="shared" si="659"/>
        <v>0</v>
      </c>
      <c r="EC59" s="410">
        <f t="shared" si="729"/>
        <v>0</v>
      </c>
      <c r="ED59" s="332">
        <f t="shared" si="660"/>
        <v>-1</v>
      </c>
      <c r="EE59" s="410">
        <f t="shared" si="661"/>
        <v>-1</v>
      </c>
      <c r="EF59" s="332">
        <f t="shared" si="662"/>
        <v>0</v>
      </c>
      <c r="EG59" s="410">
        <v>0</v>
      </c>
      <c r="EH59" s="332">
        <f t="shared" si="664"/>
        <v>0</v>
      </c>
      <c r="EI59" s="410">
        <v>0</v>
      </c>
      <c r="EJ59" s="332">
        <f t="shared" si="666"/>
        <v>1</v>
      </c>
      <c r="EK59" s="410">
        <v>0</v>
      </c>
      <c r="EL59" s="332">
        <f t="shared" si="668"/>
        <v>0</v>
      </c>
      <c r="EM59" s="410">
        <f t="shared" si="669"/>
        <v>0</v>
      </c>
      <c r="EN59" s="332">
        <f t="shared" si="670"/>
        <v>0</v>
      </c>
      <c r="EO59" s="410">
        <f t="shared" si="671"/>
        <v>0</v>
      </c>
      <c r="EP59" s="332">
        <f t="shared" si="672"/>
        <v>-1</v>
      </c>
      <c r="EQ59" s="410">
        <f t="shared" si="673"/>
        <v>-1</v>
      </c>
      <c r="ER59" s="332">
        <f t="shared" si="674"/>
        <v>1</v>
      </c>
      <c r="ES59" s="410">
        <v>1</v>
      </c>
      <c r="ET59" s="332">
        <f t="shared" si="676"/>
        <v>0</v>
      </c>
      <c r="EU59" s="410">
        <f t="shared" si="677"/>
        <v>0</v>
      </c>
      <c r="EV59" s="332">
        <f t="shared" si="678"/>
        <v>0</v>
      </c>
      <c r="EW59" s="410">
        <f t="shared" si="679"/>
        <v>0</v>
      </c>
      <c r="EX59" s="332">
        <f t="shared" si="680"/>
        <v>0</v>
      </c>
      <c r="EY59" s="410">
        <f t="shared" si="681"/>
        <v>0</v>
      </c>
      <c r="EZ59" s="332">
        <f t="shared" si="682"/>
        <v>0</v>
      </c>
      <c r="FA59" s="410">
        <f t="shared" si="683"/>
        <v>0</v>
      </c>
      <c r="FB59" s="332">
        <f t="shared" si="684"/>
        <v>0</v>
      </c>
      <c r="FC59" s="410">
        <f t="shared" si="685"/>
        <v>0</v>
      </c>
      <c r="FD59" s="332">
        <f t="shared" si="686"/>
        <v>-1</v>
      </c>
      <c r="FE59" s="410">
        <f t="shared" si="687"/>
        <v>-1</v>
      </c>
      <c r="FF59" s="332">
        <f t="shared" si="688"/>
        <v>0</v>
      </c>
      <c r="FG59" s="410" t="e">
        <f t="shared" si="689"/>
        <v>#DIV/0!</v>
      </c>
      <c r="FH59" s="921">
        <f t="shared" si="690"/>
        <v>0</v>
      </c>
      <c r="FI59" s="922">
        <f t="shared" si="691"/>
        <v>0</v>
      </c>
      <c r="FJ59" s="122">
        <f t="shared" si="692"/>
        <v>0</v>
      </c>
      <c r="FK59" s="1024">
        <f t="shared" si="693"/>
        <v>0</v>
      </c>
      <c r="FL59" s="707"/>
      <c r="FM59" s="707"/>
      <c r="FN59" s="707"/>
      <c r="FO59" t="str">
        <f t="shared" si="737"/>
        <v>Payroll</v>
      </c>
      <c r="FP59" s="270" t="e">
        <f>#REF!</f>
        <v>#REF!</v>
      </c>
      <c r="FQ59" s="270" t="e">
        <f>#REF!</f>
        <v>#REF!</v>
      </c>
      <c r="FR59" s="270" t="e">
        <f>#REF!</f>
        <v>#REF!</v>
      </c>
      <c r="FS59" s="270" t="e">
        <f>#REF!</f>
        <v>#REF!</v>
      </c>
      <c r="FT59" s="270" t="e">
        <f>#REF!</f>
        <v>#REF!</v>
      </c>
      <c r="FU59" s="270" t="e">
        <f>#REF!</f>
        <v>#REF!</v>
      </c>
      <c r="FV59" s="270" t="e">
        <f>#REF!</f>
        <v>#REF!</v>
      </c>
      <c r="FW59" s="270" t="e">
        <f>#REF!</f>
        <v>#REF!</v>
      </c>
      <c r="FX59" s="270" t="e">
        <f>#REF!</f>
        <v>#REF!</v>
      </c>
      <c r="FY59" s="270" t="e">
        <f>#REF!</f>
        <v>#REF!</v>
      </c>
      <c r="FZ59" s="270" t="e">
        <f>#REF!</f>
        <v>#REF!</v>
      </c>
      <c r="GA59" s="271">
        <f t="shared" si="738"/>
        <v>12</v>
      </c>
      <c r="GB59" s="271">
        <f t="shared" si="738"/>
        <v>13</v>
      </c>
      <c r="GC59" s="271">
        <f t="shared" si="738"/>
        <v>12</v>
      </c>
      <c r="GD59" s="271">
        <f t="shared" si="738"/>
        <v>12</v>
      </c>
      <c r="GE59" s="271">
        <f t="shared" si="738"/>
        <v>15</v>
      </c>
      <c r="GF59" s="271">
        <f t="shared" si="738"/>
        <v>11</v>
      </c>
      <c r="GG59" s="271">
        <f t="shared" si="738"/>
        <v>17</v>
      </c>
      <c r="GH59" s="271">
        <f t="shared" si="738"/>
        <v>9</v>
      </c>
      <c r="GI59" s="271">
        <f t="shared" si="738"/>
        <v>14</v>
      </c>
      <c r="GJ59" s="271">
        <f t="shared" si="738"/>
        <v>13</v>
      </c>
      <c r="GK59" s="271">
        <f t="shared" si="738"/>
        <v>11</v>
      </c>
      <c r="GL59" s="271">
        <f t="shared" si="738"/>
        <v>8</v>
      </c>
      <c r="GM59" s="271">
        <f t="shared" si="739"/>
        <v>8</v>
      </c>
      <c r="GN59" s="271">
        <f t="shared" si="739"/>
        <v>9</v>
      </c>
      <c r="GO59" s="271">
        <f t="shared" si="739"/>
        <v>13</v>
      </c>
      <c r="GP59" s="271">
        <f t="shared" si="739"/>
        <v>0</v>
      </c>
      <c r="GQ59" s="271">
        <f t="shared" si="739"/>
        <v>1</v>
      </c>
      <c r="GR59" s="271">
        <f t="shared" si="739"/>
        <v>0</v>
      </c>
      <c r="GS59" s="271">
        <f t="shared" si="739"/>
        <v>5</v>
      </c>
      <c r="GT59" s="271">
        <f t="shared" si="739"/>
        <v>1</v>
      </c>
      <c r="GU59" s="271">
        <f t="shared" si="739"/>
        <v>1</v>
      </c>
      <c r="GV59" s="271">
        <f t="shared" si="739"/>
        <v>1</v>
      </c>
      <c r="GW59" s="271">
        <f t="shared" si="739"/>
        <v>0</v>
      </c>
      <c r="GX59" s="271">
        <f t="shared" si="739"/>
        <v>2</v>
      </c>
      <c r="GY59" s="826">
        <f t="shared" si="740"/>
        <v>1</v>
      </c>
      <c r="GZ59" s="826">
        <f t="shared" si="740"/>
        <v>1</v>
      </c>
      <c r="HA59" s="826">
        <f t="shared" si="740"/>
        <v>1</v>
      </c>
      <c r="HB59" s="826">
        <f t="shared" si="740"/>
        <v>1</v>
      </c>
      <c r="HC59" s="826">
        <f t="shared" si="740"/>
        <v>1</v>
      </c>
      <c r="HD59" s="826">
        <f t="shared" si="731"/>
        <v>1</v>
      </c>
      <c r="HE59" s="826">
        <f t="shared" si="732"/>
        <v>0</v>
      </c>
      <c r="HF59" s="826">
        <f t="shared" si="733"/>
        <v>1</v>
      </c>
      <c r="HG59" s="826">
        <f t="shared" si="734"/>
        <v>1</v>
      </c>
      <c r="HH59" s="826">
        <f t="shared" si="741"/>
        <v>0</v>
      </c>
      <c r="HI59" s="826">
        <f t="shared" si="741"/>
        <v>0</v>
      </c>
      <c r="HJ59" s="826">
        <f t="shared" si="741"/>
        <v>0</v>
      </c>
      <c r="HK59" s="954">
        <f t="shared" si="742"/>
        <v>1</v>
      </c>
      <c r="HL59" s="954">
        <f t="shared" si="743"/>
        <v>1</v>
      </c>
      <c r="HM59" s="954">
        <f t="shared" si="743"/>
        <v>1</v>
      </c>
      <c r="HN59" s="954">
        <f t="shared" si="743"/>
        <v>0</v>
      </c>
      <c r="HO59" s="954">
        <f t="shared" si="743"/>
        <v>1</v>
      </c>
      <c r="HP59" s="954">
        <f t="shared" si="743"/>
        <v>1</v>
      </c>
      <c r="HQ59" s="954">
        <f t="shared" si="743"/>
        <v>1</v>
      </c>
      <c r="HR59" s="954">
        <f t="shared" si="743"/>
        <v>1</v>
      </c>
      <c r="HS59" s="954">
        <f t="shared" si="743"/>
        <v>1</v>
      </c>
      <c r="HT59" s="954">
        <f t="shared" si="743"/>
        <v>1</v>
      </c>
      <c r="HU59" s="954">
        <f t="shared" si="743"/>
        <v>0</v>
      </c>
      <c r="HV59" s="954">
        <f t="shared" si="743"/>
        <v>0</v>
      </c>
    </row>
    <row r="60" spans="1:230" x14ac:dyDescent="0.25">
      <c r="A60" s="802"/>
      <c r="B60" s="56">
        <v>8.9</v>
      </c>
      <c r="C60" s="7"/>
      <c r="D60" s="119"/>
      <c r="E60" s="1037" t="s">
        <v>10</v>
      </c>
      <c r="F60" s="1037"/>
      <c r="G60" s="1038"/>
      <c r="H60" s="376">
        <v>43</v>
      </c>
      <c r="I60" s="70">
        <v>35</v>
      </c>
      <c r="J60" s="23">
        <v>51</v>
      </c>
      <c r="K60" s="70">
        <v>58</v>
      </c>
      <c r="L60" s="23">
        <v>35</v>
      </c>
      <c r="M60" s="70">
        <v>34</v>
      </c>
      <c r="N60" s="23">
        <v>19</v>
      </c>
      <c r="O60" s="70">
        <v>42</v>
      </c>
      <c r="P60" s="23">
        <v>38</v>
      </c>
      <c r="Q60" s="70">
        <v>39</v>
      </c>
      <c r="R60" s="23">
        <v>28</v>
      </c>
      <c r="S60" s="70">
        <v>28</v>
      </c>
      <c r="T60" s="130">
        <v>450</v>
      </c>
      <c r="U60" s="163">
        <v>37.5</v>
      </c>
      <c r="V60" s="376">
        <v>29</v>
      </c>
      <c r="W60" s="70">
        <v>29</v>
      </c>
      <c r="X60" s="23">
        <v>45</v>
      </c>
      <c r="Y60" s="70">
        <v>37</v>
      </c>
      <c r="Z60" s="23">
        <v>25</v>
      </c>
      <c r="AA60" s="70">
        <v>22</v>
      </c>
      <c r="AB60" s="23">
        <v>22</v>
      </c>
      <c r="AC60" s="70">
        <v>42</v>
      </c>
      <c r="AD60" s="23">
        <v>52</v>
      </c>
      <c r="AE60" s="70">
        <v>42</v>
      </c>
      <c r="AF60" s="23">
        <v>45</v>
      </c>
      <c r="AG60" s="70">
        <v>12</v>
      </c>
      <c r="AH60" s="130">
        <v>402</v>
      </c>
      <c r="AI60" s="163">
        <v>33.5</v>
      </c>
      <c r="AJ60" s="376">
        <v>40</v>
      </c>
      <c r="AK60" s="70">
        <v>54</v>
      </c>
      <c r="AL60" s="23">
        <v>48</v>
      </c>
      <c r="AM60" s="70">
        <v>58</v>
      </c>
      <c r="AN60" s="23">
        <v>49</v>
      </c>
      <c r="AO60" s="70">
        <v>50</v>
      </c>
      <c r="AP60" s="634">
        <v>53</v>
      </c>
      <c r="AQ60" s="70">
        <v>63</v>
      </c>
      <c r="AR60" s="634">
        <v>50</v>
      </c>
      <c r="AS60" s="70">
        <v>63</v>
      </c>
      <c r="AT60" s="634">
        <v>57</v>
      </c>
      <c r="AU60" s="70">
        <v>45</v>
      </c>
      <c r="AV60" s="130">
        <f t="shared" si="634"/>
        <v>630</v>
      </c>
      <c r="AW60" s="163">
        <f t="shared" si="635"/>
        <v>52.5</v>
      </c>
      <c r="AX60" s="376">
        <v>44</v>
      </c>
      <c r="AY60" s="70">
        <v>57</v>
      </c>
      <c r="AZ60" s="23">
        <v>47</v>
      </c>
      <c r="BA60" s="70">
        <v>3</v>
      </c>
      <c r="BB60" s="23">
        <v>2</v>
      </c>
      <c r="BC60" s="70">
        <v>4</v>
      </c>
      <c r="BD60" s="634">
        <v>0</v>
      </c>
      <c r="BE60" s="70">
        <v>2</v>
      </c>
      <c r="BF60" s="634">
        <v>2</v>
      </c>
      <c r="BG60" s="70">
        <v>3</v>
      </c>
      <c r="BH60" s="634">
        <v>2</v>
      </c>
      <c r="BI60" s="70">
        <v>2</v>
      </c>
      <c r="BJ60" s="130">
        <f t="shared" si="638"/>
        <v>168</v>
      </c>
      <c r="BK60" s="163">
        <f t="shared" si="639"/>
        <v>14</v>
      </c>
      <c r="BL60" s="376">
        <v>3</v>
      </c>
      <c r="BM60" s="70">
        <v>2</v>
      </c>
      <c r="BN60" s="23">
        <v>3</v>
      </c>
      <c r="BO60" s="70">
        <v>2</v>
      </c>
      <c r="BP60" s="23">
        <v>2</v>
      </c>
      <c r="BQ60" s="70">
        <v>2</v>
      </c>
      <c r="BR60" s="634">
        <v>2</v>
      </c>
      <c r="BS60" s="70">
        <v>1</v>
      </c>
      <c r="BT60" s="634">
        <v>5</v>
      </c>
      <c r="BU60" s="634">
        <v>2</v>
      </c>
      <c r="BV60" s="634">
        <v>5</v>
      </c>
      <c r="BW60" s="634">
        <v>3</v>
      </c>
      <c r="BX60" s="130">
        <f t="shared" si="646"/>
        <v>32</v>
      </c>
      <c r="BY60" s="163">
        <f t="shared" si="647"/>
        <v>2.6666666666666665</v>
      </c>
      <c r="BZ60" s="634">
        <v>2</v>
      </c>
      <c r="CA60" s="70">
        <v>2</v>
      </c>
      <c r="CB60" s="23">
        <v>2</v>
      </c>
      <c r="CC60" s="70">
        <v>3</v>
      </c>
      <c r="CD60" s="23">
        <v>2</v>
      </c>
      <c r="CE60" s="1025">
        <v>2</v>
      </c>
      <c r="CF60" s="1027">
        <v>2</v>
      </c>
      <c r="CG60" s="1025">
        <v>2</v>
      </c>
      <c r="CH60" s="1027">
        <v>2</v>
      </c>
      <c r="CI60" s="1027">
        <v>3</v>
      </c>
      <c r="CJ60" s="1027">
        <v>2</v>
      </c>
      <c r="CK60" s="1027"/>
      <c r="CL60" s="1028">
        <f t="shared" si="654"/>
        <v>24</v>
      </c>
      <c r="CM60" s="163">
        <f t="shared" si="655"/>
        <v>2.1818181818181817</v>
      </c>
      <c r="CN60" s="683">
        <f t="shared" si="701"/>
        <v>-1</v>
      </c>
      <c r="CO60" s="672">
        <f t="shared" si="735"/>
        <v>-2.2222222222222223E-2</v>
      </c>
      <c r="CP60" s="683">
        <f t="shared" si="702"/>
        <v>13</v>
      </c>
      <c r="CQ60" s="672">
        <f t="shared" si="703"/>
        <v>0.29545454545454547</v>
      </c>
      <c r="CR60" s="683">
        <f t="shared" si="704"/>
        <v>-10</v>
      </c>
      <c r="CS60" s="672">
        <f t="shared" si="705"/>
        <v>-0.17543859649122806</v>
      </c>
      <c r="CT60" s="683">
        <f t="shared" si="706"/>
        <v>-44</v>
      </c>
      <c r="CU60" s="672">
        <f t="shared" si="707"/>
        <v>-0.93617021276595747</v>
      </c>
      <c r="CV60" s="683">
        <f t="shared" si="708"/>
        <v>-1</v>
      </c>
      <c r="CW60" s="672">
        <f>CV60/BA60</f>
        <v>-0.33333333333333331</v>
      </c>
      <c r="CX60" s="683">
        <f t="shared" si="709"/>
        <v>2</v>
      </c>
      <c r="CY60" s="672">
        <f t="shared" si="744"/>
        <v>1</v>
      </c>
      <c r="CZ60" s="683">
        <f t="shared" si="710"/>
        <v>-4</v>
      </c>
      <c r="DA60" s="672">
        <f>CZ60/BC60</f>
        <v>-1</v>
      </c>
      <c r="DB60" s="683">
        <f t="shared" si="711"/>
        <v>2</v>
      </c>
      <c r="DC60" s="672">
        <v>1</v>
      </c>
      <c r="DD60" s="683">
        <f t="shared" si="712"/>
        <v>0</v>
      </c>
      <c r="DE60" s="672">
        <f t="shared" si="713"/>
        <v>0</v>
      </c>
      <c r="DF60" s="683">
        <f t="shared" si="714"/>
        <v>1</v>
      </c>
      <c r="DG60" s="109">
        <f t="shared" si="715"/>
        <v>0.5</v>
      </c>
      <c r="DH60" s="683">
        <f t="shared" si="716"/>
        <v>-1</v>
      </c>
      <c r="DI60" s="672">
        <f t="shared" si="717"/>
        <v>-0.33333333333333331</v>
      </c>
      <c r="DJ60" s="683">
        <f t="shared" si="718"/>
        <v>0</v>
      </c>
      <c r="DK60" s="672">
        <f>DJ60/BH60</f>
        <v>0</v>
      </c>
      <c r="DL60" s="683">
        <f t="shared" si="719"/>
        <v>1</v>
      </c>
      <c r="DM60" s="672">
        <f t="shared" si="720"/>
        <v>0.5</v>
      </c>
      <c r="DN60" s="332">
        <f t="shared" si="721"/>
        <v>-1</v>
      </c>
      <c r="DO60" s="410">
        <f t="shared" si="722"/>
        <v>-0.33333333333333331</v>
      </c>
      <c r="DP60" s="332">
        <f t="shared" si="723"/>
        <v>1</v>
      </c>
      <c r="DQ60" s="410">
        <f t="shared" si="724"/>
        <v>0.5</v>
      </c>
      <c r="DR60" s="332">
        <f t="shared" si="725"/>
        <v>-1</v>
      </c>
      <c r="DS60" s="410">
        <f t="shared" si="726"/>
        <v>-0.33333333333333331</v>
      </c>
      <c r="DT60" s="332">
        <f t="shared" si="727"/>
        <v>0</v>
      </c>
      <c r="DU60" s="410">
        <f t="shared" si="736"/>
        <v>0</v>
      </c>
      <c r="DV60" s="332">
        <f t="shared" si="656"/>
        <v>0</v>
      </c>
      <c r="DW60" s="410">
        <f t="shared" si="728"/>
        <v>0</v>
      </c>
      <c r="DX60" s="332">
        <f t="shared" si="657"/>
        <v>0</v>
      </c>
      <c r="DY60" s="410">
        <f>DX60/BQ60</f>
        <v>0</v>
      </c>
      <c r="DZ60" s="332">
        <f t="shared" si="658"/>
        <v>-1</v>
      </c>
      <c r="EA60" s="410">
        <f>DZ60/BR60</f>
        <v>-0.5</v>
      </c>
      <c r="EB60" s="332">
        <f t="shared" si="659"/>
        <v>4</v>
      </c>
      <c r="EC60" s="410">
        <f t="shared" si="729"/>
        <v>4</v>
      </c>
      <c r="ED60" s="332">
        <f t="shared" si="660"/>
        <v>-3</v>
      </c>
      <c r="EE60" s="410">
        <f t="shared" si="661"/>
        <v>-0.6</v>
      </c>
      <c r="EF60" s="332">
        <f t="shared" si="662"/>
        <v>3</v>
      </c>
      <c r="EG60" s="410">
        <f t="shared" si="663"/>
        <v>1.5</v>
      </c>
      <c r="EH60" s="332">
        <f t="shared" si="664"/>
        <v>-2</v>
      </c>
      <c r="EI60" s="410">
        <f t="shared" si="665"/>
        <v>-0.4</v>
      </c>
      <c r="EJ60" s="332">
        <f t="shared" si="666"/>
        <v>-1</v>
      </c>
      <c r="EK60" s="410">
        <f t="shared" si="667"/>
        <v>-0.33333333333333331</v>
      </c>
      <c r="EL60" s="332">
        <f t="shared" si="668"/>
        <v>0</v>
      </c>
      <c r="EM60" s="410">
        <f t="shared" si="669"/>
        <v>0</v>
      </c>
      <c r="EN60" s="332">
        <f t="shared" si="670"/>
        <v>0</v>
      </c>
      <c r="EO60" s="410">
        <f t="shared" si="671"/>
        <v>0</v>
      </c>
      <c r="EP60" s="332">
        <f t="shared" si="672"/>
        <v>1</v>
      </c>
      <c r="EQ60" s="410">
        <f t="shared" si="673"/>
        <v>0.5</v>
      </c>
      <c r="ER60" s="332">
        <f t="shared" si="674"/>
        <v>-1</v>
      </c>
      <c r="ES60" s="410">
        <f t="shared" si="675"/>
        <v>-0.33333333333333331</v>
      </c>
      <c r="ET60" s="332">
        <f t="shared" si="676"/>
        <v>0</v>
      </c>
      <c r="EU60" s="410">
        <f t="shared" si="677"/>
        <v>0</v>
      </c>
      <c r="EV60" s="332">
        <f t="shared" si="678"/>
        <v>0</v>
      </c>
      <c r="EW60" s="410">
        <f t="shared" si="679"/>
        <v>0</v>
      </c>
      <c r="EX60" s="332">
        <f t="shared" si="680"/>
        <v>0</v>
      </c>
      <c r="EY60" s="410">
        <f t="shared" si="681"/>
        <v>0</v>
      </c>
      <c r="EZ60" s="332">
        <f t="shared" si="682"/>
        <v>0</v>
      </c>
      <c r="FA60" s="410">
        <f t="shared" si="683"/>
        <v>0</v>
      </c>
      <c r="FB60" s="332">
        <f t="shared" si="684"/>
        <v>1</v>
      </c>
      <c r="FC60" s="410">
        <f t="shared" si="685"/>
        <v>0.5</v>
      </c>
      <c r="FD60" s="332">
        <f t="shared" si="686"/>
        <v>-1</v>
      </c>
      <c r="FE60" s="410">
        <f t="shared" si="687"/>
        <v>-0.33333333333333331</v>
      </c>
      <c r="FF60" s="332">
        <f t="shared" si="688"/>
        <v>-2</v>
      </c>
      <c r="FG60" s="410">
        <f t="shared" si="689"/>
        <v>-1</v>
      </c>
      <c r="FH60" s="921">
        <f t="shared" si="690"/>
        <v>5</v>
      </c>
      <c r="FI60" s="922">
        <f t="shared" si="691"/>
        <v>2</v>
      </c>
      <c r="FJ60" s="122">
        <f t="shared" si="692"/>
        <v>-3</v>
      </c>
      <c r="FK60" s="1024">
        <f t="shared" si="693"/>
        <v>-0.6</v>
      </c>
      <c r="FL60" s="707"/>
      <c r="FM60" s="707"/>
      <c r="FN60" s="707"/>
      <c r="FO60" t="str">
        <f t="shared" si="737"/>
        <v>Time</v>
      </c>
      <c r="FP60" s="270" t="e">
        <f>#REF!</f>
        <v>#REF!</v>
      </c>
      <c r="FQ60" s="270" t="e">
        <f>#REF!</f>
        <v>#REF!</v>
      </c>
      <c r="FR60" s="270" t="e">
        <f>#REF!</f>
        <v>#REF!</v>
      </c>
      <c r="FS60" s="270" t="e">
        <f>#REF!</f>
        <v>#REF!</v>
      </c>
      <c r="FT60" s="270" t="e">
        <f>#REF!</f>
        <v>#REF!</v>
      </c>
      <c r="FU60" s="270" t="e">
        <f>#REF!</f>
        <v>#REF!</v>
      </c>
      <c r="FV60" s="270" t="e">
        <f>#REF!</f>
        <v>#REF!</v>
      </c>
      <c r="FW60" s="270" t="e">
        <f>#REF!</f>
        <v>#REF!</v>
      </c>
      <c r="FX60" s="270" t="e">
        <f>#REF!</f>
        <v>#REF!</v>
      </c>
      <c r="FY60" s="270" t="e">
        <f>#REF!</f>
        <v>#REF!</v>
      </c>
      <c r="FZ60" s="270" t="e">
        <f>#REF!</f>
        <v>#REF!</v>
      </c>
      <c r="GA60" s="271">
        <f t="shared" si="738"/>
        <v>40</v>
      </c>
      <c r="GB60" s="271">
        <f t="shared" si="738"/>
        <v>54</v>
      </c>
      <c r="GC60" s="271">
        <f t="shared" si="738"/>
        <v>48</v>
      </c>
      <c r="GD60" s="271">
        <f t="shared" si="738"/>
        <v>58</v>
      </c>
      <c r="GE60" s="271">
        <f t="shared" si="738"/>
        <v>49</v>
      </c>
      <c r="GF60" s="271">
        <f t="shared" si="738"/>
        <v>50</v>
      </c>
      <c r="GG60" s="271">
        <f t="shared" si="738"/>
        <v>53</v>
      </c>
      <c r="GH60" s="271">
        <f t="shared" si="738"/>
        <v>63</v>
      </c>
      <c r="GI60" s="271">
        <f t="shared" si="738"/>
        <v>50</v>
      </c>
      <c r="GJ60" s="271">
        <f t="shared" si="738"/>
        <v>63</v>
      </c>
      <c r="GK60" s="271">
        <f t="shared" si="738"/>
        <v>57</v>
      </c>
      <c r="GL60" s="271">
        <f t="shared" si="738"/>
        <v>45</v>
      </c>
      <c r="GM60" s="271">
        <f t="shared" si="739"/>
        <v>44</v>
      </c>
      <c r="GN60" s="271">
        <f t="shared" si="739"/>
        <v>57</v>
      </c>
      <c r="GO60" s="271">
        <f t="shared" si="739"/>
        <v>47</v>
      </c>
      <c r="GP60" s="271">
        <f t="shared" si="739"/>
        <v>3</v>
      </c>
      <c r="GQ60" s="271">
        <f t="shared" si="739"/>
        <v>2</v>
      </c>
      <c r="GR60" s="271">
        <f t="shared" si="739"/>
        <v>4</v>
      </c>
      <c r="GS60" s="271">
        <f t="shared" si="739"/>
        <v>0</v>
      </c>
      <c r="GT60" s="271">
        <f t="shared" si="739"/>
        <v>2</v>
      </c>
      <c r="GU60" s="271">
        <f t="shared" si="739"/>
        <v>2</v>
      </c>
      <c r="GV60" s="271">
        <f t="shared" si="739"/>
        <v>3</v>
      </c>
      <c r="GW60" s="271">
        <f t="shared" si="739"/>
        <v>2</v>
      </c>
      <c r="GX60" s="271">
        <f t="shared" si="739"/>
        <v>2</v>
      </c>
      <c r="GY60" s="826">
        <f t="shared" si="740"/>
        <v>3</v>
      </c>
      <c r="GZ60" s="826">
        <f t="shared" si="740"/>
        <v>2</v>
      </c>
      <c r="HA60" s="826">
        <f t="shared" si="740"/>
        <v>3</v>
      </c>
      <c r="HB60" s="826">
        <f t="shared" si="740"/>
        <v>2</v>
      </c>
      <c r="HC60" s="826">
        <f t="shared" si="740"/>
        <v>2</v>
      </c>
      <c r="HD60" s="826">
        <f t="shared" si="731"/>
        <v>2</v>
      </c>
      <c r="HE60" s="826">
        <f t="shared" si="732"/>
        <v>2</v>
      </c>
      <c r="HF60" s="826">
        <f t="shared" si="733"/>
        <v>1</v>
      </c>
      <c r="HG60" s="826">
        <f t="shared" si="734"/>
        <v>5</v>
      </c>
      <c r="HH60" s="826">
        <f t="shared" si="741"/>
        <v>2</v>
      </c>
      <c r="HI60" s="826">
        <f t="shared" si="741"/>
        <v>5</v>
      </c>
      <c r="HJ60" s="826">
        <f t="shared" si="741"/>
        <v>3</v>
      </c>
      <c r="HK60" s="954">
        <f t="shared" si="742"/>
        <v>2</v>
      </c>
      <c r="HL60" s="954">
        <f t="shared" si="743"/>
        <v>2</v>
      </c>
      <c r="HM60" s="954">
        <f t="shared" si="743"/>
        <v>2</v>
      </c>
      <c r="HN60" s="954">
        <f t="shared" si="743"/>
        <v>3</v>
      </c>
      <c r="HO60" s="954">
        <f t="shared" si="743"/>
        <v>2</v>
      </c>
      <c r="HP60" s="954">
        <f t="shared" si="743"/>
        <v>2</v>
      </c>
      <c r="HQ60" s="954">
        <f t="shared" si="743"/>
        <v>2</v>
      </c>
      <c r="HR60" s="954">
        <f t="shared" si="743"/>
        <v>2</v>
      </c>
      <c r="HS60" s="954">
        <f t="shared" si="743"/>
        <v>2</v>
      </c>
      <c r="HT60" s="954">
        <f t="shared" si="743"/>
        <v>3</v>
      </c>
      <c r="HU60" s="954">
        <f t="shared" si="743"/>
        <v>2</v>
      </c>
      <c r="HV60" s="954">
        <f t="shared" si="743"/>
        <v>0</v>
      </c>
    </row>
    <row r="61" spans="1:230" s="2" customFormat="1" x14ac:dyDescent="0.25">
      <c r="A61" s="802"/>
      <c r="B61" s="918">
        <v>8.1</v>
      </c>
      <c r="C61" s="7"/>
      <c r="D61" s="119"/>
      <c r="E61" s="1037" t="s">
        <v>177</v>
      </c>
      <c r="F61" s="1037"/>
      <c r="G61" s="1038"/>
      <c r="H61" s="376">
        <v>1</v>
      </c>
      <c r="I61" s="70">
        <v>1</v>
      </c>
      <c r="J61" s="23">
        <v>2</v>
      </c>
      <c r="K61" s="70">
        <v>0</v>
      </c>
      <c r="L61" s="23">
        <v>1</v>
      </c>
      <c r="M61" s="70">
        <v>0</v>
      </c>
      <c r="N61" s="23">
        <v>1</v>
      </c>
      <c r="O61" s="70">
        <v>1</v>
      </c>
      <c r="P61" s="23">
        <v>1</v>
      </c>
      <c r="Q61" s="70">
        <v>1</v>
      </c>
      <c r="R61" s="23">
        <v>0</v>
      </c>
      <c r="S61" s="70">
        <v>1</v>
      </c>
      <c r="T61" s="130">
        <v>10</v>
      </c>
      <c r="U61" s="163">
        <v>0.83333333333333337</v>
      </c>
      <c r="V61" s="376">
        <v>0</v>
      </c>
      <c r="W61" s="70">
        <v>1</v>
      </c>
      <c r="X61" s="23">
        <v>1</v>
      </c>
      <c r="Y61" s="70">
        <v>1</v>
      </c>
      <c r="Z61" s="23">
        <v>0</v>
      </c>
      <c r="AA61" s="70">
        <v>1</v>
      </c>
      <c r="AB61" s="23">
        <v>1</v>
      </c>
      <c r="AC61" s="70">
        <v>1</v>
      </c>
      <c r="AD61" s="23">
        <v>1</v>
      </c>
      <c r="AE61" s="70">
        <v>1</v>
      </c>
      <c r="AF61" s="23">
        <v>2</v>
      </c>
      <c r="AG61" s="70">
        <v>0</v>
      </c>
      <c r="AH61" s="130">
        <v>10</v>
      </c>
      <c r="AI61" s="163">
        <v>0.83333333333333337</v>
      </c>
      <c r="AJ61" s="376">
        <v>1</v>
      </c>
      <c r="AK61" s="70">
        <v>1</v>
      </c>
      <c r="AL61" s="23">
        <v>1</v>
      </c>
      <c r="AM61" s="70">
        <v>2</v>
      </c>
      <c r="AN61" s="23">
        <v>0</v>
      </c>
      <c r="AO61" s="70">
        <v>1</v>
      </c>
      <c r="AP61" s="634">
        <v>1</v>
      </c>
      <c r="AQ61" s="70">
        <v>1</v>
      </c>
      <c r="AR61" s="634">
        <v>1</v>
      </c>
      <c r="AS61" s="70">
        <v>1</v>
      </c>
      <c r="AT61" s="634">
        <v>1</v>
      </c>
      <c r="AU61" s="70">
        <v>2</v>
      </c>
      <c r="AV61" s="130">
        <f t="shared" si="634"/>
        <v>13</v>
      </c>
      <c r="AW61" s="163">
        <f t="shared" si="635"/>
        <v>1.0833333333333333</v>
      </c>
      <c r="AX61" s="376">
        <v>1</v>
      </c>
      <c r="AY61" s="70">
        <v>1</v>
      </c>
      <c r="AZ61" s="23">
        <v>1</v>
      </c>
      <c r="BA61" s="70">
        <v>2</v>
      </c>
      <c r="BB61" s="23">
        <v>1</v>
      </c>
      <c r="BC61" s="70">
        <v>0</v>
      </c>
      <c r="BD61" s="634">
        <v>0</v>
      </c>
      <c r="BE61" s="70">
        <v>1</v>
      </c>
      <c r="BF61" s="634">
        <v>1</v>
      </c>
      <c r="BG61" s="70">
        <v>1</v>
      </c>
      <c r="BH61" s="634">
        <v>1</v>
      </c>
      <c r="BI61" s="70">
        <v>2</v>
      </c>
      <c r="BJ61" s="130">
        <f t="shared" si="638"/>
        <v>12</v>
      </c>
      <c r="BK61" s="163">
        <f t="shared" si="639"/>
        <v>1</v>
      </c>
      <c r="BL61" s="376">
        <v>1</v>
      </c>
      <c r="BM61" s="70">
        <v>1</v>
      </c>
      <c r="BN61" s="23">
        <v>1</v>
      </c>
      <c r="BO61" s="70">
        <v>1</v>
      </c>
      <c r="BP61" s="23">
        <v>1</v>
      </c>
      <c r="BQ61" s="70">
        <v>0</v>
      </c>
      <c r="BR61" s="634">
        <v>0</v>
      </c>
      <c r="BS61" s="70">
        <v>1</v>
      </c>
      <c r="BT61" s="634">
        <v>2</v>
      </c>
      <c r="BU61" s="634">
        <v>0</v>
      </c>
      <c r="BV61" s="634">
        <v>0</v>
      </c>
      <c r="BW61" s="634">
        <v>0</v>
      </c>
      <c r="BX61" s="130">
        <f t="shared" si="646"/>
        <v>8</v>
      </c>
      <c r="BY61" s="163">
        <f t="shared" si="647"/>
        <v>0.66666666666666663</v>
      </c>
      <c r="BZ61" s="634">
        <v>0</v>
      </c>
      <c r="CA61" s="70">
        <v>1</v>
      </c>
      <c r="CB61" s="23">
        <v>0</v>
      </c>
      <c r="CC61" s="1025">
        <v>0</v>
      </c>
      <c r="CD61" s="23">
        <v>1</v>
      </c>
      <c r="CE61" s="1025">
        <v>0</v>
      </c>
      <c r="CF61" s="1027">
        <v>0</v>
      </c>
      <c r="CG61" s="1025">
        <v>0</v>
      </c>
      <c r="CH61" s="1027">
        <v>2</v>
      </c>
      <c r="CI61" s="1027">
        <v>3</v>
      </c>
      <c r="CJ61" s="1027">
        <v>1</v>
      </c>
      <c r="CK61" s="1027"/>
      <c r="CL61" s="1028">
        <f t="shared" si="654"/>
        <v>8</v>
      </c>
      <c r="CM61" s="163">
        <f t="shared" si="655"/>
        <v>0.72727272727272729</v>
      </c>
      <c r="CN61" s="683">
        <f t="shared" si="701"/>
        <v>-1</v>
      </c>
      <c r="CO61" s="672">
        <f t="shared" si="735"/>
        <v>-0.5</v>
      </c>
      <c r="CP61" s="683">
        <f t="shared" si="702"/>
        <v>0</v>
      </c>
      <c r="CQ61" s="672">
        <f t="shared" si="703"/>
        <v>0</v>
      </c>
      <c r="CR61" s="683">
        <f t="shared" si="704"/>
        <v>0</v>
      </c>
      <c r="CS61" s="672">
        <f t="shared" si="705"/>
        <v>0</v>
      </c>
      <c r="CT61" s="683">
        <f t="shared" si="706"/>
        <v>1</v>
      </c>
      <c r="CU61" s="672">
        <f t="shared" si="707"/>
        <v>1</v>
      </c>
      <c r="CV61" s="683">
        <f t="shared" si="708"/>
        <v>-1</v>
      </c>
      <c r="CW61" s="672">
        <f>CV61/BA61</f>
        <v>-0.5</v>
      </c>
      <c r="CX61" s="683">
        <f t="shared" si="709"/>
        <v>-1</v>
      </c>
      <c r="CY61" s="672">
        <f t="shared" si="744"/>
        <v>-1</v>
      </c>
      <c r="CZ61" s="683">
        <f t="shared" si="710"/>
        <v>0</v>
      </c>
      <c r="DA61" s="788">
        <v>0</v>
      </c>
      <c r="DB61" s="683">
        <f t="shared" si="711"/>
        <v>1</v>
      </c>
      <c r="DC61" s="672">
        <v>1</v>
      </c>
      <c r="DD61" s="683">
        <f t="shared" si="712"/>
        <v>0</v>
      </c>
      <c r="DE61" s="672">
        <f t="shared" si="713"/>
        <v>0</v>
      </c>
      <c r="DF61" s="683">
        <f t="shared" si="714"/>
        <v>0</v>
      </c>
      <c r="DG61" s="109">
        <f t="shared" si="715"/>
        <v>0</v>
      </c>
      <c r="DH61" s="683">
        <f t="shared" si="716"/>
        <v>0</v>
      </c>
      <c r="DI61" s="672">
        <f t="shared" si="717"/>
        <v>0</v>
      </c>
      <c r="DJ61" s="683">
        <f t="shared" si="718"/>
        <v>1</v>
      </c>
      <c r="DK61" s="672">
        <f>DJ61/BH61</f>
        <v>1</v>
      </c>
      <c r="DL61" s="683">
        <f t="shared" si="719"/>
        <v>-1</v>
      </c>
      <c r="DM61" s="672">
        <f t="shared" si="720"/>
        <v>-0.5</v>
      </c>
      <c r="DN61" s="332">
        <f t="shared" si="721"/>
        <v>0</v>
      </c>
      <c r="DO61" s="410">
        <f t="shared" si="722"/>
        <v>0</v>
      </c>
      <c r="DP61" s="332">
        <f t="shared" si="723"/>
        <v>0</v>
      </c>
      <c r="DQ61" s="410">
        <f t="shared" si="724"/>
        <v>0</v>
      </c>
      <c r="DR61" s="332">
        <f t="shared" si="725"/>
        <v>0</v>
      </c>
      <c r="DS61" s="410">
        <f t="shared" si="726"/>
        <v>0</v>
      </c>
      <c r="DT61" s="332">
        <f t="shared" si="727"/>
        <v>0</v>
      </c>
      <c r="DU61" s="410">
        <f t="shared" si="736"/>
        <v>0</v>
      </c>
      <c r="DV61" s="332">
        <f t="shared" si="656"/>
        <v>-1</v>
      </c>
      <c r="DW61" s="410">
        <f t="shared" si="728"/>
        <v>-1</v>
      </c>
      <c r="DX61" s="332">
        <f t="shared" si="657"/>
        <v>0</v>
      </c>
      <c r="DY61" s="410">
        <v>0</v>
      </c>
      <c r="DZ61" s="332">
        <f t="shared" si="658"/>
        <v>1</v>
      </c>
      <c r="EA61" s="410">
        <v>1</v>
      </c>
      <c r="EB61" s="332">
        <f t="shared" si="659"/>
        <v>1</v>
      </c>
      <c r="EC61" s="410">
        <f t="shared" si="729"/>
        <v>1</v>
      </c>
      <c r="ED61" s="332">
        <f t="shared" si="660"/>
        <v>-2</v>
      </c>
      <c r="EE61" s="410">
        <f t="shared" si="661"/>
        <v>-1</v>
      </c>
      <c r="EF61" s="332">
        <f t="shared" si="662"/>
        <v>0</v>
      </c>
      <c r="EG61" s="410">
        <v>0</v>
      </c>
      <c r="EH61" s="332">
        <f t="shared" si="664"/>
        <v>0</v>
      </c>
      <c r="EI61" s="410">
        <v>0</v>
      </c>
      <c r="EJ61" s="332">
        <f t="shared" si="666"/>
        <v>0</v>
      </c>
      <c r="EK61" s="410">
        <v>0</v>
      </c>
      <c r="EL61" s="332">
        <f t="shared" si="668"/>
        <v>1</v>
      </c>
      <c r="EM61" s="410">
        <v>0</v>
      </c>
      <c r="EN61" s="332">
        <f t="shared" si="670"/>
        <v>-1</v>
      </c>
      <c r="EO61" s="410">
        <f t="shared" si="671"/>
        <v>-1</v>
      </c>
      <c r="EP61" s="332">
        <f t="shared" si="672"/>
        <v>0</v>
      </c>
      <c r="EQ61" s="410">
        <v>0</v>
      </c>
      <c r="ER61" s="332">
        <f t="shared" si="674"/>
        <v>1</v>
      </c>
      <c r="ES61" s="410">
        <v>1</v>
      </c>
      <c r="ET61" s="332">
        <f t="shared" si="676"/>
        <v>-1</v>
      </c>
      <c r="EU61" s="410">
        <f t="shared" si="677"/>
        <v>-1</v>
      </c>
      <c r="EV61" s="332">
        <f t="shared" si="678"/>
        <v>0</v>
      </c>
      <c r="EW61" s="410">
        <v>0</v>
      </c>
      <c r="EX61" s="332">
        <f t="shared" si="680"/>
        <v>0</v>
      </c>
      <c r="EY61" s="410">
        <v>0</v>
      </c>
      <c r="EZ61" s="332">
        <f t="shared" si="682"/>
        <v>2</v>
      </c>
      <c r="FA61" s="410">
        <v>0</v>
      </c>
      <c r="FB61" s="332">
        <f t="shared" si="684"/>
        <v>1</v>
      </c>
      <c r="FC61" s="410">
        <f t="shared" si="685"/>
        <v>0.5</v>
      </c>
      <c r="FD61" s="332">
        <f t="shared" si="686"/>
        <v>-2</v>
      </c>
      <c r="FE61" s="410">
        <f t="shared" si="687"/>
        <v>-0.66666666666666663</v>
      </c>
      <c r="FF61" s="332">
        <f t="shared" si="688"/>
        <v>-1</v>
      </c>
      <c r="FG61" s="410">
        <f t="shared" si="689"/>
        <v>-1</v>
      </c>
      <c r="FH61" s="921">
        <f t="shared" si="690"/>
        <v>0</v>
      </c>
      <c r="FI61" s="922">
        <f t="shared" si="691"/>
        <v>1</v>
      </c>
      <c r="FJ61" s="122">
        <f t="shared" si="692"/>
        <v>1</v>
      </c>
      <c r="FK61" s="1024">
        <f t="shared" si="693"/>
        <v>0</v>
      </c>
      <c r="FL61" s="707"/>
      <c r="FM61" s="707"/>
      <c r="FN61" s="707"/>
      <c r="FO61" s="2" t="str">
        <f t="shared" si="737"/>
        <v>Workflow</v>
      </c>
      <c r="FP61" s="270" t="e">
        <f>#REF!</f>
        <v>#REF!</v>
      </c>
      <c r="FQ61" s="270" t="e">
        <f>#REF!</f>
        <v>#REF!</v>
      </c>
      <c r="FR61" s="270" t="e">
        <f>#REF!</f>
        <v>#REF!</v>
      </c>
      <c r="FS61" s="270" t="e">
        <f>#REF!</f>
        <v>#REF!</v>
      </c>
      <c r="FT61" s="270" t="e">
        <f>#REF!</f>
        <v>#REF!</v>
      </c>
      <c r="FU61" s="270" t="e">
        <f>#REF!</f>
        <v>#REF!</v>
      </c>
      <c r="FV61" s="270" t="e">
        <f>#REF!</f>
        <v>#REF!</v>
      </c>
      <c r="FW61" s="270" t="e">
        <f>#REF!</f>
        <v>#REF!</v>
      </c>
      <c r="FX61" s="270" t="e">
        <f>#REF!</f>
        <v>#REF!</v>
      </c>
      <c r="FY61" s="270" t="e">
        <f>#REF!</f>
        <v>#REF!</v>
      </c>
      <c r="FZ61" s="270" t="e">
        <f>#REF!</f>
        <v>#REF!</v>
      </c>
      <c r="GA61" s="271">
        <f t="shared" si="738"/>
        <v>1</v>
      </c>
      <c r="GB61" s="271">
        <f t="shared" si="738"/>
        <v>1</v>
      </c>
      <c r="GC61" s="271">
        <f t="shared" si="738"/>
        <v>1</v>
      </c>
      <c r="GD61" s="271">
        <f t="shared" si="738"/>
        <v>2</v>
      </c>
      <c r="GE61" s="271">
        <f t="shared" si="738"/>
        <v>0</v>
      </c>
      <c r="GF61" s="271">
        <f t="shared" si="738"/>
        <v>1</v>
      </c>
      <c r="GG61" s="271">
        <f t="shared" si="738"/>
        <v>1</v>
      </c>
      <c r="GH61" s="271">
        <f t="shared" si="738"/>
        <v>1</v>
      </c>
      <c r="GI61" s="271">
        <f t="shared" si="738"/>
        <v>1</v>
      </c>
      <c r="GJ61" s="271">
        <f t="shared" si="738"/>
        <v>1</v>
      </c>
      <c r="GK61" s="271">
        <f t="shared" si="738"/>
        <v>1</v>
      </c>
      <c r="GL61" s="271">
        <f t="shared" si="738"/>
        <v>2</v>
      </c>
      <c r="GM61" s="271">
        <f t="shared" si="739"/>
        <v>1</v>
      </c>
      <c r="GN61" s="271">
        <f t="shared" si="739"/>
        <v>1</v>
      </c>
      <c r="GO61" s="271">
        <f t="shared" si="739"/>
        <v>1</v>
      </c>
      <c r="GP61" s="271">
        <f t="shared" si="739"/>
        <v>2</v>
      </c>
      <c r="GQ61" s="271">
        <f t="shared" si="739"/>
        <v>1</v>
      </c>
      <c r="GR61" s="271">
        <f t="shared" si="739"/>
        <v>0</v>
      </c>
      <c r="GS61" s="271">
        <f t="shared" si="739"/>
        <v>0</v>
      </c>
      <c r="GT61" s="271">
        <f t="shared" si="739"/>
        <v>1</v>
      </c>
      <c r="GU61" s="271">
        <f t="shared" si="739"/>
        <v>1</v>
      </c>
      <c r="GV61" s="271">
        <f t="shared" si="739"/>
        <v>1</v>
      </c>
      <c r="GW61" s="271">
        <f t="shared" si="739"/>
        <v>1</v>
      </c>
      <c r="GX61" s="271">
        <f t="shared" si="739"/>
        <v>2</v>
      </c>
      <c r="GY61" s="826">
        <f t="shared" si="740"/>
        <v>1</v>
      </c>
      <c r="GZ61" s="826">
        <f t="shared" si="740"/>
        <v>1</v>
      </c>
      <c r="HA61" s="826">
        <f t="shared" si="740"/>
        <v>1</v>
      </c>
      <c r="HB61" s="826">
        <f t="shared" si="740"/>
        <v>1</v>
      </c>
      <c r="HC61" s="826">
        <f t="shared" si="740"/>
        <v>1</v>
      </c>
      <c r="HD61" s="826">
        <f t="shared" si="731"/>
        <v>0</v>
      </c>
      <c r="HE61" s="826">
        <f t="shared" si="732"/>
        <v>0</v>
      </c>
      <c r="HF61" s="826">
        <f t="shared" si="733"/>
        <v>1</v>
      </c>
      <c r="HG61" s="826">
        <f t="shared" si="734"/>
        <v>2</v>
      </c>
      <c r="HH61" s="826">
        <f t="shared" si="741"/>
        <v>0</v>
      </c>
      <c r="HI61" s="826">
        <f t="shared" si="741"/>
        <v>0</v>
      </c>
      <c r="HJ61" s="826">
        <f t="shared" si="741"/>
        <v>0</v>
      </c>
      <c r="HK61" s="954">
        <f t="shared" si="742"/>
        <v>0</v>
      </c>
      <c r="HL61" s="954">
        <f t="shared" si="743"/>
        <v>1</v>
      </c>
      <c r="HM61" s="954">
        <f t="shared" si="743"/>
        <v>0</v>
      </c>
      <c r="HN61" s="954">
        <f t="shared" si="743"/>
        <v>0</v>
      </c>
      <c r="HO61" s="954">
        <f t="shared" si="743"/>
        <v>1</v>
      </c>
      <c r="HP61" s="954">
        <f t="shared" si="743"/>
        <v>0</v>
      </c>
      <c r="HQ61" s="954">
        <f t="shared" si="743"/>
        <v>0</v>
      </c>
      <c r="HR61" s="954">
        <f t="shared" si="743"/>
        <v>0</v>
      </c>
      <c r="HS61" s="954">
        <f t="shared" si="743"/>
        <v>2</v>
      </c>
      <c r="HT61" s="954">
        <f t="shared" si="743"/>
        <v>3</v>
      </c>
      <c r="HU61" s="954">
        <f t="shared" si="743"/>
        <v>1</v>
      </c>
      <c r="HV61" s="954">
        <f t="shared" si="743"/>
        <v>0</v>
      </c>
    </row>
    <row r="62" spans="1:230" x14ac:dyDescent="0.25">
      <c r="A62" s="802"/>
      <c r="B62" s="918">
        <v>8.11</v>
      </c>
      <c r="C62" s="7"/>
      <c r="D62" s="119"/>
      <c r="E62" s="1037" t="s">
        <v>117</v>
      </c>
      <c r="F62" s="1037"/>
      <c r="G62" s="1038"/>
      <c r="H62" s="376">
        <v>29</v>
      </c>
      <c r="I62" s="70">
        <v>34</v>
      </c>
      <c r="J62" s="23">
        <v>42</v>
      </c>
      <c r="K62" s="70">
        <v>42</v>
      </c>
      <c r="L62" s="23">
        <v>37</v>
      </c>
      <c r="M62" s="70">
        <v>23</v>
      </c>
      <c r="N62" s="23">
        <v>35</v>
      </c>
      <c r="O62" s="70">
        <v>43</v>
      </c>
      <c r="P62" s="23">
        <v>57</v>
      </c>
      <c r="Q62" s="70">
        <v>46</v>
      </c>
      <c r="R62" s="23">
        <v>28</v>
      </c>
      <c r="S62" s="70">
        <v>20</v>
      </c>
      <c r="T62" s="130">
        <v>436</v>
      </c>
      <c r="U62" s="163">
        <v>36.333333333333336</v>
      </c>
      <c r="V62" s="376">
        <v>27</v>
      </c>
      <c r="W62" s="70">
        <v>30</v>
      </c>
      <c r="X62" s="23">
        <v>35</v>
      </c>
      <c r="Y62" s="70">
        <v>25</v>
      </c>
      <c r="Z62" s="23">
        <v>20</v>
      </c>
      <c r="AA62" s="70">
        <v>20</v>
      </c>
      <c r="AB62" s="23">
        <v>18</v>
      </c>
      <c r="AC62" s="70">
        <v>1</v>
      </c>
      <c r="AD62" s="23">
        <v>5</v>
      </c>
      <c r="AE62" s="70">
        <v>8</v>
      </c>
      <c r="AF62" s="23">
        <v>5</v>
      </c>
      <c r="AG62" s="70">
        <v>11</v>
      </c>
      <c r="AH62" s="130">
        <v>205</v>
      </c>
      <c r="AI62" s="163">
        <v>17.083333333333332</v>
      </c>
      <c r="AJ62" s="376">
        <v>9</v>
      </c>
      <c r="AK62" s="70">
        <v>8</v>
      </c>
      <c r="AL62" s="23">
        <v>3</v>
      </c>
      <c r="AM62" s="70">
        <v>10</v>
      </c>
      <c r="AN62" s="23">
        <v>7</v>
      </c>
      <c r="AO62" s="70">
        <v>5</v>
      </c>
      <c r="AP62" s="634">
        <v>10</v>
      </c>
      <c r="AQ62" s="70">
        <v>6</v>
      </c>
      <c r="AR62" s="634">
        <v>17</v>
      </c>
      <c r="AS62" s="70">
        <v>24</v>
      </c>
      <c r="AT62" s="634">
        <v>8</v>
      </c>
      <c r="AU62" s="70">
        <v>8</v>
      </c>
      <c r="AV62" s="130">
        <f t="shared" si="634"/>
        <v>115</v>
      </c>
      <c r="AW62" s="163">
        <f t="shared" si="635"/>
        <v>9.5833333333333339</v>
      </c>
      <c r="AX62" s="376">
        <v>0</v>
      </c>
      <c r="AY62" s="70">
        <v>5</v>
      </c>
      <c r="AZ62" s="23">
        <v>3</v>
      </c>
      <c r="BA62" s="70">
        <v>1</v>
      </c>
      <c r="BB62" s="23">
        <v>1</v>
      </c>
      <c r="BC62" s="70">
        <v>3</v>
      </c>
      <c r="BD62" s="634">
        <v>1</v>
      </c>
      <c r="BE62" s="70">
        <v>4</v>
      </c>
      <c r="BF62" s="634">
        <v>2</v>
      </c>
      <c r="BG62" s="70">
        <v>3</v>
      </c>
      <c r="BH62" s="634">
        <v>2</v>
      </c>
      <c r="BI62" s="70">
        <v>1</v>
      </c>
      <c r="BJ62" s="130">
        <f t="shared" si="638"/>
        <v>26</v>
      </c>
      <c r="BK62" s="163">
        <f t="shared" si="639"/>
        <v>2.1666666666666665</v>
      </c>
      <c r="BL62" s="376">
        <v>2</v>
      </c>
      <c r="BM62" s="70">
        <v>2</v>
      </c>
      <c r="BN62" s="23">
        <v>3</v>
      </c>
      <c r="BO62" s="70">
        <v>3</v>
      </c>
      <c r="BP62" s="23">
        <v>2</v>
      </c>
      <c r="BQ62" s="70">
        <v>2</v>
      </c>
      <c r="BR62" s="634">
        <v>2</v>
      </c>
      <c r="BS62" s="70">
        <v>8</v>
      </c>
      <c r="BT62" s="634">
        <v>3</v>
      </c>
      <c r="BU62" s="634">
        <v>2</v>
      </c>
      <c r="BV62" s="634">
        <v>4</v>
      </c>
      <c r="BW62" s="634">
        <v>2</v>
      </c>
      <c r="BX62" s="130">
        <f t="shared" si="646"/>
        <v>35</v>
      </c>
      <c r="BY62" s="163">
        <f t="shared" si="647"/>
        <v>2.9166666666666665</v>
      </c>
      <c r="BZ62" s="634">
        <v>12</v>
      </c>
      <c r="CA62" s="70">
        <f>3+2</f>
        <v>5</v>
      </c>
      <c r="CB62" s="23">
        <v>3</v>
      </c>
      <c r="CC62" s="70">
        <v>2</v>
      </c>
      <c r="CD62" s="23">
        <v>2</v>
      </c>
      <c r="CE62" s="1025">
        <v>4</v>
      </c>
      <c r="CF62" s="1027">
        <v>2</v>
      </c>
      <c r="CG62" s="1025">
        <v>4</v>
      </c>
      <c r="CH62" s="1027">
        <v>2</v>
      </c>
      <c r="CI62" s="1027">
        <v>2</v>
      </c>
      <c r="CJ62" s="1027">
        <v>4</v>
      </c>
      <c r="CK62" s="1027"/>
      <c r="CL62" s="1028">
        <f t="shared" si="654"/>
        <v>42</v>
      </c>
      <c r="CM62" s="163">
        <f t="shared" si="655"/>
        <v>3.8181818181818183</v>
      </c>
      <c r="CN62" s="683">
        <f t="shared" si="701"/>
        <v>-8</v>
      </c>
      <c r="CO62" s="672">
        <f t="shared" si="735"/>
        <v>-1</v>
      </c>
      <c r="CP62" s="683">
        <f t="shared" si="702"/>
        <v>5</v>
      </c>
      <c r="CQ62" s="481">
        <v>-1</v>
      </c>
      <c r="CR62" s="683">
        <f t="shared" si="704"/>
        <v>-2</v>
      </c>
      <c r="CS62" s="672">
        <f t="shared" si="705"/>
        <v>-0.4</v>
      </c>
      <c r="CT62" s="683">
        <f t="shared" si="706"/>
        <v>-2</v>
      </c>
      <c r="CU62" s="672">
        <f t="shared" si="707"/>
        <v>-0.66666666666666663</v>
      </c>
      <c r="CV62" s="683">
        <f t="shared" si="708"/>
        <v>0</v>
      </c>
      <c r="CW62" s="672">
        <f>CV62/BA62</f>
        <v>0</v>
      </c>
      <c r="CX62" s="683">
        <f t="shared" si="709"/>
        <v>2</v>
      </c>
      <c r="CY62" s="672">
        <f t="shared" si="744"/>
        <v>2</v>
      </c>
      <c r="CZ62" s="683">
        <f t="shared" si="710"/>
        <v>-2</v>
      </c>
      <c r="DA62" s="672">
        <f>CZ62/BC62</f>
        <v>-0.66666666666666663</v>
      </c>
      <c r="DB62" s="683">
        <f t="shared" si="711"/>
        <v>3</v>
      </c>
      <c r="DC62" s="672">
        <f>DB62/BD62</f>
        <v>3</v>
      </c>
      <c r="DD62" s="683">
        <f t="shared" si="712"/>
        <v>-2</v>
      </c>
      <c r="DE62" s="672">
        <f t="shared" si="713"/>
        <v>-0.5</v>
      </c>
      <c r="DF62" s="683">
        <f t="shared" si="714"/>
        <v>1</v>
      </c>
      <c r="DG62" s="109">
        <f t="shared" si="715"/>
        <v>0.5</v>
      </c>
      <c r="DH62" s="683">
        <f t="shared" si="716"/>
        <v>-1</v>
      </c>
      <c r="DI62" s="672">
        <f t="shared" si="717"/>
        <v>-0.33333333333333331</v>
      </c>
      <c r="DJ62" s="683">
        <f t="shared" si="718"/>
        <v>-1</v>
      </c>
      <c r="DK62" s="672">
        <f>DJ62/BH62</f>
        <v>-0.5</v>
      </c>
      <c r="DL62" s="683">
        <f t="shared" si="719"/>
        <v>1</v>
      </c>
      <c r="DM62" s="672">
        <f t="shared" si="720"/>
        <v>1</v>
      </c>
      <c r="DN62" s="332">
        <f t="shared" si="721"/>
        <v>0</v>
      </c>
      <c r="DO62" s="410">
        <f t="shared" si="722"/>
        <v>0</v>
      </c>
      <c r="DP62" s="332">
        <f t="shared" si="723"/>
        <v>1</v>
      </c>
      <c r="DQ62" s="410">
        <f t="shared" si="724"/>
        <v>0.5</v>
      </c>
      <c r="DR62" s="332">
        <f t="shared" si="725"/>
        <v>0</v>
      </c>
      <c r="DS62" s="410">
        <f t="shared" si="726"/>
        <v>0</v>
      </c>
      <c r="DT62" s="332">
        <f t="shared" si="727"/>
        <v>-1</v>
      </c>
      <c r="DU62" s="410">
        <f t="shared" si="736"/>
        <v>-0.33333333333333331</v>
      </c>
      <c r="DV62" s="332">
        <f t="shared" si="656"/>
        <v>0</v>
      </c>
      <c r="DW62" s="410">
        <f t="shared" si="728"/>
        <v>0</v>
      </c>
      <c r="DX62" s="332">
        <f t="shared" si="657"/>
        <v>0</v>
      </c>
      <c r="DY62" s="410">
        <f>DX62/BQ62</f>
        <v>0</v>
      </c>
      <c r="DZ62" s="332">
        <f t="shared" si="658"/>
        <v>6</v>
      </c>
      <c r="EA62" s="410">
        <f>DZ62/BR62</f>
        <v>3</v>
      </c>
      <c r="EB62" s="332">
        <f t="shared" si="659"/>
        <v>-5</v>
      </c>
      <c r="EC62" s="410">
        <f t="shared" si="729"/>
        <v>-0.625</v>
      </c>
      <c r="ED62" s="332">
        <f t="shared" si="660"/>
        <v>-1</v>
      </c>
      <c r="EE62" s="410">
        <f t="shared" si="661"/>
        <v>-0.33333333333333331</v>
      </c>
      <c r="EF62" s="332">
        <f t="shared" si="662"/>
        <v>2</v>
      </c>
      <c r="EG62" s="410">
        <f t="shared" si="663"/>
        <v>1</v>
      </c>
      <c r="EH62" s="332">
        <f t="shared" si="664"/>
        <v>-2</v>
      </c>
      <c r="EI62" s="410">
        <f t="shared" si="665"/>
        <v>-0.5</v>
      </c>
      <c r="EJ62" s="332">
        <f t="shared" si="666"/>
        <v>10</v>
      </c>
      <c r="EK62" s="410">
        <f t="shared" si="667"/>
        <v>5</v>
      </c>
      <c r="EL62" s="332">
        <f t="shared" si="668"/>
        <v>-7</v>
      </c>
      <c r="EM62" s="410">
        <f t="shared" si="669"/>
        <v>-0.58333333333333337</v>
      </c>
      <c r="EN62" s="332">
        <f t="shared" si="670"/>
        <v>-2</v>
      </c>
      <c r="EO62" s="410">
        <f t="shared" si="671"/>
        <v>-0.4</v>
      </c>
      <c r="EP62" s="332">
        <f t="shared" si="672"/>
        <v>-1</v>
      </c>
      <c r="EQ62" s="410">
        <f t="shared" si="673"/>
        <v>-0.33333333333333331</v>
      </c>
      <c r="ER62" s="332">
        <f t="shared" si="674"/>
        <v>0</v>
      </c>
      <c r="ES62" s="410">
        <f t="shared" si="675"/>
        <v>0</v>
      </c>
      <c r="ET62" s="332">
        <f t="shared" si="676"/>
        <v>2</v>
      </c>
      <c r="EU62" s="410">
        <f t="shared" si="677"/>
        <v>1</v>
      </c>
      <c r="EV62" s="332">
        <f t="shared" si="678"/>
        <v>-2</v>
      </c>
      <c r="EW62" s="410">
        <f t="shared" si="679"/>
        <v>-0.5</v>
      </c>
      <c r="EX62" s="332">
        <f t="shared" si="680"/>
        <v>2</v>
      </c>
      <c r="EY62" s="410">
        <f t="shared" si="681"/>
        <v>1</v>
      </c>
      <c r="EZ62" s="332">
        <f t="shared" si="682"/>
        <v>-2</v>
      </c>
      <c r="FA62" s="410">
        <f t="shared" si="683"/>
        <v>-0.5</v>
      </c>
      <c r="FB62" s="332">
        <f t="shared" si="684"/>
        <v>0</v>
      </c>
      <c r="FC62" s="410">
        <f t="shared" si="685"/>
        <v>0</v>
      </c>
      <c r="FD62" s="332">
        <f t="shared" si="686"/>
        <v>2</v>
      </c>
      <c r="FE62" s="410">
        <f t="shared" si="687"/>
        <v>1</v>
      </c>
      <c r="FF62" s="332">
        <f t="shared" si="688"/>
        <v>-4</v>
      </c>
      <c r="FG62" s="410">
        <f t="shared" si="689"/>
        <v>-1</v>
      </c>
      <c r="FH62" s="921">
        <f t="shared" si="690"/>
        <v>4</v>
      </c>
      <c r="FI62" s="922">
        <f t="shared" si="691"/>
        <v>4</v>
      </c>
      <c r="FJ62" s="122">
        <f t="shared" si="692"/>
        <v>0</v>
      </c>
      <c r="FK62" s="1024">
        <f t="shared" ref="FK62:FK70" si="745">IF(ISERROR(FJ62/FH62),0,FJ62/FH62)</f>
        <v>0</v>
      </c>
      <c r="FL62" s="707"/>
      <c r="FM62" s="707"/>
      <c r="FN62" s="707"/>
      <c r="FO62" t="str">
        <f t="shared" si="737"/>
        <v>Other (Non-ERP)</v>
      </c>
      <c r="FP62" s="270" t="e">
        <f>#REF!</f>
        <v>#REF!</v>
      </c>
      <c r="FQ62" s="270" t="e">
        <f>#REF!</f>
        <v>#REF!</v>
      </c>
      <c r="FR62" s="270" t="e">
        <f>#REF!</f>
        <v>#REF!</v>
      </c>
      <c r="FS62" s="270" t="e">
        <f>#REF!</f>
        <v>#REF!</v>
      </c>
      <c r="FT62" s="270" t="e">
        <f>#REF!</f>
        <v>#REF!</v>
      </c>
      <c r="FU62" s="270" t="e">
        <f>#REF!</f>
        <v>#REF!</v>
      </c>
      <c r="FV62" s="270" t="e">
        <f>#REF!</f>
        <v>#REF!</v>
      </c>
      <c r="FW62" s="270" t="e">
        <f>#REF!</f>
        <v>#REF!</v>
      </c>
      <c r="FX62" s="270" t="e">
        <f>#REF!</f>
        <v>#REF!</v>
      </c>
      <c r="FY62" s="270" t="e">
        <f>#REF!</f>
        <v>#REF!</v>
      </c>
      <c r="FZ62" s="270" t="e">
        <f>#REF!</f>
        <v>#REF!</v>
      </c>
      <c r="GA62" s="271">
        <f t="shared" si="738"/>
        <v>9</v>
      </c>
      <c r="GB62" s="271">
        <f t="shared" si="738"/>
        <v>8</v>
      </c>
      <c r="GC62" s="271">
        <f t="shared" si="738"/>
        <v>3</v>
      </c>
      <c r="GD62" s="271">
        <f t="shared" si="738"/>
        <v>10</v>
      </c>
      <c r="GE62" s="271">
        <f t="shared" si="738"/>
        <v>7</v>
      </c>
      <c r="GF62" s="271">
        <f t="shared" si="738"/>
        <v>5</v>
      </c>
      <c r="GG62" s="271">
        <f t="shared" si="738"/>
        <v>10</v>
      </c>
      <c r="GH62" s="271">
        <f t="shared" si="738"/>
        <v>6</v>
      </c>
      <c r="GI62" s="271">
        <f t="shared" si="738"/>
        <v>17</v>
      </c>
      <c r="GJ62" s="271">
        <f t="shared" si="738"/>
        <v>24</v>
      </c>
      <c r="GK62" s="271">
        <f t="shared" si="738"/>
        <v>8</v>
      </c>
      <c r="GL62" s="271">
        <f t="shared" si="738"/>
        <v>8</v>
      </c>
      <c r="GM62" s="271">
        <f t="shared" si="739"/>
        <v>0</v>
      </c>
      <c r="GN62" s="271">
        <f t="shared" si="739"/>
        <v>5</v>
      </c>
      <c r="GO62" s="271">
        <f t="shared" si="739"/>
        <v>3</v>
      </c>
      <c r="GP62" s="271">
        <f t="shared" si="739"/>
        <v>1</v>
      </c>
      <c r="GQ62" s="271">
        <f t="shared" si="739"/>
        <v>1</v>
      </c>
      <c r="GR62" s="271">
        <f t="shared" si="739"/>
        <v>3</v>
      </c>
      <c r="GS62" s="271">
        <f t="shared" si="739"/>
        <v>1</v>
      </c>
      <c r="GT62" s="271">
        <f t="shared" si="739"/>
        <v>4</v>
      </c>
      <c r="GU62" s="271">
        <f t="shared" si="739"/>
        <v>2</v>
      </c>
      <c r="GV62" s="271">
        <f t="shared" si="739"/>
        <v>3</v>
      </c>
      <c r="GW62" s="271">
        <f t="shared" si="739"/>
        <v>2</v>
      </c>
      <c r="GX62" s="271">
        <f t="shared" si="739"/>
        <v>1</v>
      </c>
      <c r="GY62" s="826">
        <f t="shared" si="740"/>
        <v>2</v>
      </c>
      <c r="GZ62" s="826">
        <f t="shared" si="740"/>
        <v>2</v>
      </c>
      <c r="HA62" s="826">
        <f t="shared" si="740"/>
        <v>3</v>
      </c>
      <c r="HB62" s="826">
        <f t="shared" si="740"/>
        <v>3</v>
      </c>
      <c r="HC62" s="826">
        <f t="shared" si="740"/>
        <v>2</v>
      </c>
      <c r="HD62" s="826">
        <f t="shared" si="731"/>
        <v>2</v>
      </c>
      <c r="HE62" s="826">
        <f t="shared" si="732"/>
        <v>2</v>
      </c>
      <c r="HF62" s="826">
        <f t="shared" si="733"/>
        <v>8</v>
      </c>
      <c r="HG62" s="826">
        <f t="shared" si="734"/>
        <v>3</v>
      </c>
      <c r="HH62" s="826">
        <f t="shared" si="741"/>
        <v>2</v>
      </c>
      <c r="HI62" s="826">
        <f t="shared" si="741"/>
        <v>4</v>
      </c>
      <c r="HJ62" s="826">
        <f t="shared" si="741"/>
        <v>2</v>
      </c>
      <c r="HK62" s="954">
        <f t="shared" si="742"/>
        <v>12</v>
      </c>
      <c r="HL62" s="954">
        <f t="shared" si="743"/>
        <v>5</v>
      </c>
      <c r="HM62" s="954">
        <f t="shared" si="743"/>
        <v>3</v>
      </c>
      <c r="HN62" s="954">
        <f t="shared" si="743"/>
        <v>2</v>
      </c>
      <c r="HO62" s="954">
        <f t="shared" si="743"/>
        <v>2</v>
      </c>
      <c r="HP62" s="954">
        <f t="shared" si="743"/>
        <v>4</v>
      </c>
      <c r="HQ62" s="954">
        <f t="shared" si="743"/>
        <v>2</v>
      </c>
      <c r="HR62" s="954">
        <f t="shared" si="743"/>
        <v>4</v>
      </c>
      <c r="HS62" s="954">
        <f t="shared" si="743"/>
        <v>2</v>
      </c>
      <c r="HT62" s="954">
        <f t="shared" si="743"/>
        <v>2</v>
      </c>
      <c r="HU62" s="954">
        <f t="shared" si="743"/>
        <v>4</v>
      </c>
      <c r="HV62" s="954">
        <f t="shared" si="743"/>
        <v>0</v>
      </c>
    </row>
    <row r="63" spans="1:230" s="32" customFormat="1" x14ac:dyDescent="0.25">
      <c r="A63" s="802"/>
      <c r="B63" s="235">
        <v>8.1199999999999992</v>
      </c>
      <c r="C63" s="30"/>
      <c r="D63" s="455"/>
      <c r="E63" s="1050" t="s">
        <v>61</v>
      </c>
      <c r="F63" s="1050"/>
      <c r="G63" s="1051"/>
      <c r="H63" s="384">
        <v>162</v>
      </c>
      <c r="I63" s="78">
        <v>161</v>
      </c>
      <c r="J63" s="31">
        <v>136</v>
      </c>
      <c r="K63" s="78">
        <v>108</v>
      </c>
      <c r="L63" s="31">
        <v>222</v>
      </c>
      <c r="M63" s="78">
        <v>77</v>
      </c>
      <c r="N63" s="31">
        <v>88</v>
      </c>
      <c r="O63" s="78">
        <v>86</v>
      </c>
      <c r="P63" s="31">
        <v>98</v>
      </c>
      <c r="Q63" s="78">
        <v>72</v>
      </c>
      <c r="R63" s="31">
        <v>53</v>
      </c>
      <c r="S63" s="78">
        <v>61</v>
      </c>
      <c r="T63" s="145">
        <v>1324</v>
      </c>
      <c r="U63" s="164">
        <v>110.33333333333333</v>
      </c>
      <c r="V63" s="384">
        <v>2</v>
      </c>
      <c r="W63" s="78">
        <v>128</v>
      </c>
      <c r="X63" s="31">
        <v>63</v>
      </c>
      <c r="Y63" s="78">
        <v>61</v>
      </c>
      <c r="Z63" s="31">
        <v>44</v>
      </c>
      <c r="AA63" s="78">
        <v>30</v>
      </c>
      <c r="AB63" s="31">
        <v>89</v>
      </c>
      <c r="AC63" s="78">
        <v>87</v>
      </c>
      <c r="AD63" s="31">
        <v>133</v>
      </c>
      <c r="AE63" s="78">
        <v>200</v>
      </c>
      <c r="AF63" s="31">
        <v>87</v>
      </c>
      <c r="AG63" s="78">
        <v>124</v>
      </c>
      <c r="AH63" s="145">
        <v>1048</v>
      </c>
      <c r="AI63" s="164">
        <v>87.333333333333329</v>
      </c>
      <c r="AJ63" s="384">
        <v>92</v>
      </c>
      <c r="AK63" s="78">
        <v>96</v>
      </c>
      <c r="AL63" s="31">
        <v>115</v>
      </c>
      <c r="AM63" s="78">
        <v>210</v>
      </c>
      <c r="AN63" s="31">
        <v>102</v>
      </c>
      <c r="AO63" s="78">
        <v>122</v>
      </c>
      <c r="AP63" s="635">
        <v>186</v>
      </c>
      <c r="AQ63" s="78">
        <v>216</v>
      </c>
      <c r="AR63" s="635">
        <v>180</v>
      </c>
      <c r="AS63" s="78">
        <v>183</v>
      </c>
      <c r="AT63" s="635">
        <v>189</v>
      </c>
      <c r="AU63" s="78">
        <v>89</v>
      </c>
      <c r="AV63" s="145">
        <f t="shared" si="634"/>
        <v>1780</v>
      </c>
      <c r="AW63" s="164">
        <f t="shared" si="635"/>
        <v>148.33333333333334</v>
      </c>
      <c r="AX63" s="384">
        <v>88</v>
      </c>
      <c r="AY63" s="78">
        <v>159</v>
      </c>
      <c r="AZ63" s="31">
        <v>71</v>
      </c>
      <c r="BA63" s="78">
        <v>83</v>
      </c>
      <c r="BB63" s="31">
        <v>37</v>
      </c>
      <c r="BC63" s="78">
        <v>156</v>
      </c>
      <c r="BD63" s="635">
        <v>51</v>
      </c>
      <c r="BE63" s="78">
        <v>116</v>
      </c>
      <c r="BF63" s="635">
        <v>95</v>
      </c>
      <c r="BG63" s="78">
        <v>121</v>
      </c>
      <c r="BH63" s="635">
        <v>91</v>
      </c>
      <c r="BI63" s="78">
        <v>131</v>
      </c>
      <c r="BJ63" s="145">
        <f t="shared" si="638"/>
        <v>1199</v>
      </c>
      <c r="BK63" s="164">
        <f t="shared" si="639"/>
        <v>99.916666666666671</v>
      </c>
      <c r="BL63" s="384">
        <v>140</v>
      </c>
      <c r="BM63" s="78">
        <v>175</v>
      </c>
      <c r="BN63" s="31">
        <v>149</v>
      </c>
      <c r="BO63" s="78">
        <v>132</v>
      </c>
      <c r="BP63" s="31">
        <v>163</v>
      </c>
      <c r="BQ63" s="78">
        <v>139</v>
      </c>
      <c r="BR63" s="635">
        <v>118</v>
      </c>
      <c r="BS63" s="78">
        <v>114</v>
      </c>
      <c r="BT63" s="635">
        <v>271</v>
      </c>
      <c r="BU63" s="635">
        <v>358</v>
      </c>
      <c r="BV63" s="635">
        <v>331</v>
      </c>
      <c r="BW63" s="635">
        <v>252</v>
      </c>
      <c r="BX63" s="145">
        <f t="shared" si="646"/>
        <v>2342</v>
      </c>
      <c r="BY63" s="164">
        <f t="shared" si="647"/>
        <v>195.16666666666666</v>
      </c>
      <c r="BZ63" s="635">
        <f>126+72</f>
        <v>198</v>
      </c>
      <c r="CA63" s="78">
        <v>193</v>
      </c>
      <c r="CB63" s="31">
        <v>197</v>
      </c>
      <c r="CC63" s="78">
        <v>181</v>
      </c>
      <c r="CD63" s="31">
        <v>219</v>
      </c>
      <c r="CE63" s="78">
        <v>106</v>
      </c>
      <c r="CF63" s="635">
        <v>159</v>
      </c>
      <c r="CG63" s="78">
        <v>175</v>
      </c>
      <c r="CH63" s="635">
        <v>240</v>
      </c>
      <c r="CI63" s="635">
        <v>165</v>
      </c>
      <c r="CJ63" s="635">
        <v>157</v>
      </c>
      <c r="CK63" s="635"/>
      <c r="CL63" s="145">
        <f t="shared" si="654"/>
        <v>1990</v>
      </c>
      <c r="CM63" s="164">
        <f t="shared" si="655"/>
        <v>180.90909090909091</v>
      </c>
      <c r="CN63" s="695">
        <f t="shared" si="701"/>
        <v>-1</v>
      </c>
      <c r="CO63" s="678">
        <f t="shared" si="735"/>
        <v>-1.1235955056179775E-2</v>
      </c>
      <c r="CP63" s="695">
        <f t="shared" si="702"/>
        <v>71</v>
      </c>
      <c r="CQ63" s="678">
        <f>CP63/AX63</f>
        <v>0.80681818181818177</v>
      </c>
      <c r="CR63" s="695">
        <f t="shared" si="704"/>
        <v>-88</v>
      </c>
      <c r="CS63" s="678">
        <f t="shared" si="705"/>
        <v>-0.55345911949685533</v>
      </c>
      <c r="CT63" s="695">
        <f t="shared" si="706"/>
        <v>12</v>
      </c>
      <c r="CU63" s="678">
        <f t="shared" si="707"/>
        <v>0.16901408450704225</v>
      </c>
      <c r="CV63" s="695">
        <f t="shared" si="708"/>
        <v>-46</v>
      </c>
      <c r="CW63" s="678">
        <f>CV63/BA63</f>
        <v>-0.55421686746987953</v>
      </c>
      <c r="CX63" s="695">
        <f t="shared" si="709"/>
        <v>119</v>
      </c>
      <c r="CY63" s="678">
        <f t="shared" si="744"/>
        <v>3.2162162162162162</v>
      </c>
      <c r="CZ63" s="695">
        <f t="shared" si="710"/>
        <v>-105</v>
      </c>
      <c r="DA63" s="678">
        <f>CZ63/BC63</f>
        <v>-0.67307692307692313</v>
      </c>
      <c r="DB63" s="695">
        <f t="shared" si="711"/>
        <v>65</v>
      </c>
      <c r="DC63" s="678">
        <f>DB63/BD63</f>
        <v>1.2745098039215685</v>
      </c>
      <c r="DD63" s="695">
        <f t="shared" si="712"/>
        <v>-21</v>
      </c>
      <c r="DE63" s="678">
        <f t="shared" si="713"/>
        <v>-0.18103448275862069</v>
      </c>
      <c r="DF63" s="695">
        <f t="shared" si="714"/>
        <v>26</v>
      </c>
      <c r="DG63" s="117">
        <f t="shared" si="715"/>
        <v>0.27368421052631581</v>
      </c>
      <c r="DH63" s="695">
        <f t="shared" si="716"/>
        <v>-30</v>
      </c>
      <c r="DI63" s="678">
        <f t="shared" si="717"/>
        <v>-0.24793388429752067</v>
      </c>
      <c r="DJ63" s="695">
        <f t="shared" si="718"/>
        <v>40</v>
      </c>
      <c r="DK63" s="678">
        <f>DJ63/BH63</f>
        <v>0.43956043956043955</v>
      </c>
      <c r="DL63" s="695">
        <f t="shared" si="719"/>
        <v>9</v>
      </c>
      <c r="DM63" s="678">
        <f t="shared" si="720"/>
        <v>6.8702290076335881E-2</v>
      </c>
      <c r="DN63" s="338">
        <f t="shared" si="721"/>
        <v>35</v>
      </c>
      <c r="DO63" s="412">
        <f t="shared" si="722"/>
        <v>0.25</v>
      </c>
      <c r="DP63" s="338">
        <f t="shared" si="723"/>
        <v>-26</v>
      </c>
      <c r="DQ63" s="412">
        <f t="shared" si="724"/>
        <v>-0.14857142857142858</v>
      </c>
      <c r="DR63" s="338">
        <f t="shared" si="725"/>
        <v>-17</v>
      </c>
      <c r="DS63" s="412">
        <f t="shared" si="726"/>
        <v>-0.11409395973154363</v>
      </c>
      <c r="DT63" s="338">
        <f t="shared" si="727"/>
        <v>31</v>
      </c>
      <c r="DU63" s="412">
        <f t="shared" si="736"/>
        <v>0.23484848484848486</v>
      </c>
      <c r="DV63" s="338">
        <f t="shared" si="656"/>
        <v>-24</v>
      </c>
      <c r="DW63" s="412">
        <f t="shared" si="728"/>
        <v>-0.14723926380368099</v>
      </c>
      <c r="DX63" s="338">
        <f t="shared" si="657"/>
        <v>-21</v>
      </c>
      <c r="DY63" s="412">
        <f>DX63/BQ63</f>
        <v>-0.15107913669064749</v>
      </c>
      <c r="DZ63" s="338">
        <f t="shared" si="658"/>
        <v>-4</v>
      </c>
      <c r="EA63" s="412">
        <f>DZ63/BR63</f>
        <v>-3.3898305084745763E-2</v>
      </c>
      <c r="EB63" s="338">
        <f t="shared" si="659"/>
        <v>157</v>
      </c>
      <c r="EC63" s="412">
        <f t="shared" si="729"/>
        <v>1.3771929824561404</v>
      </c>
      <c r="ED63" s="338">
        <f t="shared" si="660"/>
        <v>87</v>
      </c>
      <c r="EE63" s="412">
        <f t="shared" si="661"/>
        <v>0.3210332103321033</v>
      </c>
      <c r="EF63" s="338">
        <f t="shared" si="662"/>
        <v>-27</v>
      </c>
      <c r="EG63" s="412">
        <f t="shared" si="663"/>
        <v>-7.5418994413407825E-2</v>
      </c>
      <c r="EH63" s="338">
        <f t="shared" si="664"/>
        <v>-79</v>
      </c>
      <c r="EI63" s="412">
        <f t="shared" si="665"/>
        <v>-0.23867069486404835</v>
      </c>
      <c r="EJ63" s="338">
        <f t="shared" si="666"/>
        <v>-54</v>
      </c>
      <c r="EK63" s="412">
        <f t="shared" si="667"/>
        <v>-0.21428571428571427</v>
      </c>
      <c r="EL63" s="338">
        <f t="shared" si="668"/>
        <v>-5</v>
      </c>
      <c r="EM63" s="412">
        <f t="shared" si="669"/>
        <v>-2.5252525252525252E-2</v>
      </c>
      <c r="EN63" s="338">
        <f t="shared" si="670"/>
        <v>4</v>
      </c>
      <c r="EO63" s="412">
        <f t="shared" si="671"/>
        <v>2.072538860103627E-2</v>
      </c>
      <c r="EP63" s="338">
        <f t="shared" si="672"/>
        <v>-16</v>
      </c>
      <c r="EQ63" s="412">
        <f t="shared" si="673"/>
        <v>-8.1218274111675121E-2</v>
      </c>
      <c r="ER63" s="338">
        <f t="shared" si="674"/>
        <v>38</v>
      </c>
      <c r="ES63" s="412">
        <f t="shared" si="675"/>
        <v>0.20994475138121546</v>
      </c>
      <c r="ET63" s="338">
        <f t="shared" si="676"/>
        <v>-113</v>
      </c>
      <c r="EU63" s="412">
        <f t="shared" si="677"/>
        <v>-0.51598173515981738</v>
      </c>
      <c r="EV63" s="338">
        <f t="shared" si="678"/>
        <v>53</v>
      </c>
      <c r="EW63" s="412">
        <f t="shared" si="679"/>
        <v>0.5</v>
      </c>
      <c r="EX63" s="338">
        <f t="shared" si="680"/>
        <v>16</v>
      </c>
      <c r="EY63" s="412">
        <f t="shared" si="681"/>
        <v>0.10062893081761007</v>
      </c>
      <c r="EZ63" s="338">
        <f t="shared" si="682"/>
        <v>65</v>
      </c>
      <c r="FA63" s="412">
        <f t="shared" si="683"/>
        <v>0.37142857142857144</v>
      </c>
      <c r="FB63" s="338">
        <f t="shared" si="684"/>
        <v>-75</v>
      </c>
      <c r="FC63" s="412">
        <f t="shared" si="685"/>
        <v>-0.3125</v>
      </c>
      <c r="FD63" s="338">
        <f t="shared" si="686"/>
        <v>-8</v>
      </c>
      <c r="FE63" s="412">
        <f t="shared" si="687"/>
        <v>-4.8484848484848485E-2</v>
      </c>
      <c r="FF63" s="338">
        <f t="shared" si="688"/>
        <v>-157</v>
      </c>
      <c r="FG63" s="412">
        <f t="shared" si="689"/>
        <v>-1</v>
      </c>
      <c r="FH63" s="924">
        <f t="shared" si="690"/>
        <v>331</v>
      </c>
      <c r="FI63" s="925">
        <f t="shared" si="691"/>
        <v>157</v>
      </c>
      <c r="FJ63" s="123">
        <f t="shared" si="692"/>
        <v>-174</v>
      </c>
      <c r="FK63" s="117">
        <f t="shared" si="745"/>
        <v>-0.52567975830815705</v>
      </c>
      <c r="FL63" s="711"/>
      <c r="FM63" s="711"/>
      <c r="FN63" s="711"/>
      <c r="FO63" s="32" t="str">
        <f t="shared" si="737"/>
        <v>Number Trained in Classroom</v>
      </c>
      <c r="FP63" s="278" t="e">
        <f>#REF!</f>
        <v>#REF!</v>
      </c>
      <c r="FQ63" s="278" t="e">
        <f>#REF!</f>
        <v>#REF!</v>
      </c>
      <c r="FR63" s="278" t="e">
        <f>#REF!</f>
        <v>#REF!</v>
      </c>
      <c r="FS63" s="278" t="e">
        <f>#REF!</f>
        <v>#REF!</v>
      </c>
      <c r="FT63" s="278" t="e">
        <f>#REF!</f>
        <v>#REF!</v>
      </c>
      <c r="FU63" s="278" t="e">
        <f>#REF!</f>
        <v>#REF!</v>
      </c>
      <c r="FV63" s="278" t="e">
        <f>#REF!</f>
        <v>#REF!</v>
      </c>
      <c r="FW63" s="278" t="e">
        <f>#REF!</f>
        <v>#REF!</v>
      </c>
      <c r="FX63" s="278" t="e">
        <f>#REF!</f>
        <v>#REF!</v>
      </c>
      <c r="FY63" s="278" t="e">
        <f>#REF!</f>
        <v>#REF!</v>
      </c>
      <c r="FZ63" s="278" t="e">
        <f>#REF!</f>
        <v>#REF!</v>
      </c>
      <c r="GA63" s="279">
        <f t="shared" si="738"/>
        <v>92</v>
      </c>
      <c r="GB63" s="279">
        <f t="shared" si="738"/>
        <v>96</v>
      </c>
      <c r="GC63" s="279">
        <f t="shared" si="738"/>
        <v>115</v>
      </c>
      <c r="GD63" s="279">
        <f t="shared" si="738"/>
        <v>210</v>
      </c>
      <c r="GE63" s="279">
        <f t="shared" si="738"/>
        <v>102</v>
      </c>
      <c r="GF63" s="279">
        <f t="shared" si="738"/>
        <v>122</v>
      </c>
      <c r="GG63" s="279">
        <f t="shared" si="738"/>
        <v>186</v>
      </c>
      <c r="GH63" s="279">
        <f t="shared" si="738"/>
        <v>216</v>
      </c>
      <c r="GI63" s="279">
        <f t="shared" si="738"/>
        <v>180</v>
      </c>
      <c r="GJ63" s="279">
        <f t="shared" si="738"/>
        <v>183</v>
      </c>
      <c r="GK63" s="279">
        <f t="shared" si="738"/>
        <v>189</v>
      </c>
      <c r="GL63" s="279">
        <f t="shared" si="738"/>
        <v>89</v>
      </c>
      <c r="GM63" s="279">
        <f t="shared" si="739"/>
        <v>88</v>
      </c>
      <c r="GN63" s="279">
        <f t="shared" si="739"/>
        <v>159</v>
      </c>
      <c r="GO63" s="279">
        <f t="shared" si="739"/>
        <v>71</v>
      </c>
      <c r="GP63" s="279">
        <f t="shared" si="739"/>
        <v>83</v>
      </c>
      <c r="GQ63" s="279">
        <f t="shared" si="739"/>
        <v>37</v>
      </c>
      <c r="GR63" s="279">
        <f t="shared" si="739"/>
        <v>156</v>
      </c>
      <c r="GS63" s="279">
        <f t="shared" si="739"/>
        <v>51</v>
      </c>
      <c r="GT63" s="279">
        <f t="shared" si="739"/>
        <v>116</v>
      </c>
      <c r="GU63" s="279">
        <f t="shared" si="739"/>
        <v>95</v>
      </c>
      <c r="GV63" s="279">
        <f t="shared" si="739"/>
        <v>121</v>
      </c>
      <c r="GW63" s="279">
        <f t="shared" si="739"/>
        <v>91</v>
      </c>
      <c r="GX63" s="279">
        <f t="shared" si="739"/>
        <v>131</v>
      </c>
      <c r="GY63" s="830">
        <f t="shared" si="740"/>
        <v>140</v>
      </c>
      <c r="GZ63" s="830">
        <f t="shared" si="740"/>
        <v>175</v>
      </c>
      <c r="HA63" s="830">
        <f t="shared" si="740"/>
        <v>149</v>
      </c>
      <c r="HB63" s="830">
        <f t="shared" si="740"/>
        <v>132</v>
      </c>
      <c r="HC63" s="830">
        <f t="shared" si="740"/>
        <v>163</v>
      </c>
      <c r="HD63" s="830">
        <f t="shared" si="731"/>
        <v>139</v>
      </c>
      <c r="HE63" s="830">
        <f t="shared" si="732"/>
        <v>118</v>
      </c>
      <c r="HF63" s="830">
        <f t="shared" si="733"/>
        <v>114</v>
      </c>
      <c r="HG63" s="830">
        <f t="shared" si="734"/>
        <v>271</v>
      </c>
      <c r="HH63" s="830">
        <f t="shared" si="741"/>
        <v>358</v>
      </c>
      <c r="HI63" s="830">
        <f t="shared" si="741"/>
        <v>331</v>
      </c>
      <c r="HJ63" s="830">
        <f t="shared" si="741"/>
        <v>252</v>
      </c>
      <c r="HK63" s="958">
        <f t="shared" si="742"/>
        <v>198</v>
      </c>
      <c r="HL63" s="958">
        <f t="shared" si="743"/>
        <v>193</v>
      </c>
      <c r="HM63" s="958">
        <f t="shared" si="743"/>
        <v>197</v>
      </c>
      <c r="HN63" s="958">
        <f t="shared" si="743"/>
        <v>181</v>
      </c>
      <c r="HO63" s="958">
        <f t="shared" si="743"/>
        <v>219</v>
      </c>
      <c r="HP63" s="958">
        <f t="shared" si="743"/>
        <v>106</v>
      </c>
      <c r="HQ63" s="958">
        <f t="shared" si="743"/>
        <v>159</v>
      </c>
      <c r="HR63" s="958">
        <f t="shared" si="743"/>
        <v>175</v>
      </c>
      <c r="HS63" s="958">
        <f t="shared" si="743"/>
        <v>240</v>
      </c>
      <c r="HT63" s="958">
        <f t="shared" si="743"/>
        <v>165</v>
      </c>
      <c r="HU63" s="958">
        <f t="shared" si="743"/>
        <v>157</v>
      </c>
      <c r="HV63" s="958">
        <f t="shared" si="743"/>
        <v>0</v>
      </c>
    </row>
    <row r="64" spans="1:230" s="1" customFormat="1" ht="15.75" thickBot="1" x14ac:dyDescent="0.3">
      <c r="A64" s="803"/>
      <c r="B64" s="104">
        <v>8.1300000000000008</v>
      </c>
      <c r="C64" s="4"/>
      <c r="D64" s="456"/>
      <c r="E64" s="1035" t="s">
        <v>62</v>
      </c>
      <c r="F64" s="1035"/>
      <c r="G64" s="1036"/>
      <c r="H64" s="386">
        <v>186</v>
      </c>
      <c r="I64" s="65">
        <v>192</v>
      </c>
      <c r="J64" s="17">
        <v>274</v>
      </c>
      <c r="K64" s="65">
        <v>287</v>
      </c>
      <c r="L64" s="17">
        <v>196</v>
      </c>
      <c r="M64" s="65">
        <v>116</v>
      </c>
      <c r="N64" s="17">
        <v>148</v>
      </c>
      <c r="O64" s="65">
        <v>278</v>
      </c>
      <c r="P64" s="17">
        <v>349</v>
      </c>
      <c r="Q64" s="65">
        <v>163</v>
      </c>
      <c r="R64" s="17">
        <v>110</v>
      </c>
      <c r="S64" s="65">
        <v>108</v>
      </c>
      <c r="T64" s="146">
        <v>2407</v>
      </c>
      <c r="U64" s="165">
        <v>200.58333333333334</v>
      </c>
      <c r="V64" s="386">
        <v>109</v>
      </c>
      <c r="W64" s="65">
        <v>124</v>
      </c>
      <c r="X64" s="17">
        <v>158</v>
      </c>
      <c r="Y64" s="65">
        <v>122</v>
      </c>
      <c r="Z64" s="17">
        <v>93</v>
      </c>
      <c r="AA64" s="65">
        <v>97</v>
      </c>
      <c r="AB64" s="17">
        <v>103</v>
      </c>
      <c r="AC64" s="65">
        <v>127</v>
      </c>
      <c r="AD64" s="17">
        <v>193</v>
      </c>
      <c r="AE64" s="65">
        <v>122</v>
      </c>
      <c r="AF64" s="17">
        <v>141</v>
      </c>
      <c r="AG64" s="65">
        <v>122</v>
      </c>
      <c r="AH64" s="146">
        <v>1511</v>
      </c>
      <c r="AI64" s="165">
        <v>125.91666666666667</v>
      </c>
      <c r="AJ64" s="386">
        <v>131</v>
      </c>
      <c r="AK64" s="65">
        <v>154</v>
      </c>
      <c r="AL64" s="17">
        <v>147</v>
      </c>
      <c r="AM64" s="65">
        <v>176</v>
      </c>
      <c r="AN64" s="17">
        <v>183</v>
      </c>
      <c r="AO64" s="65">
        <v>162</v>
      </c>
      <c r="AP64" s="637">
        <v>222</v>
      </c>
      <c r="AQ64" s="65">
        <v>216</v>
      </c>
      <c r="AR64" s="637">
        <v>229</v>
      </c>
      <c r="AS64" s="65">
        <v>301</v>
      </c>
      <c r="AT64" s="637">
        <v>187</v>
      </c>
      <c r="AU64" s="65">
        <v>129</v>
      </c>
      <c r="AV64" s="146">
        <f t="shared" si="634"/>
        <v>2237</v>
      </c>
      <c r="AW64" s="165">
        <f t="shared" si="635"/>
        <v>186.41666666666666</v>
      </c>
      <c r="AX64" s="386">
        <v>103</v>
      </c>
      <c r="AY64" s="65">
        <v>181</v>
      </c>
      <c r="AZ64" s="17">
        <v>157</v>
      </c>
      <c r="BA64" s="65">
        <v>5</v>
      </c>
      <c r="BB64" s="17">
        <v>7</v>
      </c>
      <c r="BC64" s="65">
        <v>50</v>
      </c>
      <c r="BD64" s="637">
        <v>9</v>
      </c>
      <c r="BE64" s="65">
        <v>26</v>
      </c>
      <c r="BF64" s="637">
        <v>23</v>
      </c>
      <c r="BG64" s="65">
        <v>17</v>
      </c>
      <c r="BH64" s="637">
        <v>18</v>
      </c>
      <c r="BI64" s="65">
        <v>15</v>
      </c>
      <c r="BJ64" s="146">
        <f t="shared" si="638"/>
        <v>611</v>
      </c>
      <c r="BK64" s="165">
        <f t="shared" si="639"/>
        <v>50.916666666666664</v>
      </c>
      <c r="BL64" s="386">
        <v>22</v>
      </c>
      <c r="BM64" s="65">
        <v>41</v>
      </c>
      <c r="BN64" s="17">
        <v>40</v>
      </c>
      <c r="BO64" s="65">
        <v>46</v>
      </c>
      <c r="BP64" s="17">
        <v>27</v>
      </c>
      <c r="BQ64" s="65">
        <v>20</v>
      </c>
      <c r="BR64" s="637">
        <v>28</v>
      </c>
      <c r="BS64" s="65">
        <v>110</v>
      </c>
      <c r="BT64" s="637">
        <v>94</v>
      </c>
      <c r="BU64" s="637">
        <v>60</v>
      </c>
      <c r="BV64" s="637">
        <v>52</v>
      </c>
      <c r="BW64" s="637">
        <v>34</v>
      </c>
      <c r="BX64" s="146">
        <f t="shared" si="646"/>
        <v>574</v>
      </c>
      <c r="BY64" s="165">
        <f t="shared" si="647"/>
        <v>47.833333333333336</v>
      </c>
      <c r="BZ64" s="637">
        <v>20</v>
      </c>
      <c r="CA64" s="65">
        <v>17</v>
      </c>
      <c r="CB64" s="17">
        <v>33</v>
      </c>
      <c r="CC64" s="65">
        <v>45</v>
      </c>
      <c r="CD64" s="17">
        <v>14</v>
      </c>
      <c r="CE64" s="65">
        <v>39</v>
      </c>
      <c r="CF64" s="637">
        <v>67</v>
      </c>
      <c r="CG64" s="65">
        <v>50</v>
      </c>
      <c r="CH64" s="637">
        <v>40</v>
      </c>
      <c r="CI64" s="637">
        <v>39</v>
      </c>
      <c r="CJ64" s="637">
        <v>49</v>
      </c>
      <c r="CK64" s="637"/>
      <c r="CL64" s="146">
        <f t="shared" si="654"/>
        <v>413</v>
      </c>
      <c r="CM64" s="165">
        <f t="shared" si="655"/>
        <v>37.545454545454547</v>
      </c>
      <c r="CN64" s="667">
        <f t="shared" si="701"/>
        <v>-26</v>
      </c>
      <c r="CO64" s="681">
        <f t="shared" si="735"/>
        <v>-0.20155038759689922</v>
      </c>
      <c r="CP64" s="667">
        <f t="shared" si="702"/>
        <v>78</v>
      </c>
      <c r="CQ64" s="681">
        <f>CP64/AX64</f>
        <v>0.75728155339805825</v>
      </c>
      <c r="CR64" s="667">
        <f t="shared" si="704"/>
        <v>-24</v>
      </c>
      <c r="CS64" s="681">
        <f t="shared" si="705"/>
        <v>-0.13259668508287292</v>
      </c>
      <c r="CT64" s="667">
        <f t="shared" si="706"/>
        <v>-152</v>
      </c>
      <c r="CU64" s="681">
        <f t="shared" si="707"/>
        <v>-0.96815286624203822</v>
      </c>
      <c r="CV64" s="667">
        <f t="shared" si="708"/>
        <v>2</v>
      </c>
      <c r="CW64" s="681">
        <f>CV64/BA64</f>
        <v>0.4</v>
      </c>
      <c r="CX64" s="667">
        <f t="shared" si="709"/>
        <v>43</v>
      </c>
      <c r="CY64" s="681">
        <f t="shared" si="744"/>
        <v>6.1428571428571432</v>
      </c>
      <c r="CZ64" s="667">
        <f t="shared" si="710"/>
        <v>-41</v>
      </c>
      <c r="DA64" s="681">
        <f>CZ64/BC64</f>
        <v>-0.82</v>
      </c>
      <c r="DB64" s="667">
        <f t="shared" si="711"/>
        <v>17</v>
      </c>
      <c r="DC64" s="681">
        <f>DB64/BD64</f>
        <v>1.8888888888888888</v>
      </c>
      <c r="DD64" s="667">
        <f t="shared" si="712"/>
        <v>-3</v>
      </c>
      <c r="DE64" s="681">
        <f t="shared" si="713"/>
        <v>-0.11538461538461539</v>
      </c>
      <c r="DF64" s="667">
        <f t="shared" si="714"/>
        <v>-6</v>
      </c>
      <c r="DG64" s="193">
        <f t="shared" si="715"/>
        <v>-0.2608695652173913</v>
      </c>
      <c r="DH64" s="667">
        <f t="shared" si="716"/>
        <v>1</v>
      </c>
      <c r="DI64" s="681">
        <f t="shared" si="717"/>
        <v>5.8823529411764705E-2</v>
      </c>
      <c r="DJ64" s="667">
        <f t="shared" si="718"/>
        <v>-3</v>
      </c>
      <c r="DK64" s="681">
        <f>DJ64/BH64</f>
        <v>-0.16666666666666666</v>
      </c>
      <c r="DL64" s="667">
        <f t="shared" si="719"/>
        <v>7</v>
      </c>
      <c r="DM64" s="681">
        <f t="shared" si="720"/>
        <v>0.46666666666666667</v>
      </c>
      <c r="DN64" s="169">
        <f t="shared" si="721"/>
        <v>19</v>
      </c>
      <c r="DO64" s="413">
        <f t="shared" si="722"/>
        <v>0.86363636363636365</v>
      </c>
      <c r="DP64" s="169">
        <f t="shared" si="723"/>
        <v>-1</v>
      </c>
      <c r="DQ64" s="413">
        <f t="shared" si="724"/>
        <v>-2.4390243902439025E-2</v>
      </c>
      <c r="DR64" s="169">
        <f t="shared" si="725"/>
        <v>6</v>
      </c>
      <c r="DS64" s="413">
        <f t="shared" si="726"/>
        <v>0.15</v>
      </c>
      <c r="DT64" s="169">
        <f t="shared" si="727"/>
        <v>-19</v>
      </c>
      <c r="DU64" s="413">
        <f t="shared" si="736"/>
        <v>-0.41304347826086957</v>
      </c>
      <c r="DV64" s="169">
        <f t="shared" si="656"/>
        <v>-7</v>
      </c>
      <c r="DW64" s="413">
        <f t="shared" si="728"/>
        <v>-0.25925925925925924</v>
      </c>
      <c r="DX64" s="169">
        <f t="shared" si="657"/>
        <v>8</v>
      </c>
      <c r="DY64" s="413">
        <f>DX64/BQ64</f>
        <v>0.4</v>
      </c>
      <c r="DZ64" s="169">
        <f t="shared" si="658"/>
        <v>82</v>
      </c>
      <c r="EA64" s="413">
        <f>DZ64/BR64</f>
        <v>2.9285714285714284</v>
      </c>
      <c r="EB64" s="169">
        <f t="shared" si="659"/>
        <v>-16</v>
      </c>
      <c r="EC64" s="413">
        <f t="shared" si="729"/>
        <v>-0.14545454545454545</v>
      </c>
      <c r="ED64" s="169">
        <f t="shared" si="660"/>
        <v>-34</v>
      </c>
      <c r="EE64" s="413">
        <f t="shared" si="661"/>
        <v>-0.36170212765957449</v>
      </c>
      <c r="EF64" s="169">
        <f t="shared" si="662"/>
        <v>-8</v>
      </c>
      <c r="EG64" s="413">
        <f t="shared" si="663"/>
        <v>-0.13333333333333333</v>
      </c>
      <c r="EH64" s="169">
        <f t="shared" si="664"/>
        <v>-18</v>
      </c>
      <c r="EI64" s="413">
        <f t="shared" si="665"/>
        <v>-0.34615384615384615</v>
      </c>
      <c r="EJ64" s="169">
        <f t="shared" si="666"/>
        <v>-14</v>
      </c>
      <c r="EK64" s="413">
        <f t="shared" si="667"/>
        <v>-0.41176470588235292</v>
      </c>
      <c r="EL64" s="169">
        <f t="shared" si="668"/>
        <v>-3</v>
      </c>
      <c r="EM64" s="413">
        <f t="shared" si="669"/>
        <v>-0.15</v>
      </c>
      <c r="EN64" s="169">
        <f t="shared" si="670"/>
        <v>16</v>
      </c>
      <c r="EO64" s="413">
        <f t="shared" si="671"/>
        <v>0.94117647058823528</v>
      </c>
      <c r="EP64" s="169">
        <f t="shared" si="672"/>
        <v>12</v>
      </c>
      <c r="EQ64" s="413">
        <f t="shared" si="673"/>
        <v>0.36363636363636365</v>
      </c>
      <c r="ER64" s="169">
        <f t="shared" si="674"/>
        <v>-31</v>
      </c>
      <c r="ES64" s="413">
        <f t="shared" si="675"/>
        <v>-0.68888888888888888</v>
      </c>
      <c r="ET64" s="169">
        <f t="shared" si="676"/>
        <v>25</v>
      </c>
      <c r="EU64" s="413">
        <f t="shared" si="677"/>
        <v>1.7857142857142858</v>
      </c>
      <c r="EV64" s="169">
        <f t="shared" si="678"/>
        <v>28</v>
      </c>
      <c r="EW64" s="413">
        <f t="shared" si="679"/>
        <v>0.71794871794871795</v>
      </c>
      <c r="EX64" s="169">
        <f t="shared" si="680"/>
        <v>-17</v>
      </c>
      <c r="EY64" s="413">
        <f t="shared" si="681"/>
        <v>-0.2537313432835821</v>
      </c>
      <c r="EZ64" s="169">
        <f t="shared" si="682"/>
        <v>-10</v>
      </c>
      <c r="FA64" s="413">
        <f t="shared" si="683"/>
        <v>-0.2</v>
      </c>
      <c r="FB64" s="169">
        <f t="shared" si="684"/>
        <v>-1</v>
      </c>
      <c r="FC64" s="413">
        <f t="shared" si="685"/>
        <v>-2.5000000000000001E-2</v>
      </c>
      <c r="FD64" s="169">
        <f t="shared" si="686"/>
        <v>10</v>
      </c>
      <c r="FE64" s="413">
        <f t="shared" si="687"/>
        <v>0.25641025641025639</v>
      </c>
      <c r="FF64" s="169">
        <f t="shared" si="688"/>
        <v>-49</v>
      </c>
      <c r="FG64" s="413">
        <f t="shared" si="689"/>
        <v>-1</v>
      </c>
      <c r="FH64" s="926">
        <f t="shared" si="690"/>
        <v>52</v>
      </c>
      <c r="FI64" s="927">
        <f t="shared" si="691"/>
        <v>49</v>
      </c>
      <c r="FJ64" s="124">
        <f t="shared" si="692"/>
        <v>-3</v>
      </c>
      <c r="FK64" s="193">
        <f t="shared" si="745"/>
        <v>-5.7692307692307696E-2</v>
      </c>
      <c r="FL64" s="705"/>
      <c r="FM64" s="705"/>
      <c r="FN64" s="705"/>
      <c r="FO64" s="1" t="str">
        <f t="shared" si="737"/>
        <v>Number Attending eLearning</v>
      </c>
      <c r="FP64" s="282" t="e">
        <f>#REF!</f>
        <v>#REF!</v>
      </c>
      <c r="FQ64" s="282" t="e">
        <f>#REF!</f>
        <v>#REF!</v>
      </c>
      <c r="FR64" s="282" t="e">
        <f>#REF!</f>
        <v>#REF!</v>
      </c>
      <c r="FS64" s="282" t="e">
        <f>#REF!</f>
        <v>#REF!</v>
      </c>
      <c r="FT64" s="282" t="e">
        <f>#REF!</f>
        <v>#REF!</v>
      </c>
      <c r="FU64" s="282" t="e">
        <f>#REF!</f>
        <v>#REF!</v>
      </c>
      <c r="FV64" s="282" t="e">
        <f>#REF!</f>
        <v>#REF!</v>
      </c>
      <c r="FW64" s="282" t="e">
        <f>#REF!</f>
        <v>#REF!</v>
      </c>
      <c r="FX64" s="282" t="e">
        <f>#REF!</f>
        <v>#REF!</v>
      </c>
      <c r="FY64" s="282" t="e">
        <f>#REF!</f>
        <v>#REF!</v>
      </c>
      <c r="FZ64" s="282" t="e">
        <f>#REF!</f>
        <v>#REF!</v>
      </c>
      <c r="GA64" s="283">
        <f t="shared" si="738"/>
        <v>131</v>
      </c>
      <c r="GB64" s="283">
        <f t="shared" si="738"/>
        <v>154</v>
      </c>
      <c r="GC64" s="283">
        <f t="shared" si="738"/>
        <v>147</v>
      </c>
      <c r="GD64" s="283">
        <f t="shared" si="738"/>
        <v>176</v>
      </c>
      <c r="GE64" s="283">
        <f t="shared" si="738"/>
        <v>183</v>
      </c>
      <c r="GF64" s="283">
        <f t="shared" si="738"/>
        <v>162</v>
      </c>
      <c r="GG64" s="283">
        <f t="shared" si="738"/>
        <v>222</v>
      </c>
      <c r="GH64" s="283">
        <f t="shared" si="738"/>
        <v>216</v>
      </c>
      <c r="GI64" s="283">
        <f t="shared" si="738"/>
        <v>229</v>
      </c>
      <c r="GJ64" s="283">
        <f t="shared" si="738"/>
        <v>301</v>
      </c>
      <c r="GK64" s="283">
        <f t="shared" si="738"/>
        <v>187</v>
      </c>
      <c r="GL64" s="283">
        <f t="shared" si="738"/>
        <v>129</v>
      </c>
      <c r="GM64" s="283">
        <f t="shared" si="739"/>
        <v>103</v>
      </c>
      <c r="GN64" s="283">
        <f t="shared" si="739"/>
        <v>181</v>
      </c>
      <c r="GO64" s="283">
        <f t="shared" si="739"/>
        <v>157</v>
      </c>
      <c r="GP64" s="283">
        <f t="shared" si="739"/>
        <v>5</v>
      </c>
      <c r="GQ64" s="283">
        <f t="shared" si="739"/>
        <v>7</v>
      </c>
      <c r="GR64" s="283">
        <f t="shared" si="739"/>
        <v>50</v>
      </c>
      <c r="GS64" s="283">
        <f t="shared" si="739"/>
        <v>9</v>
      </c>
      <c r="GT64" s="283">
        <f t="shared" si="739"/>
        <v>26</v>
      </c>
      <c r="GU64" s="283">
        <f t="shared" si="739"/>
        <v>23</v>
      </c>
      <c r="GV64" s="283">
        <f t="shared" si="739"/>
        <v>17</v>
      </c>
      <c r="GW64" s="283">
        <f t="shared" si="739"/>
        <v>18</v>
      </c>
      <c r="GX64" s="283">
        <f t="shared" si="739"/>
        <v>15</v>
      </c>
      <c r="GY64" s="832">
        <f t="shared" si="740"/>
        <v>22</v>
      </c>
      <c r="GZ64" s="832">
        <f t="shared" si="740"/>
        <v>41</v>
      </c>
      <c r="HA64" s="832">
        <f t="shared" si="740"/>
        <v>40</v>
      </c>
      <c r="HB64" s="832">
        <f t="shared" si="740"/>
        <v>46</v>
      </c>
      <c r="HC64" s="832">
        <f t="shared" si="740"/>
        <v>27</v>
      </c>
      <c r="HD64" s="832">
        <f t="shared" si="731"/>
        <v>20</v>
      </c>
      <c r="HE64" s="832">
        <f t="shared" si="732"/>
        <v>28</v>
      </c>
      <c r="HF64" s="832">
        <f t="shared" si="733"/>
        <v>110</v>
      </c>
      <c r="HG64" s="832">
        <f t="shared" si="734"/>
        <v>94</v>
      </c>
      <c r="HH64" s="832">
        <f t="shared" si="741"/>
        <v>60</v>
      </c>
      <c r="HI64" s="832">
        <f t="shared" si="741"/>
        <v>52</v>
      </c>
      <c r="HJ64" s="832">
        <f t="shared" si="741"/>
        <v>34</v>
      </c>
      <c r="HK64" s="960">
        <f t="shared" si="742"/>
        <v>20</v>
      </c>
      <c r="HL64" s="960">
        <f t="shared" si="743"/>
        <v>17</v>
      </c>
      <c r="HM64" s="960">
        <f t="shared" si="743"/>
        <v>33</v>
      </c>
      <c r="HN64" s="960">
        <f t="shared" si="743"/>
        <v>45</v>
      </c>
      <c r="HO64" s="960">
        <f t="shared" si="743"/>
        <v>14</v>
      </c>
      <c r="HP64" s="960">
        <f t="shared" si="743"/>
        <v>39</v>
      </c>
      <c r="HQ64" s="960">
        <f t="shared" si="743"/>
        <v>67</v>
      </c>
      <c r="HR64" s="960">
        <f t="shared" si="743"/>
        <v>50</v>
      </c>
      <c r="HS64" s="960">
        <f t="shared" si="743"/>
        <v>40</v>
      </c>
      <c r="HT64" s="960">
        <f t="shared" si="743"/>
        <v>39</v>
      </c>
      <c r="HU64" s="960">
        <f t="shared" si="743"/>
        <v>49</v>
      </c>
      <c r="HV64" s="960">
        <f t="shared" si="743"/>
        <v>0</v>
      </c>
    </row>
    <row r="65" spans="1:230" s="12" customFormat="1" ht="15.75" customHeight="1" x14ac:dyDescent="0.25">
      <c r="A65" s="802">
        <v>9</v>
      </c>
      <c r="B65" s="7" t="s">
        <v>4</v>
      </c>
      <c r="C65" s="9"/>
      <c r="D65" s="457"/>
      <c r="E65" s="464"/>
      <c r="F65" s="464"/>
      <c r="G65" s="464"/>
      <c r="H65" s="398"/>
      <c r="I65" s="73"/>
      <c r="J65" s="26"/>
      <c r="K65" s="73"/>
      <c r="L65" s="26"/>
      <c r="M65" s="73"/>
      <c r="N65" s="26"/>
      <c r="O65" s="73"/>
      <c r="P65" s="26"/>
      <c r="Q65" s="73"/>
      <c r="R65" s="26"/>
      <c r="S65" s="73"/>
      <c r="T65" s="147"/>
      <c r="U65" s="166"/>
      <c r="V65" s="398"/>
      <c r="W65" s="73"/>
      <c r="X65" s="26"/>
      <c r="Y65" s="73"/>
      <c r="Z65" s="26"/>
      <c r="AA65" s="73"/>
      <c r="AB65" s="26"/>
      <c r="AC65" s="73"/>
      <c r="AD65" s="26"/>
      <c r="AE65" s="73"/>
      <c r="AF65" s="26"/>
      <c r="AG65" s="73"/>
      <c r="AH65" s="147"/>
      <c r="AI65" s="166"/>
      <c r="AJ65" s="398"/>
      <c r="AK65" s="73"/>
      <c r="AL65" s="26"/>
      <c r="AM65" s="73"/>
      <c r="AN65" s="26"/>
      <c r="AO65" s="73"/>
      <c r="AP65" s="652"/>
      <c r="AQ65" s="73"/>
      <c r="AR65" s="652"/>
      <c r="AS65" s="73"/>
      <c r="AT65" s="652"/>
      <c r="AU65" s="73"/>
      <c r="AV65" s="147"/>
      <c r="AW65" s="166"/>
      <c r="AX65" s="398"/>
      <c r="AY65" s="73"/>
      <c r="AZ65" s="26"/>
      <c r="BA65" s="73"/>
      <c r="BB65" s="26"/>
      <c r="BC65" s="73"/>
      <c r="BD65" s="652"/>
      <c r="BE65" s="73"/>
      <c r="BF65" s="652"/>
      <c r="BG65" s="73"/>
      <c r="BH65" s="652"/>
      <c r="BI65" s="73"/>
      <c r="BJ65" s="147"/>
      <c r="BK65" s="166"/>
      <c r="BL65" s="398"/>
      <c r="BM65" s="73"/>
      <c r="BN65" s="26"/>
      <c r="BO65" s="73"/>
      <c r="BP65" s="26"/>
      <c r="BQ65" s="73"/>
      <c r="BR65" s="652"/>
      <c r="BS65" s="73"/>
      <c r="BT65" s="652"/>
      <c r="BU65" s="652"/>
      <c r="BV65" s="652"/>
      <c r="BW65" s="652"/>
      <c r="BX65" s="147"/>
      <c r="BY65" s="166"/>
      <c r="BZ65" s="652"/>
      <c r="CA65" s="73"/>
      <c r="CB65" s="26"/>
      <c r="CC65" s="73"/>
      <c r="CD65" s="26"/>
      <c r="CE65" s="73"/>
      <c r="CF65" s="652"/>
      <c r="CG65" s="73"/>
      <c r="CH65" s="652"/>
      <c r="CI65" s="652"/>
      <c r="CJ65" s="652"/>
      <c r="CK65" s="652"/>
      <c r="CL65" s="147"/>
      <c r="CM65" s="166"/>
      <c r="CN65" s="118"/>
      <c r="CO65" s="672"/>
      <c r="CP65" s="118"/>
      <c r="CQ65" s="672"/>
      <c r="CR65" s="118"/>
      <c r="CS65" s="672"/>
      <c r="CT65" s="118"/>
      <c r="CU65" s="672"/>
      <c r="CV65" s="118"/>
      <c r="CW65" s="672"/>
      <c r="CX65" s="118"/>
      <c r="CY65" s="672"/>
      <c r="CZ65" s="118"/>
      <c r="DA65" s="672"/>
      <c r="DB65" s="118"/>
      <c r="DC65" s="672"/>
      <c r="DD65" s="118"/>
      <c r="DE65" s="672"/>
      <c r="DF65" s="118"/>
      <c r="DG65" s="109"/>
      <c r="DH65" s="118"/>
      <c r="DI65" s="672"/>
      <c r="DJ65" s="118"/>
      <c r="DK65" s="672"/>
      <c r="DL65" s="118"/>
      <c r="DM65" s="672"/>
      <c r="DN65" s="327"/>
      <c r="DO65" s="410"/>
      <c r="DP65" s="327"/>
      <c r="DQ65" s="410"/>
      <c r="DR65" s="327"/>
      <c r="DS65" s="410"/>
      <c r="DT65" s="327"/>
      <c r="DU65" s="410"/>
      <c r="DV65" s="327"/>
      <c r="DW65" s="410"/>
      <c r="DX65" s="327"/>
      <c r="DY65" s="410"/>
      <c r="DZ65" s="327"/>
      <c r="EA65" s="410"/>
      <c r="EB65" s="327"/>
      <c r="EC65" s="410"/>
      <c r="ED65" s="327"/>
      <c r="EE65" s="410"/>
      <c r="EF65" s="327"/>
      <c r="EG65" s="410"/>
      <c r="EH65" s="327"/>
      <c r="EI65" s="410"/>
      <c r="EJ65" s="327"/>
      <c r="EK65" s="410"/>
      <c r="EL65" s="327"/>
      <c r="EM65" s="410"/>
      <c r="EN65" s="327"/>
      <c r="EO65" s="410"/>
      <c r="EP65" s="327"/>
      <c r="EQ65" s="410"/>
      <c r="ER65" s="327"/>
      <c r="ES65" s="410"/>
      <c r="ET65" s="327"/>
      <c r="EU65" s="410"/>
      <c r="EV65" s="327"/>
      <c r="EW65" s="410"/>
      <c r="EX65" s="327"/>
      <c r="EY65" s="410"/>
      <c r="EZ65" s="327"/>
      <c r="FA65" s="410"/>
      <c r="FB65" s="327"/>
      <c r="FC65" s="410"/>
      <c r="FD65" s="327"/>
      <c r="FE65" s="410"/>
      <c r="FF65" s="327"/>
      <c r="FG65" s="410"/>
      <c r="FH65" s="227"/>
      <c r="FI65" s="742"/>
      <c r="FJ65" s="118"/>
      <c r="FK65" s="109"/>
      <c r="FL65" s="707"/>
      <c r="FM65" s="707"/>
      <c r="FN65" s="707"/>
      <c r="FP65" s="284"/>
      <c r="FQ65" s="284"/>
      <c r="FR65" s="284"/>
      <c r="FS65" s="284"/>
      <c r="FT65" s="284"/>
      <c r="FU65" s="284"/>
      <c r="FV65" s="284"/>
      <c r="FW65" s="284"/>
      <c r="FX65" s="284"/>
      <c r="FY65" s="284"/>
      <c r="FZ65" s="284"/>
      <c r="GA65" s="285"/>
      <c r="GB65" s="285"/>
      <c r="GC65" s="285"/>
      <c r="GD65" s="285"/>
      <c r="GE65" s="285"/>
      <c r="GF65" s="285"/>
      <c r="GG65" s="285"/>
      <c r="GH65" s="285"/>
      <c r="GI65" s="285"/>
      <c r="GJ65" s="285"/>
      <c r="GK65" s="285"/>
      <c r="GL65" s="285"/>
      <c r="GM65" s="285"/>
      <c r="GN65" s="285"/>
      <c r="GO65" s="285"/>
      <c r="GP65" s="285"/>
      <c r="GQ65" s="285"/>
      <c r="GR65" s="285"/>
      <c r="GS65" s="285"/>
      <c r="GT65" s="285"/>
      <c r="GU65" s="285"/>
      <c r="GV65" s="285"/>
      <c r="GW65" s="285"/>
      <c r="GX65" s="285"/>
      <c r="GY65" s="833"/>
      <c r="GZ65" s="833"/>
      <c r="HA65" s="833"/>
      <c r="HB65" s="833"/>
      <c r="HC65" s="833"/>
      <c r="HD65" s="833"/>
      <c r="HE65" s="833"/>
      <c r="HF65" s="833"/>
      <c r="HG65" s="833"/>
      <c r="HH65" s="833"/>
      <c r="HI65" s="833"/>
      <c r="HJ65" s="833"/>
      <c r="HK65" s="961"/>
      <c r="HL65" s="961"/>
      <c r="HM65" s="961"/>
      <c r="HN65" s="961"/>
      <c r="HO65" s="961"/>
      <c r="HP65" s="961"/>
      <c r="HQ65" s="961"/>
      <c r="HR65" s="961"/>
      <c r="HS65" s="961"/>
      <c r="HT65" s="961"/>
      <c r="HU65" s="961"/>
      <c r="HV65" s="961"/>
    </row>
    <row r="66" spans="1:230" s="36" customFormat="1" x14ac:dyDescent="0.25">
      <c r="A66" s="808"/>
      <c r="B66" s="56">
        <v>9.1</v>
      </c>
      <c r="C66" s="35"/>
      <c r="D66" s="465"/>
      <c r="E66" s="1039" t="s">
        <v>68</v>
      </c>
      <c r="F66" s="1039"/>
      <c r="G66" s="1040"/>
      <c r="H66" s="399">
        <v>1</v>
      </c>
      <c r="I66" s="74">
        <v>1</v>
      </c>
      <c r="J66" s="19">
        <v>0.94320000000000004</v>
      </c>
      <c r="K66" s="74">
        <v>1</v>
      </c>
      <c r="L66" s="19">
        <v>1</v>
      </c>
      <c r="M66" s="74">
        <v>1</v>
      </c>
      <c r="N66" s="19">
        <v>1</v>
      </c>
      <c r="O66" s="74">
        <v>1</v>
      </c>
      <c r="P66" s="19">
        <v>1</v>
      </c>
      <c r="Q66" s="74">
        <v>1</v>
      </c>
      <c r="R66" s="19">
        <v>1</v>
      </c>
      <c r="S66" s="74">
        <v>1</v>
      </c>
      <c r="T66" s="132" t="s">
        <v>29</v>
      </c>
      <c r="U66" s="151">
        <v>0.99526666666666674</v>
      </c>
      <c r="V66" s="399">
        <v>1</v>
      </c>
      <c r="W66" s="74">
        <v>1</v>
      </c>
      <c r="X66" s="19">
        <v>1</v>
      </c>
      <c r="Y66" s="74">
        <v>0.99860000000000004</v>
      </c>
      <c r="Z66" s="19">
        <v>1</v>
      </c>
      <c r="AA66" s="74">
        <v>1</v>
      </c>
      <c r="AB66" s="19">
        <v>1</v>
      </c>
      <c r="AC66" s="74">
        <v>1</v>
      </c>
      <c r="AD66" s="19">
        <v>1</v>
      </c>
      <c r="AE66" s="74">
        <v>1</v>
      </c>
      <c r="AF66" s="19">
        <v>1</v>
      </c>
      <c r="AG66" s="74">
        <v>1</v>
      </c>
      <c r="AH66" s="132" t="s">
        <v>29</v>
      </c>
      <c r="AI66" s="151">
        <v>0.99988333333333335</v>
      </c>
      <c r="AJ66" s="399">
        <v>1</v>
      </c>
      <c r="AK66" s="74">
        <v>0.998</v>
      </c>
      <c r="AL66" s="19">
        <v>1</v>
      </c>
      <c r="AM66" s="74">
        <v>1</v>
      </c>
      <c r="AN66" s="19">
        <v>1</v>
      </c>
      <c r="AO66" s="74">
        <v>1</v>
      </c>
      <c r="AP66" s="653">
        <v>1</v>
      </c>
      <c r="AQ66" s="74">
        <v>1</v>
      </c>
      <c r="AR66" s="653">
        <v>1</v>
      </c>
      <c r="AS66" s="74">
        <v>1</v>
      </c>
      <c r="AT66" s="653">
        <v>1</v>
      </c>
      <c r="AU66" s="74">
        <v>1</v>
      </c>
      <c r="AV66" s="132" t="s">
        <v>29</v>
      </c>
      <c r="AW66" s="151">
        <f>SUM(AJ66:AU66)/$AV$4</f>
        <v>0.99983333333333346</v>
      </c>
      <c r="AX66" s="399">
        <v>1</v>
      </c>
      <c r="AY66" s="74">
        <v>0.99739999999999995</v>
      </c>
      <c r="AZ66" s="19">
        <v>1</v>
      </c>
      <c r="BA66" s="74">
        <v>1</v>
      </c>
      <c r="BB66" s="19">
        <v>1</v>
      </c>
      <c r="BC66" s="74">
        <v>1</v>
      </c>
      <c r="BD66" s="653">
        <v>1</v>
      </c>
      <c r="BE66" s="74">
        <v>1</v>
      </c>
      <c r="BF66" s="653">
        <v>1</v>
      </c>
      <c r="BG66" s="74">
        <v>1</v>
      </c>
      <c r="BH66" s="653">
        <v>1</v>
      </c>
      <c r="BI66" s="74">
        <v>1</v>
      </c>
      <c r="BJ66" s="132" t="s">
        <v>29</v>
      </c>
      <c r="BK66" s="151">
        <f>SUM(AX66:BI66)/$BJ$4</f>
        <v>0.99978333333333325</v>
      </c>
      <c r="BL66" s="399">
        <v>1</v>
      </c>
      <c r="BM66" s="74">
        <v>1</v>
      </c>
      <c r="BN66" s="19">
        <v>0.99329999999999996</v>
      </c>
      <c r="BO66" s="74">
        <v>1</v>
      </c>
      <c r="BP66" s="19">
        <v>1</v>
      </c>
      <c r="BQ66" s="74">
        <v>1</v>
      </c>
      <c r="BR66" s="653">
        <v>1</v>
      </c>
      <c r="BS66" s="74">
        <v>1</v>
      </c>
      <c r="BT66" s="653">
        <v>1</v>
      </c>
      <c r="BU66" s="653">
        <v>0.99839999999999995</v>
      </c>
      <c r="BV66" s="653">
        <v>1</v>
      </c>
      <c r="BW66" s="653">
        <v>1</v>
      </c>
      <c r="BX66" s="132" t="s">
        <v>29</v>
      </c>
      <c r="BY66" s="151">
        <f>SUM(BL66:BW66)/$BX$4</f>
        <v>0.99930833333333335</v>
      </c>
      <c r="BZ66" s="653">
        <v>1</v>
      </c>
      <c r="CA66" s="74">
        <v>1</v>
      </c>
      <c r="CB66" s="19">
        <v>1</v>
      </c>
      <c r="CC66" s="74">
        <v>1</v>
      </c>
      <c r="CD66" s="19">
        <v>1</v>
      </c>
      <c r="CE66" s="74">
        <v>1</v>
      </c>
      <c r="CF66" s="653">
        <v>1</v>
      </c>
      <c r="CG66" s="74">
        <v>1</v>
      </c>
      <c r="CH66" s="653">
        <v>1</v>
      </c>
      <c r="CI66" s="653">
        <v>1</v>
      </c>
      <c r="CJ66" s="653">
        <v>1</v>
      </c>
      <c r="CK66" s="653"/>
      <c r="CL66" s="132" t="s">
        <v>29</v>
      </c>
      <c r="CM66" s="151">
        <f>SUM(BZ66:CK66)/$CL$4</f>
        <v>1</v>
      </c>
      <c r="CN66" s="696">
        <f>AX66-AU66</f>
        <v>0</v>
      </c>
      <c r="CO66" s="697">
        <f>CN66/AU66</f>
        <v>0</v>
      </c>
      <c r="CP66" s="696">
        <f>AY66-AX66</f>
        <v>-2.6000000000000467E-3</v>
      </c>
      <c r="CQ66" s="697">
        <f>CP66/AX66</f>
        <v>-2.6000000000000467E-3</v>
      </c>
      <c r="CR66" s="696">
        <f>AZ66-AY66</f>
        <v>2.6000000000000467E-3</v>
      </c>
      <c r="CS66" s="697">
        <f>CR66/AY66</f>
        <v>2.6067776218167706E-3</v>
      </c>
      <c r="CT66" s="696">
        <f>BA66-AZ66</f>
        <v>0</v>
      </c>
      <c r="CU66" s="697">
        <f>CT66/AZ66</f>
        <v>0</v>
      </c>
      <c r="CV66" s="696">
        <f>BB66-BA66</f>
        <v>0</v>
      </c>
      <c r="CW66" s="697">
        <f>CV66/BA66</f>
        <v>0</v>
      </c>
      <c r="CX66" s="696">
        <f>BC66-BB66</f>
        <v>0</v>
      </c>
      <c r="CY66" s="697">
        <f>CX66/BB66</f>
        <v>0</v>
      </c>
      <c r="CZ66" s="699">
        <f>BD66-BC66</f>
        <v>0</v>
      </c>
      <c r="DA66" s="697">
        <f>CZ66/BC66</f>
        <v>0</v>
      </c>
      <c r="DB66" s="696">
        <f>BE66-BD66</f>
        <v>0</v>
      </c>
      <c r="DC66" s="697">
        <f>DB66/BD66</f>
        <v>0</v>
      </c>
      <c r="DD66" s="696">
        <f>BF66-BE66</f>
        <v>0</v>
      </c>
      <c r="DE66" s="697">
        <f>DD66/BE66</f>
        <v>0</v>
      </c>
      <c r="DF66" s="696">
        <f>BG66-BF66</f>
        <v>0</v>
      </c>
      <c r="DG66" s="847">
        <f>DF66/BF66</f>
        <v>0</v>
      </c>
      <c r="DH66" s="696">
        <f>BH66-BG66</f>
        <v>0</v>
      </c>
      <c r="DI66" s="697">
        <f>DH66/BG66</f>
        <v>0</v>
      </c>
      <c r="DJ66" s="696">
        <f>BI66-BH66</f>
        <v>0</v>
      </c>
      <c r="DK66" s="697">
        <f>DJ66/BH66</f>
        <v>0</v>
      </c>
      <c r="DL66" s="696">
        <f t="shared" ref="DL66:DL70" si="746">BL66-BI66</f>
        <v>0</v>
      </c>
      <c r="DM66" s="697">
        <f>DL66/BI66</f>
        <v>0</v>
      </c>
      <c r="DN66" s="325">
        <f t="shared" ref="DN66:DN70" si="747">BM66-BL66</f>
        <v>0</v>
      </c>
      <c r="DO66" s="410">
        <f>DN66/BL66</f>
        <v>0</v>
      </c>
      <c r="DP66" s="325">
        <f t="shared" ref="DP66:DP70" si="748">BN66-BM66</f>
        <v>-6.7000000000000393E-3</v>
      </c>
      <c r="DQ66" s="410">
        <f>DP66/BM66</f>
        <v>-6.7000000000000393E-3</v>
      </c>
      <c r="DR66" s="325">
        <f>BO66-BN66</f>
        <v>6.7000000000000393E-3</v>
      </c>
      <c r="DS66" s="410">
        <f>DR66/BN66</f>
        <v>6.7451927917044595E-3</v>
      </c>
      <c r="DT66" s="325">
        <f>BP66-BO66</f>
        <v>0</v>
      </c>
      <c r="DU66" s="672">
        <f>DT66/BO66</f>
        <v>0</v>
      </c>
      <c r="DV66" s="325">
        <f>BQ66-BP66</f>
        <v>0</v>
      </c>
      <c r="DW66" s="410">
        <f>DV66/BP66</f>
        <v>0</v>
      </c>
      <c r="DX66" s="929">
        <f>BR66-BQ66</f>
        <v>0</v>
      </c>
      <c r="DY66" s="410">
        <f>DX66/BQ66</f>
        <v>0</v>
      </c>
      <c r="DZ66" s="325">
        <f>BS66-BR66</f>
        <v>0</v>
      </c>
      <c r="EA66" s="410">
        <f>DZ66/BR66</f>
        <v>0</v>
      </c>
      <c r="EB66" s="325">
        <f>BT66-BS66</f>
        <v>0</v>
      </c>
      <c r="EC66" s="410">
        <f>EB66/BS66</f>
        <v>0</v>
      </c>
      <c r="ED66" s="325">
        <f>BU66-BT66</f>
        <v>-1.6000000000000458E-3</v>
      </c>
      <c r="EE66" s="410">
        <f>ED66/BT66</f>
        <v>-1.6000000000000458E-3</v>
      </c>
      <c r="EF66" s="325">
        <f>BV66-BU66</f>
        <v>1.6000000000000458E-3</v>
      </c>
      <c r="EG66" s="410">
        <f>EF66/BU66</f>
        <v>1.6025641025641485E-3</v>
      </c>
      <c r="EH66" s="325">
        <f>BW66-BV66</f>
        <v>0</v>
      </c>
      <c r="EI66" s="410">
        <f>EH66/BV66</f>
        <v>0</v>
      </c>
      <c r="EJ66" s="325">
        <f>BZ66-BW66</f>
        <v>0</v>
      </c>
      <c r="EK66" s="410">
        <f>EJ66/BW66</f>
        <v>0</v>
      </c>
      <c r="EL66" s="325">
        <f>CA66-BZ66</f>
        <v>0</v>
      </c>
      <c r="EM66" s="410">
        <f>EL66/BZ66</f>
        <v>0</v>
      </c>
      <c r="EN66" s="325">
        <f>CB66-CA66</f>
        <v>0</v>
      </c>
      <c r="EO66" s="410">
        <f>EN66/CA66</f>
        <v>0</v>
      </c>
      <c r="EP66" s="325">
        <f>CC66-CB66</f>
        <v>0</v>
      </c>
      <c r="EQ66" s="410">
        <f>EP66/CB66</f>
        <v>0</v>
      </c>
      <c r="ER66" s="325">
        <f>CD66-CC66</f>
        <v>0</v>
      </c>
      <c r="ES66" s="410">
        <f>ER66/CC66</f>
        <v>0</v>
      </c>
      <c r="ET66" s="325">
        <f>CE66-CD66</f>
        <v>0</v>
      </c>
      <c r="EU66" s="410">
        <f>ET66/CD66</f>
        <v>0</v>
      </c>
      <c r="EV66" s="325">
        <f>CF66-CE66</f>
        <v>0</v>
      </c>
      <c r="EW66" s="410">
        <f>EV66/CE66</f>
        <v>0</v>
      </c>
      <c r="EX66" s="325">
        <f>CG66-CF66</f>
        <v>0</v>
      </c>
      <c r="EY66" s="410">
        <f>EX66/CF66</f>
        <v>0</v>
      </c>
      <c r="EZ66" s="325">
        <f>CH66-CG66</f>
        <v>0</v>
      </c>
      <c r="FA66" s="410">
        <f>EZ66/CG66</f>
        <v>0</v>
      </c>
      <c r="FB66" s="325">
        <f>CI66-CH66</f>
        <v>0</v>
      </c>
      <c r="FC66" s="410">
        <f>FB66/CH66</f>
        <v>0</v>
      </c>
      <c r="FD66" s="325">
        <f>CJ66-CI66</f>
        <v>0</v>
      </c>
      <c r="FE66" s="410">
        <f>FD66/CI66</f>
        <v>0</v>
      </c>
      <c r="FF66" s="325">
        <f>CK66-CJ66</f>
        <v>-1</v>
      </c>
      <c r="FG66" s="410">
        <f>FF66/CJ66</f>
        <v>-1</v>
      </c>
      <c r="FH66" s="228">
        <f>BV66</f>
        <v>1</v>
      </c>
      <c r="FI66" s="902">
        <f>CJ66</f>
        <v>1</v>
      </c>
      <c r="FJ66" s="674">
        <f>(FI66-FH66)*100</f>
        <v>0</v>
      </c>
      <c r="FK66" s="109">
        <f t="shared" ref="FK66:FK69" si="749">IF(ISERROR((FJ66/FH66)/100),0,(FJ66/FH66)/100)</f>
        <v>0</v>
      </c>
      <c r="FL66" s="707"/>
      <c r="FM66" s="707"/>
      <c r="FN66" s="707"/>
      <c r="FO66" s="906" t="str">
        <f>E66</f>
        <v>ERP Up Time</v>
      </c>
      <c r="FP66" s="274" t="e">
        <f>#REF!</f>
        <v>#REF!</v>
      </c>
      <c r="FQ66" s="274" t="e">
        <f>#REF!</f>
        <v>#REF!</v>
      </c>
      <c r="FR66" s="274" t="e">
        <f>#REF!</f>
        <v>#REF!</v>
      </c>
      <c r="FS66" s="274" t="e">
        <f>#REF!</f>
        <v>#REF!</v>
      </c>
      <c r="FT66" s="274" t="e">
        <f>#REF!</f>
        <v>#REF!</v>
      </c>
      <c r="FU66" s="274" t="e">
        <f>#REF!</f>
        <v>#REF!</v>
      </c>
      <c r="FV66" s="274" t="e">
        <f>#REF!</f>
        <v>#REF!</v>
      </c>
      <c r="FW66" s="274" t="e">
        <f>#REF!</f>
        <v>#REF!</v>
      </c>
      <c r="FX66" s="274" t="e">
        <f>#REF!</f>
        <v>#REF!</v>
      </c>
      <c r="FY66" s="274" t="e">
        <f>#REF!</f>
        <v>#REF!</v>
      </c>
      <c r="FZ66" s="274" t="e">
        <f>#REF!</f>
        <v>#REF!</v>
      </c>
      <c r="GA66" s="275">
        <f t="shared" ref="GA66:GL70" si="750">AJ66</f>
        <v>1</v>
      </c>
      <c r="GB66" s="275">
        <f t="shared" si="750"/>
        <v>0.998</v>
      </c>
      <c r="GC66" s="275">
        <f t="shared" si="750"/>
        <v>1</v>
      </c>
      <c r="GD66" s="275">
        <f t="shared" si="750"/>
        <v>1</v>
      </c>
      <c r="GE66" s="275">
        <f t="shared" si="750"/>
        <v>1</v>
      </c>
      <c r="GF66" s="275">
        <f t="shared" si="750"/>
        <v>1</v>
      </c>
      <c r="GG66" s="275">
        <f t="shared" si="750"/>
        <v>1</v>
      </c>
      <c r="GH66" s="275">
        <f t="shared" si="750"/>
        <v>1</v>
      </c>
      <c r="GI66" s="275">
        <f t="shared" si="750"/>
        <v>1</v>
      </c>
      <c r="GJ66" s="275">
        <f t="shared" si="750"/>
        <v>1</v>
      </c>
      <c r="GK66" s="275">
        <f t="shared" si="750"/>
        <v>1</v>
      </c>
      <c r="GL66" s="275">
        <f t="shared" si="750"/>
        <v>1</v>
      </c>
      <c r="GM66" s="275">
        <f t="shared" ref="GM66:GX70" si="751">AX66</f>
        <v>1</v>
      </c>
      <c r="GN66" s="275">
        <f t="shared" si="751"/>
        <v>0.99739999999999995</v>
      </c>
      <c r="GO66" s="275">
        <f t="shared" si="751"/>
        <v>1</v>
      </c>
      <c r="GP66" s="275">
        <f t="shared" si="751"/>
        <v>1</v>
      </c>
      <c r="GQ66" s="275">
        <f t="shared" si="751"/>
        <v>1</v>
      </c>
      <c r="GR66" s="275">
        <f t="shared" si="751"/>
        <v>1</v>
      </c>
      <c r="GS66" s="275">
        <f t="shared" si="751"/>
        <v>1</v>
      </c>
      <c r="GT66" s="275">
        <f t="shared" si="751"/>
        <v>1</v>
      </c>
      <c r="GU66" s="275">
        <f t="shared" si="751"/>
        <v>1</v>
      </c>
      <c r="GV66" s="275">
        <f t="shared" si="751"/>
        <v>1</v>
      </c>
      <c r="GW66" s="275">
        <f t="shared" si="751"/>
        <v>1</v>
      </c>
      <c r="GX66" s="275">
        <f t="shared" si="751"/>
        <v>1</v>
      </c>
      <c r="GY66" s="828">
        <f>BL66</f>
        <v>1</v>
      </c>
      <c r="GZ66" s="828">
        <f t="shared" ref="GZ66:HI70" si="752">BM66</f>
        <v>1</v>
      </c>
      <c r="HA66" s="828">
        <f t="shared" si="752"/>
        <v>0.99329999999999996</v>
      </c>
      <c r="HB66" s="828">
        <f t="shared" si="752"/>
        <v>1</v>
      </c>
      <c r="HC66" s="828">
        <f t="shared" si="752"/>
        <v>1</v>
      </c>
      <c r="HD66" s="828">
        <f t="shared" si="752"/>
        <v>1</v>
      </c>
      <c r="HE66" s="828">
        <f t="shared" si="752"/>
        <v>1</v>
      </c>
      <c r="HF66" s="828">
        <f t="shared" si="752"/>
        <v>1</v>
      </c>
      <c r="HG66" s="828">
        <f t="shared" si="752"/>
        <v>1</v>
      </c>
      <c r="HH66" s="828">
        <f t="shared" si="752"/>
        <v>0.99839999999999995</v>
      </c>
      <c r="HI66" s="828">
        <f t="shared" si="752"/>
        <v>1</v>
      </c>
      <c r="HJ66" s="828">
        <f t="shared" ref="HJ66:HJ70" si="753">BW66</f>
        <v>1</v>
      </c>
      <c r="HK66" s="956">
        <f>BZ66</f>
        <v>1</v>
      </c>
      <c r="HL66" s="956">
        <f t="shared" ref="HL66:HV70" si="754">CA66</f>
        <v>1</v>
      </c>
      <c r="HM66" s="956">
        <f t="shared" si="754"/>
        <v>1</v>
      </c>
      <c r="HN66" s="956">
        <f t="shared" si="754"/>
        <v>1</v>
      </c>
      <c r="HO66" s="956">
        <f t="shared" si="754"/>
        <v>1</v>
      </c>
      <c r="HP66" s="956">
        <f t="shared" si="754"/>
        <v>1</v>
      </c>
      <c r="HQ66" s="956">
        <f t="shared" si="754"/>
        <v>1</v>
      </c>
      <c r="HR66" s="956">
        <f t="shared" si="754"/>
        <v>1</v>
      </c>
      <c r="HS66" s="956">
        <f t="shared" si="754"/>
        <v>1</v>
      </c>
      <c r="HT66" s="956">
        <f t="shared" si="754"/>
        <v>1</v>
      </c>
      <c r="HU66" s="956">
        <f t="shared" si="754"/>
        <v>1</v>
      </c>
      <c r="HV66" s="956">
        <f t="shared" si="754"/>
        <v>0</v>
      </c>
    </row>
    <row r="67" spans="1:230" s="177" customFormat="1" x14ac:dyDescent="0.25">
      <c r="A67" s="808"/>
      <c r="B67" s="76">
        <v>9.1999999999999993</v>
      </c>
      <c r="C67" s="173"/>
      <c r="D67" s="466"/>
      <c r="E67" s="1041" t="s">
        <v>69</v>
      </c>
      <c r="F67" s="1041"/>
      <c r="G67" s="1042"/>
      <c r="H67" s="400">
        <v>0</v>
      </c>
      <c r="I67" s="175">
        <v>0</v>
      </c>
      <c r="J67" s="174">
        <v>5.6800000000000003E-2</v>
      </c>
      <c r="K67" s="175">
        <v>0</v>
      </c>
      <c r="L67" s="174">
        <v>0</v>
      </c>
      <c r="M67" s="175">
        <v>0</v>
      </c>
      <c r="N67" s="174">
        <v>0</v>
      </c>
      <c r="O67" s="175">
        <v>0</v>
      </c>
      <c r="P67" s="174">
        <v>0</v>
      </c>
      <c r="Q67" s="175">
        <v>0</v>
      </c>
      <c r="R67" s="174">
        <v>0</v>
      </c>
      <c r="S67" s="175">
        <v>0</v>
      </c>
      <c r="T67" s="176" t="s">
        <v>29</v>
      </c>
      <c r="U67" s="161">
        <v>4.7333333333333333E-3</v>
      </c>
      <c r="V67" s="400">
        <v>0</v>
      </c>
      <c r="W67" s="175">
        <v>0</v>
      </c>
      <c r="X67" s="174">
        <v>0</v>
      </c>
      <c r="Y67" s="175">
        <v>1.4E-3</v>
      </c>
      <c r="Z67" s="174">
        <v>0</v>
      </c>
      <c r="AA67" s="175">
        <v>0</v>
      </c>
      <c r="AB67" s="174">
        <v>0</v>
      </c>
      <c r="AC67" s="175">
        <v>0</v>
      </c>
      <c r="AD67" s="174">
        <v>0</v>
      </c>
      <c r="AE67" s="175">
        <v>0</v>
      </c>
      <c r="AF67" s="174">
        <v>0</v>
      </c>
      <c r="AG67" s="175">
        <v>0</v>
      </c>
      <c r="AH67" s="176" t="s">
        <v>29</v>
      </c>
      <c r="AI67" s="161">
        <v>1.1666666666666667E-4</v>
      </c>
      <c r="AJ67" s="400">
        <v>0</v>
      </c>
      <c r="AK67" s="175">
        <v>2E-3</v>
      </c>
      <c r="AL67" s="174">
        <v>0</v>
      </c>
      <c r="AM67" s="175">
        <v>0</v>
      </c>
      <c r="AN67" s="174">
        <v>0</v>
      </c>
      <c r="AO67" s="175">
        <v>0</v>
      </c>
      <c r="AP67" s="654">
        <v>0</v>
      </c>
      <c r="AQ67" s="175">
        <v>0</v>
      </c>
      <c r="AR67" s="654">
        <v>0</v>
      </c>
      <c r="AS67" s="175">
        <v>0</v>
      </c>
      <c r="AT67" s="654">
        <v>0</v>
      </c>
      <c r="AU67" s="175">
        <v>0</v>
      </c>
      <c r="AV67" s="176" t="s">
        <v>29</v>
      </c>
      <c r="AW67" s="161">
        <f>SUM(AJ67:AU67)/$AV$4</f>
        <v>1.6666666666666666E-4</v>
      </c>
      <c r="AX67" s="400">
        <v>0</v>
      </c>
      <c r="AY67" s="175">
        <v>2.5999999999999999E-3</v>
      </c>
      <c r="AZ67" s="174">
        <v>0</v>
      </c>
      <c r="BA67" s="175">
        <v>0</v>
      </c>
      <c r="BB67" s="174">
        <v>0</v>
      </c>
      <c r="BC67" s="175">
        <v>0</v>
      </c>
      <c r="BD67" s="654">
        <v>0</v>
      </c>
      <c r="BE67" s="175">
        <v>0</v>
      </c>
      <c r="BF67" s="654">
        <v>0</v>
      </c>
      <c r="BG67" s="175">
        <v>0</v>
      </c>
      <c r="BH67" s="654">
        <v>0</v>
      </c>
      <c r="BI67" s="175">
        <v>0</v>
      </c>
      <c r="BJ67" s="176" t="s">
        <v>29</v>
      </c>
      <c r="BK67" s="161">
        <f>SUM(AX67:BI67)/$BJ$4</f>
        <v>2.1666666666666666E-4</v>
      </c>
      <c r="BL67" s="400">
        <v>0</v>
      </c>
      <c r="BM67" s="175">
        <v>0</v>
      </c>
      <c r="BN67" s="174">
        <v>6.7000000000000002E-3</v>
      </c>
      <c r="BO67" s="175">
        <v>0</v>
      </c>
      <c r="BP67" s="174">
        <v>0</v>
      </c>
      <c r="BQ67" s="175">
        <v>0</v>
      </c>
      <c r="BR67" s="654">
        <v>0</v>
      </c>
      <c r="BS67" s="175">
        <v>0</v>
      </c>
      <c r="BT67" s="654">
        <v>0</v>
      </c>
      <c r="BU67" s="654">
        <v>1.6000000000000001E-3</v>
      </c>
      <c r="BV67" s="654">
        <v>0</v>
      </c>
      <c r="BW67" s="654">
        <v>0</v>
      </c>
      <c r="BX67" s="176" t="s">
        <v>29</v>
      </c>
      <c r="BY67" s="161">
        <f>SUM(BL67:BW67)/$BX$4</f>
        <v>6.9166666666666671E-4</v>
      </c>
      <c r="BZ67" s="654">
        <v>0</v>
      </c>
      <c r="CA67" s="175">
        <v>0</v>
      </c>
      <c r="CB67" s="174">
        <v>0</v>
      </c>
      <c r="CC67" s="175">
        <v>0</v>
      </c>
      <c r="CD67" s="174">
        <v>0</v>
      </c>
      <c r="CE67" s="175">
        <v>0</v>
      </c>
      <c r="CF67" s="654">
        <v>0</v>
      </c>
      <c r="CG67" s="175">
        <v>0</v>
      </c>
      <c r="CH67" s="654">
        <v>0</v>
      </c>
      <c r="CI67" s="654">
        <v>0</v>
      </c>
      <c r="CJ67" s="654">
        <v>0</v>
      </c>
      <c r="CK67" s="654"/>
      <c r="CL67" s="176" t="s">
        <v>29</v>
      </c>
      <c r="CM67" s="161">
        <f>SUM(BZ67:CK67)/$CL$4</f>
        <v>0</v>
      </c>
      <c r="CN67" s="698">
        <f>AX67-AU67</f>
        <v>0</v>
      </c>
      <c r="CO67" s="789">
        <v>0</v>
      </c>
      <c r="CP67" s="698">
        <f>AY67-AX67</f>
        <v>2.5999999999999999E-3</v>
      </c>
      <c r="CQ67" s="793">
        <v>0</v>
      </c>
      <c r="CR67" s="698">
        <f>AZ67-AY67</f>
        <v>-2.5999999999999999E-3</v>
      </c>
      <c r="CS67" s="678">
        <f>CR67/AY67</f>
        <v>-1</v>
      </c>
      <c r="CT67" s="698">
        <f>BA67-AZ67</f>
        <v>0</v>
      </c>
      <c r="CU67" s="417">
        <v>0</v>
      </c>
      <c r="CV67" s="698">
        <f>BB67-BA67</f>
        <v>0</v>
      </c>
      <c r="CW67" s="789">
        <v>0</v>
      </c>
      <c r="CX67" s="698">
        <f>BC67-BB67</f>
        <v>0</v>
      </c>
      <c r="CY67" s="789">
        <v>0</v>
      </c>
      <c r="CZ67" s="698">
        <f>BD67-BC67</f>
        <v>0</v>
      </c>
      <c r="DA67" s="789">
        <v>0</v>
      </c>
      <c r="DB67" s="698">
        <f>BE67-BD67</f>
        <v>0</v>
      </c>
      <c r="DC67" s="789">
        <v>0</v>
      </c>
      <c r="DD67" s="698">
        <f>BF67-BE67</f>
        <v>0</v>
      </c>
      <c r="DE67" s="789">
        <v>0</v>
      </c>
      <c r="DF67" s="698">
        <f>BG67-BF67</f>
        <v>0</v>
      </c>
      <c r="DG67" s="117">
        <v>0</v>
      </c>
      <c r="DH67" s="698">
        <f>BH67-BG67</f>
        <v>0</v>
      </c>
      <c r="DI67" s="678">
        <v>0</v>
      </c>
      <c r="DJ67" s="698">
        <f>BI67-BH67</f>
        <v>0</v>
      </c>
      <c r="DK67" s="678">
        <v>0</v>
      </c>
      <c r="DL67" s="698">
        <f t="shared" si="746"/>
        <v>0</v>
      </c>
      <c r="DM67" s="678">
        <v>0</v>
      </c>
      <c r="DN67" s="336">
        <f t="shared" si="747"/>
        <v>0</v>
      </c>
      <c r="DO67" s="789">
        <v>0</v>
      </c>
      <c r="DP67" s="336">
        <f t="shared" si="748"/>
        <v>6.7000000000000002E-3</v>
      </c>
      <c r="DQ67" s="789">
        <v>0</v>
      </c>
      <c r="DR67" s="336">
        <f>BO67-BN67</f>
        <v>-6.7000000000000002E-3</v>
      </c>
      <c r="DS67" s="417">
        <f>DR67/BN67</f>
        <v>-1</v>
      </c>
      <c r="DT67" s="336">
        <f>BP67-BO67</f>
        <v>0</v>
      </c>
      <c r="DU67" s="678">
        <v>0</v>
      </c>
      <c r="DV67" s="336">
        <f>BQ67-BP67</f>
        <v>0</v>
      </c>
      <c r="DW67" s="417">
        <v>0</v>
      </c>
      <c r="DX67" s="930">
        <f>BR67-BQ67</f>
        <v>0</v>
      </c>
      <c r="DY67" s="678">
        <v>0</v>
      </c>
      <c r="DZ67" s="336">
        <f>BS67-BR67</f>
        <v>0</v>
      </c>
      <c r="EA67" s="417">
        <v>0</v>
      </c>
      <c r="EB67" s="336">
        <f>BT67-BS67</f>
        <v>0</v>
      </c>
      <c r="EC67" s="417">
        <v>0</v>
      </c>
      <c r="ED67" s="336">
        <f>BU67-BT67</f>
        <v>1.6000000000000001E-3</v>
      </c>
      <c r="EE67" s="417">
        <v>1</v>
      </c>
      <c r="EF67" s="336">
        <f>BV67-BU67</f>
        <v>-1.6000000000000001E-3</v>
      </c>
      <c r="EG67" s="410">
        <f>EF67/BU67</f>
        <v>-1</v>
      </c>
      <c r="EH67" s="336">
        <f>BW67-BV67</f>
        <v>0</v>
      </c>
      <c r="EI67" s="417">
        <v>0</v>
      </c>
      <c r="EJ67" s="336">
        <f>BZ67-BW67</f>
        <v>0</v>
      </c>
      <c r="EK67" s="412">
        <v>0</v>
      </c>
      <c r="EL67" s="336">
        <f>CA67-BZ67</f>
        <v>0</v>
      </c>
      <c r="EM67" s="417">
        <v>0</v>
      </c>
      <c r="EN67" s="336">
        <f>CB67-CA67</f>
        <v>0</v>
      </c>
      <c r="EO67" s="417">
        <v>0</v>
      </c>
      <c r="EP67" s="336">
        <f>CC67-CB67</f>
        <v>0</v>
      </c>
      <c r="EQ67" s="417">
        <v>0</v>
      </c>
      <c r="ER67" s="336">
        <f>CD67-CC67</f>
        <v>0</v>
      </c>
      <c r="ES67" s="417">
        <v>0</v>
      </c>
      <c r="ET67" s="336">
        <f>CE67-CD67</f>
        <v>0</v>
      </c>
      <c r="EU67" s="417">
        <v>0</v>
      </c>
      <c r="EV67" s="336">
        <f>CF67-CE67</f>
        <v>0</v>
      </c>
      <c r="EW67" s="417">
        <v>0</v>
      </c>
      <c r="EX67" s="336">
        <f>CG67-CF67</f>
        <v>0</v>
      </c>
      <c r="EY67" s="417">
        <v>0</v>
      </c>
      <c r="EZ67" s="336">
        <f>CH67-CG67</f>
        <v>0</v>
      </c>
      <c r="FA67" s="417">
        <v>0</v>
      </c>
      <c r="FB67" s="336">
        <f>CI67-CH67</f>
        <v>0</v>
      </c>
      <c r="FC67" s="417">
        <v>0</v>
      </c>
      <c r="FD67" s="336">
        <f>CJ67-CI67</f>
        <v>0</v>
      </c>
      <c r="FE67" s="417">
        <v>0</v>
      </c>
      <c r="FF67" s="336">
        <f>CK67-CJ67</f>
        <v>0</v>
      </c>
      <c r="FG67" s="417" t="e">
        <f>FF67/CJ67</f>
        <v>#DIV/0!</v>
      </c>
      <c r="FH67" s="229">
        <f>BV67</f>
        <v>0</v>
      </c>
      <c r="FI67" s="903">
        <f>CJ67</f>
        <v>0</v>
      </c>
      <c r="FJ67" s="691">
        <f>(FI67-FH67)*100</f>
        <v>0</v>
      </c>
      <c r="FK67" s="117">
        <f t="shared" si="749"/>
        <v>0</v>
      </c>
      <c r="FL67" s="712"/>
      <c r="FM67" s="712"/>
      <c r="FN67" s="712"/>
      <c r="FO67" s="177" t="str">
        <f>E67</f>
        <v>ERP Down Time</v>
      </c>
      <c r="FP67" s="300" t="e">
        <f>#REF!</f>
        <v>#REF!</v>
      </c>
      <c r="FQ67" s="300" t="e">
        <f>#REF!</f>
        <v>#REF!</v>
      </c>
      <c r="FR67" s="300" t="e">
        <f>#REF!</f>
        <v>#REF!</v>
      </c>
      <c r="FS67" s="300" t="e">
        <f>#REF!</f>
        <v>#REF!</v>
      </c>
      <c r="FT67" s="300" t="e">
        <f>#REF!</f>
        <v>#REF!</v>
      </c>
      <c r="FU67" s="300" t="e">
        <f>#REF!</f>
        <v>#REF!</v>
      </c>
      <c r="FV67" s="300" t="e">
        <f>#REF!</f>
        <v>#REF!</v>
      </c>
      <c r="FW67" s="300" t="e">
        <f>#REF!</f>
        <v>#REF!</v>
      </c>
      <c r="FX67" s="300" t="e">
        <f>#REF!</f>
        <v>#REF!</v>
      </c>
      <c r="FY67" s="300" t="e">
        <f>#REF!</f>
        <v>#REF!</v>
      </c>
      <c r="FZ67" s="300" t="e">
        <f>#REF!</f>
        <v>#REF!</v>
      </c>
      <c r="GA67" s="301">
        <f t="shared" si="750"/>
        <v>0</v>
      </c>
      <c r="GB67" s="301">
        <f t="shared" si="750"/>
        <v>2E-3</v>
      </c>
      <c r="GC67" s="301">
        <f t="shared" si="750"/>
        <v>0</v>
      </c>
      <c r="GD67" s="301">
        <f t="shared" si="750"/>
        <v>0</v>
      </c>
      <c r="GE67" s="301">
        <f t="shared" si="750"/>
        <v>0</v>
      </c>
      <c r="GF67" s="301">
        <f t="shared" si="750"/>
        <v>0</v>
      </c>
      <c r="GG67" s="301">
        <f t="shared" si="750"/>
        <v>0</v>
      </c>
      <c r="GH67" s="301">
        <f t="shared" si="750"/>
        <v>0</v>
      </c>
      <c r="GI67" s="301">
        <f t="shared" si="750"/>
        <v>0</v>
      </c>
      <c r="GJ67" s="301">
        <f t="shared" si="750"/>
        <v>0</v>
      </c>
      <c r="GK67" s="301">
        <f t="shared" si="750"/>
        <v>0</v>
      </c>
      <c r="GL67" s="301">
        <f t="shared" si="750"/>
        <v>0</v>
      </c>
      <c r="GM67" s="301">
        <f t="shared" si="751"/>
        <v>0</v>
      </c>
      <c r="GN67" s="301">
        <f t="shared" si="751"/>
        <v>2.5999999999999999E-3</v>
      </c>
      <c r="GO67" s="301">
        <f t="shared" si="751"/>
        <v>0</v>
      </c>
      <c r="GP67" s="301">
        <f t="shared" si="751"/>
        <v>0</v>
      </c>
      <c r="GQ67" s="301">
        <f t="shared" si="751"/>
        <v>0</v>
      </c>
      <c r="GR67" s="301">
        <f t="shared" si="751"/>
        <v>0</v>
      </c>
      <c r="GS67" s="301">
        <f t="shared" si="751"/>
        <v>0</v>
      </c>
      <c r="GT67" s="301">
        <f t="shared" si="751"/>
        <v>0</v>
      </c>
      <c r="GU67" s="301">
        <f t="shared" si="751"/>
        <v>0</v>
      </c>
      <c r="GV67" s="301">
        <f t="shared" si="751"/>
        <v>0</v>
      </c>
      <c r="GW67" s="301">
        <f t="shared" si="751"/>
        <v>0</v>
      </c>
      <c r="GX67" s="301">
        <f t="shared" si="751"/>
        <v>0</v>
      </c>
      <c r="GY67" s="841">
        <f>BL67</f>
        <v>0</v>
      </c>
      <c r="GZ67" s="841">
        <f t="shared" si="752"/>
        <v>0</v>
      </c>
      <c r="HA67" s="841">
        <f t="shared" si="752"/>
        <v>6.7000000000000002E-3</v>
      </c>
      <c r="HB67" s="841">
        <f t="shared" si="752"/>
        <v>0</v>
      </c>
      <c r="HC67" s="841">
        <f t="shared" si="752"/>
        <v>0</v>
      </c>
      <c r="HD67" s="841">
        <f t="shared" si="752"/>
        <v>0</v>
      </c>
      <c r="HE67" s="841">
        <f t="shared" si="752"/>
        <v>0</v>
      </c>
      <c r="HF67" s="841">
        <f t="shared" si="752"/>
        <v>0</v>
      </c>
      <c r="HG67" s="841">
        <f t="shared" si="752"/>
        <v>0</v>
      </c>
      <c r="HH67" s="841">
        <f t="shared" si="752"/>
        <v>1.6000000000000001E-3</v>
      </c>
      <c r="HI67" s="841">
        <f t="shared" si="752"/>
        <v>0</v>
      </c>
      <c r="HJ67" s="841">
        <f t="shared" si="753"/>
        <v>0</v>
      </c>
      <c r="HK67" s="969">
        <f>BZ67</f>
        <v>0</v>
      </c>
      <c r="HL67" s="969">
        <f t="shared" si="754"/>
        <v>0</v>
      </c>
      <c r="HM67" s="969">
        <f t="shared" si="754"/>
        <v>0</v>
      </c>
      <c r="HN67" s="969">
        <f t="shared" si="754"/>
        <v>0</v>
      </c>
      <c r="HO67" s="969">
        <f t="shared" si="754"/>
        <v>0</v>
      </c>
      <c r="HP67" s="969">
        <f t="shared" si="754"/>
        <v>0</v>
      </c>
      <c r="HQ67" s="969">
        <f t="shared" si="754"/>
        <v>0</v>
      </c>
      <c r="HR67" s="969">
        <f t="shared" si="754"/>
        <v>0</v>
      </c>
      <c r="HS67" s="969">
        <f t="shared" si="754"/>
        <v>0</v>
      </c>
      <c r="HT67" s="969">
        <f t="shared" si="754"/>
        <v>0</v>
      </c>
      <c r="HU67" s="969">
        <f t="shared" si="754"/>
        <v>0</v>
      </c>
      <c r="HV67" s="969">
        <f t="shared" si="754"/>
        <v>0</v>
      </c>
    </row>
    <row r="68" spans="1:230" s="36" customFormat="1" x14ac:dyDescent="0.25">
      <c r="A68" s="808"/>
      <c r="B68" s="56">
        <v>9.3000000000000007</v>
      </c>
      <c r="C68" s="35"/>
      <c r="D68" s="465"/>
      <c r="E68" s="1039" t="s">
        <v>70</v>
      </c>
      <c r="F68" s="1039"/>
      <c r="G68" s="1040"/>
      <c r="H68" s="399">
        <v>1</v>
      </c>
      <c r="I68" s="74">
        <v>1</v>
      </c>
      <c r="J68" s="19">
        <v>0.94320000000000004</v>
      </c>
      <c r="K68" s="74">
        <v>1</v>
      </c>
      <c r="L68" s="19">
        <v>1</v>
      </c>
      <c r="M68" s="74">
        <v>1</v>
      </c>
      <c r="N68" s="19">
        <v>1</v>
      </c>
      <c r="O68" s="74">
        <v>1</v>
      </c>
      <c r="P68" s="19">
        <v>1</v>
      </c>
      <c r="Q68" s="74">
        <v>1</v>
      </c>
      <c r="R68" s="19">
        <v>1</v>
      </c>
      <c r="S68" s="74">
        <v>1</v>
      </c>
      <c r="T68" s="132" t="s">
        <v>29</v>
      </c>
      <c r="U68" s="151">
        <v>0.99526666666666674</v>
      </c>
      <c r="V68" s="399">
        <v>1</v>
      </c>
      <c r="W68" s="74">
        <v>1</v>
      </c>
      <c r="X68" s="19">
        <v>1</v>
      </c>
      <c r="Y68" s="74">
        <v>0.99860000000000004</v>
      </c>
      <c r="Z68" s="19">
        <v>1</v>
      </c>
      <c r="AA68" s="74">
        <v>1</v>
      </c>
      <c r="AB68" s="19">
        <v>0.99429999999999996</v>
      </c>
      <c r="AC68" s="74">
        <v>1</v>
      </c>
      <c r="AD68" s="19">
        <v>1</v>
      </c>
      <c r="AE68" s="74">
        <v>1</v>
      </c>
      <c r="AF68" s="19">
        <v>1</v>
      </c>
      <c r="AG68" s="74">
        <v>1</v>
      </c>
      <c r="AH68" s="132" t="s">
        <v>29</v>
      </c>
      <c r="AI68" s="151">
        <v>0.99940833333333323</v>
      </c>
      <c r="AJ68" s="399">
        <v>1</v>
      </c>
      <c r="AK68" s="74">
        <v>0.99490000000000001</v>
      </c>
      <c r="AL68" s="19">
        <v>1</v>
      </c>
      <c r="AM68" s="74">
        <v>0.99819999999999998</v>
      </c>
      <c r="AN68" s="19">
        <v>1</v>
      </c>
      <c r="AO68" s="74">
        <v>1</v>
      </c>
      <c r="AP68" s="653">
        <v>1</v>
      </c>
      <c r="AQ68" s="74">
        <v>1</v>
      </c>
      <c r="AR68" s="653">
        <v>1</v>
      </c>
      <c r="AS68" s="74">
        <v>1</v>
      </c>
      <c r="AT68" s="653">
        <v>1</v>
      </c>
      <c r="AU68" s="74">
        <v>1</v>
      </c>
      <c r="AV68" s="132" t="s">
        <v>29</v>
      </c>
      <c r="AW68" s="151">
        <f>SUM(AJ68:AU68)/$AV$4</f>
        <v>0.99942500000000001</v>
      </c>
      <c r="AX68" s="399">
        <v>1</v>
      </c>
      <c r="AY68" s="74">
        <v>0.99739999999999995</v>
      </c>
      <c r="AZ68" s="19">
        <v>1</v>
      </c>
      <c r="BA68" s="74">
        <v>1</v>
      </c>
      <c r="BB68" s="19">
        <v>1</v>
      </c>
      <c r="BC68" s="74">
        <v>1</v>
      </c>
      <c r="BD68" s="653">
        <v>1</v>
      </c>
      <c r="BE68" s="74">
        <v>1</v>
      </c>
      <c r="BF68" s="653">
        <v>1</v>
      </c>
      <c r="BG68" s="74">
        <v>1</v>
      </c>
      <c r="BH68" s="653">
        <v>1</v>
      </c>
      <c r="BI68" s="74">
        <v>1</v>
      </c>
      <c r="BJ68" s="132" t="s">
        <v>29</v>
      </c>
      <c r="BK68" s="151">
        <f>SUM(AX68:BI68)/$BJ$4</f>
        <v>0.99978333333333325</v>
      </c>
      <c r="BL68" s="399">
        <v>1</v>
      </c>
      <c r="BM68" s="74">
        <v>1</v>
      </c>
      <c r="BN68" s="19">
        <v>0.99329999999999996</v>
      </c>
      <c r="BO68" s="74">
        <v>1</v>
      </c>
      <c r="BP68" s="19">
        <v>1</v>
      </c>
      <c r="BQ68" s="74">
        <v>1</v>
      </c>
      <c r="BR68" s="653">
        <v>1</v>
      </c>
      <c r="BS68" s="74">
        <v>1</v>
      </c>
      <c r="BT68" s="653">
        <v>1</v>
      </c>
      <c r="BU68" s="653">
        <v>0.99839999999999995</v>
      </c>
      <c r="BV68" s="653">
        <v>1</v>
      </c>
      <c r="BW68" s="653">
        <v>1</v>
      </c>
      <c r="BX68" s="132" t="s">
        <v>29</v>
      </c>
      <c r="BY68" s="151">
        <f>SUM(BL68:BW68)/$BX$4</f>
        <v>0.99930833333333335</v>
      </c>
      <c r="BZ68" s="653">
        <v>1</v>
      </c>
      <c r="CA68" s="74">
        <v>1</v>
      </c>
      <c r="CB68" s="19">
        <v>1</v>
      </c>
      <c r="CC68" s="74">
        <v>1</v>
      </c>
      <c r="CD68" s="19">
        <v>1</v>
      </c>
      <c r="CE68" s="74">
        <v>1</v>
      </c>
      <c r="CF68" s="653">
        <v>1</v>
      </c>
      <c r="CG68" s="74">
        <v>1</v>
      </c>
      <c r="CH68" s="653">
        <v>1</v>
      </c>
      <c r="CI68" s="653">
        <v>1</v>
      </c>
      <c r="CJ68" s="653">
        <v>1</v>
      </c>
      <c r="CK68" s="653"/>
      <c r="CL68" s="132" t="s">
        <v>29</v>
      </c>
      <c r="CM68" s="151">
        <f>SUM(BZ68:CK68)/$CL$4</f>
        <v>1</v>
      </c>
      <c r="CN68" s="699">
        <f>AX68-AU68</f>
        <v>0</v>
      </c>
      <c r="CO68" s="672">
        <f>CN68/AU68</f>
        <v>0</v>
      </c>
      <c r="CP68" s="699">
        <f>AY68-AX68</f>
        <v>-2.6000000000000467E-3</v>
      </c>
      <c r="CQ68" s="672">
        <f>CP68/AX68</f>
        <v>-2.6000000000000467E-3</v>
      </c>
      <c r="CR68" s="699">
        <f>AZ68-AY68</f>
        <v>2.6000000000000467E-3</v>
      </c>
      <c r="CS68" s="672">
        <f>CR68/AY68</f>
        <v>2.6067776218167706E-3</v>
      </c>
      <c r="CT68" s="699">
        <f>BA68-AZ68</f>
        <v>0</v>
      </c>
      <c r="CU68" s="672">
        <f>CT68/AZ68</f>
        <v>0</v>
      </c>
      <c r="CV68" s="699">
        <f>BB68-BA68</f>
        <v>0</v>
      </c>
      <c r="CW68" s="672">
        <f>CV68/BA68</f>
        <v>0</v>
      </c>
      <c r="CX68" s="699">
        <f>BC68-BB68</f>
        <v>0</v>
      </c>
      <c r="CY68" s="672">
        <f>CX68/BB68</f>
        <v>0</v>
      </c>
      <c r="CZ68" s="699">
        <f>BD68-BC68</f>
        <v>0</v>
      </c>
      <c r="DA68" s="672">
        <f>CZ68/BC68</f>
        <v>0</v>
      </c>
      <c r="DB68" s="699">
        <f>BE68-BD68</f>
        <v>0</v>
      </c>
      <c r="DC68" s="672">
        <f>DB68/BD68</f>
        <v>0</v>
      </c>
      <c r="DD68" s="699">
        <f>BF68-BE68</f>
        <v>0</v>
      </c>
      <c r="DE68" s="672">
        <f>DD68/BE68</f>
        <v>0</v>
      </c>
      <c r="DF68" s="699">
        <f>BG68-BF68</f>
        <v>0</v>
      </c>
      <c r="DG68" s="109">
        <f>DF68/BF68</f>
        <v>0</v>
      </c>
      <c r="DH68" s="699">
        <f>BH68-BG68</f>
        <v>0</v>
      </c>
      <c r="DI68" s="672">
        <f>DH68/BG68</f>
        <v>0</v>
      </c>
      <c r="DJ68" s="699">
        <f>BI68-BH68</f>
        <v>0</v>
      </c>
      <c r="DK68" s="672">
        <f>DJ68/BH68</f>
        <v>0</v>
      </c>
      <c r="DL68" s="699">
        <f t="shared" si="746"/>
        <v>0</v>
      </c>
      <c r="DM68" s="672">
        <f>DL68/BI68</f>
        <v>0</v>
      </c>
      <c r="DN68" s="325">
        <f t="shared" si="747"/>
        <v>0</v>
      </c>
      <c r="DO68" s="410">
        <f>DN68/BL68</f>
        <v>0</v>
      </c>
      <c r="DP68" s="325">
        <f t="shared" si="748"/>
        <v>-6.7000000000000393E-3</v>
      </c>
      <c r="DQ68" s="410">
        <f>DP68/BM68</f>
        <v>-6.7000000000000393E-3</v>
      </c>
      <c r="DR68" s="325">
        <f>BO68-BN68</f>
        <v>6.7000000000000393E-3</v>
      </c>
      <c r="DS68" s="410">
        <f>DR68/BN68</f>
        <v>6.7451927917044595E-3</v>
      </c>
      <c r="DT68" s="325">
        <f>BP68-BO68</f>
        <v>0</v>
      </c>
      <c r="DU68" s="672">
        <f>DT68/BO68</f>
        <v>0</v>
      </c>
      <c r="DV68" s="325">
        <f>BQ68-BP68</f>
        <v>0</v>
      </c>
      <c r="DW68" s="410">
        <f>DV68/BP68</f>
        <v>0</v>
      </c>
      <c r="DX68" s="929">
        <f>BR68-BQ68</f>
        <v>0</v>
      </c>
      <c r="DY68" s="672">
        <f>DX68/BQ68</f>
        <v>0</v>
      </c>
      <c r="DZ68" s="325">
        <f>BS68-BR68</f>
        <v>0</v>
      </c>
      <c r="EA68" s="410">
        <f>DZ68/BR68</f>
        <v>0</v>
      </c>
      <c r="EB68" s="325">
        <f>BT68-BS68</f>
        <v>0</v>
      </c>
      <c r="EC68" s="410">
        <f>EB68/BS68</f>
        <v>0</v>
      </c>
      <c r="ED68" s="325">
        <f>BU68-BT68</f>
        <v>-1.6000000000000458E-3</v>
      </c>
      <c r="EE68" s="410">
        <f>ED68/BT68</f>
        <v>-1.6000000000000458E-3</v>
      </c>
      <c r="EF68" s="325">
        <f>BV68-BU68</f>
        <v>1.6000000000000458E-3</v>
      </c>
      <c r="EG68" s="412">
        <f>EF68/BU68</f>
        <v>1.6025641025641485E-3</v>
      </c>
      <c r="EH68" s="325">
        <f>BW68-BV68</f>
        <v>0</v>
      </c>
      <c r="EI68" s="410">
        <f>EH68/BV68</f>
        <v>0</v>
      </c>
      <c r="EJ68" s="325">
        <f>BZ68-BW68</f>
        <v>0</v>
      </c>
      <c r="EK68" s="410">
        <f>EJ68/BW68</f>
        <v>0</v>
      </c>
      <c r="EL68" s="325">
        <f>CA68-BZ68</f>
        <v>0</v>
      </c>
      <c r="EM68" s="410">
        <f>EL68/BZ68</f>
        <v>0</v>
      </c>
      <c r="EN68" s="325">
        <f>CB68-CA68</f>
        <v>0</v>
      </c>
      <c r="EO68" s="410">
        <f>EN68/CA68</f>
        <v>0</v>
      </c>
      <c r="EP68" s="325">
        <f>CC68-CB68</f>
        <v>0</v>
      </c>
      <c r="EQ68" s="410">
        <f>EP68/CB68</f>
        <v>0</v>
      </c>
      <c r="ER68" s="325">
        <f>CD68-CC68</f>
        <v>0</v>
      </c>
      <c r="ES68" s="410">
        <f>ER68/CC68</f>
        <v>0</v>
      </c>
      <c r="ET68" s="325">
        <f>CE68-CD68</f>
        <v>0</v>
      </c>
      <c r="EU68" s="410">
        <f>ET68/CD68</f>
        <v>0</v>
      </c>
      <c r="EV68" s="325">
        <f>CF68-CE68</f>
        <v>0</v>
      </c>
      <c r="EW68" s="410">
        <f>EV68/CE68</f>
        <v>0</v>
      </c>
      <c r="EX68" s="325">
        <f>CG68-CF68</f>
        <v>0</v>
      </c>
      <c r="EY68" s="410">
        <f>EX68/CF68</f>
        <v>0</v>
      </c>
      <c r="EZ68" s="325">
        <f>CH68-CG68</f>
        <v>0</v>
      </c>
      <c r="FA68" s="410">
        <f>EZ68/CG68</f>
        <v>0</v>
      </c>
      <c r="FB68" s="325">
        <f>CI68-CH68</f>
        <v>0</v>
      </c>
      <c r="FC68" s="410">
        <f>FB68/CH68</f>
        <v>0</v>
      </c>
      <c r="FD68" s="325">
        <f>CJ68-CI68</f>
        <v>0</v>
      </c>
      <c r="FE68" s="410">
        <f>FD68/CI68</f>
        <v>0</v>
      </c>
      <c r="FF68" s="325">
        <f>CK68-CJ68</f>
        <v>-1</v>
      </c>
      <c r="FG68" s="410">
        <f>FF68/CJ68</f>
        <v>-1</v>
      </c>
      <c r="FH68" s="228">
        <f>BV68</f>
        <v>1</v>
      </c>
      <c r="FI68" s="902">
        <f>CJ68</f>
        <v>1</v>
      </c>
      <c r="FJ68" s="674">
        <f>(FI68-FH68)*100</f>
        <v>0</v>
      </c>
      <c r="FK68" s="109">
        <f t="shared" si="749"/>
        <v>0</v>
      </c>
      <c r="FL68" s="707"/>
      <c r="FM68" s="707"/>
      <c r="FN68" s="707"/>
      <c r="FO68" s="36" t="str">
        <f>E68</f>
        <v>BI Up Time</v>
      </c>
      <c r="FP68" s="274" t="e">
        <f>#REF!</f>
        <v>#REF!</v>
      </c>
      <c r="FQ68" s="274" t="e">
        <f>#REF!</f>
        <v>#REF!</v>
      </c>
      <c r="FR68" s="274" t="e">
        <f>#REF!</f>
        <v>#REF!</v>
      </c>
      <c r="FS68" s="274" t="e">
        <f>#REF!</f>
        <v>#REF!</v>
      </c>
      <c r="FT68" s="274" t="e">
        <f>#REF!</f>
        <v>#REF!</v>
      </c>
      <c r="FU68" s="274" t="e">
        <f>#REF!</f>
        <v>#REF!</v>
      </c>
      <c r="FV68" s="274" t="e">
        <f>#REF!</f>
        <v>#REF!</v>
      </c>
      <c r="FW68" s="274" t="e">
        <f>#REF!</f>
        <v>#REF!</v>
      </c>
      <c r="FX68" s="274" t="e">
        <f>#REF!</f>
        <v>#REF!</v>
      </c>
      <c r="FY68" s="274" t="e">
        <f>#REF!</f>
        <v>#REF!</v>
      </c>
      <c r="FZ68" s="274" t="e">
        <f>#REF!</f>
        <v>#REF!</v>
      </c>
      <c r="GA68" s="275">
        <f t="shared" si="750"/>
        <v>1</v>
      </c>
      <c r="GB68" s="275">
        <f t="shared" si="750"/>
        <v>0.99490000000000001</v>
      </c>
      <c r="GC68" s="275">
        <f t="shared" si="750"/>
        <v>1</v>
      </c>
      <c r="GD68" s="275">
        <f t="shared" si="750"/>
        <v>0.99819999999999998</v>
      </c>
      <c r="GE68" s="275">
        <f t="shared" si="750"/>
        <v>1</v>
      </c>
      <c r="GF68" s="275">
        <f t="shared" si="750"/>
        <v>1</v>
      </c>
      <c r="GG68" s="275">
        <f t="shared" si="750"/>
        <v>1</v>
      </c>
      <c r="GH68" s="275">
        <f t="shared" si="750"/>
        <v>1</v>
      </c>
      <c r="GI68" s="275">
        <f t="shared" si="750"/>
        <v>1</v>
      </c>
      <c r="GJ68" s="275">
        <f t="shared" si="750"/>
        <v>1</v>
      </c>
      <c r="GK68" s="275">
        <f t="shared" si="750"/>
        <v>1</v>
      </c>
      <c r="GL68" s="275">
        <f t="shared" si="750"/>
        <v>1</v>
      </c>
      <c r="GM68" s="275">
        <f t="shared" si="751"/>
        <v>1</v>
      </c>
      <c r="GN68" s="275">
        <f t="shared" si="751"/>
        <v>0.99739999999999995</v>
      </c>
      <c r="GO68" s="275">
        <f t="shared" si="751"/>
        <v>1</v>
      </c>
      <c r="GP68" s="275">
        <f t="shared" si="751"/>
        <v>1</v>
      </c>
      <c r="GQ68" s="275">
        <f t="shared" si="751"/>
        <v>1</v>
      </c>
      <c r="GR68" s="275">
        <f t="shared" si="751"/>
        <v>1</v>
      </c>
      <c r="GS68" s="275">
        <f t="shared" si="751"/>
        <v>1</v>
      </c>
      <c r="GT68" s="275">
        <f t="shared" si="751"/>
        <v>1</v>
      </c>
      <c r="GU68" s="275">
        <f t="shared" si="751"/>
        <v>1</v>
      </c>
      <c r="GV68" s="275">
        <f t="shared" si="751"/>
        <v>1</v>
      </c>
      <c r="GW68" s="275">
        <f t="shared" si="751"/>
        <v>1</v>
      </c>
      <c r="GX68" s="275">
        <f t="shared" si="751"/>
        <v>1</v>
      </c>
      <c r="GY68" s="828">
        <f>BL68</f>
        <v>1</v>
      </c>
      <c r="GZ68" s="828">
        <f t="shared" si="752"/>
        <v>1</v>
      </c>
      <c r="HA68" s="828">
        <f t="shared" si="752"/>
        <v>0.99329999999999996</v>
      </c>
      <c r="HB68" s="828">
        <f t="shared" si="752"/>
        <v>1</v>
      </c>
      <c r="HC68" s="828">
        <f t="shared" si="752"/>
        <v>1</v>
      </c>
      <c r="HD68" s="828">
        <f t="shared" si="752"/>
        <v>1</v>
      </c>
      <c r="HE68" s="828">
        <f t="shared" si="752"/>
        <v>1</v>
      </c>
      <c r="HF68" s="828">
        <f t="shared" si="752"/>
        <v>1</v>
      </c>
      <c r="HG68" s="828">
        <f t="shared" si="752"/>
        <v>1</v>
      </c>
      <c r="HH68" s="828">
        <f t="shared" si="752"/>
        <v>0.99839999999999995</v>
      </c>
      <c r="HI68" s="828">
        <f t="shared" si="752"/>
        <v>1</v>
      </c>
      <c r="HJ68" s="828">
        <f t="shared" si="753"/>
        <v>1</v>
      </c>
      <c r="HK68" s="956">
        <f>BZ68</f>
        <v>1</v>
      </c>
      <c r="HL68" s="956">
        <f t="shared" si="754"/>
        <v>1</v>
      </c>
      <c r="HM68" s="956">
        <f t="shared" si="754"/>
        <v>1</v>
      </c>
      <c r="HN68" s="956">
        <f t="shared" si="754"/>
        <v>1</v>
      </c>
      <c r="HO68" s="956">
        <f t="shared" si="754"/>
        <v>1</v>
      </c>
      <c r="HP68" s="956">
        <f t="shared" si="754"/>
        <v>1</v>
      </c>
      <c r="HQ68" s="956">
        <f t="shared" si="754"/>
        <v>1</v>
      </c>
      <c r="HR68" s="956">
        <f t="shared" si="754"/>
        <v>1</v>
      </c>
      <c r="HS68" s="956">
        <f t="shared" si="754"/>
        <v>1</v>
      </c>
      <c r="HT68" s="956">
        <f t="shared" si="754"/>
        <v>1</v>
      </c>
      <c r="HU68" s="956">
        <f t="shared" si="754"/>
        <v>1</v>
      </c>
      <c r="HV68" s="956">
        <f t="shared" si="754"/>
        <v>0</v>
      </c>
    </row>
    <row r="69" spans="1:230" s="177" customFormat="1" x14ac:dyDescent="0.25">
      <c r="A69" s="808"/>
      <c r="B69" s="76">
        <v>9.4</v>
      </c>
      <c r="C69" s="173"/>
      <c r="D69" s="466"/>
      <c r="E69" s="1041" t="s">
        <v>71</v>
      </c>
      <c r="F69" s="1041"/>
      <c r="G69" s="1042"/>
      <c r="H69" s="400">
        <v>0</v>
      </c>
      <c r="I69" s="175">
        <v>0</v>
      </c>
      <c r="J69" s="174">
        <v>5.6800000000000003E-2</v>
      </c>
      <c r="K69" s="175">
        <v>0</v>
      </c>
      <c r="L69" s="174">
        <v>0</v>
      </c>
      <c r="M69" s="175">
        <v>0</v>
      </c>
      <c r="N69" s="174">
        <v>0</v>
      </c>
      <c r="O69" s="175">
        <v>0</v>
      </c>
      <c r="P69" s="174">
        <v>0</v>
      </c>
      <c r="Q69" s="175">
        <v>0</v>
      </c>
      <c r="R69" s="174">
        <v>0</v>
      </c>
      <c r="S69" s="175">
        <v>0</v>
      </c>
      <c r="T69" s="176" t="s">
        <v>29</v>
      </c>
      <c r="U69" s="161">
        <v>4.7333333333333333E-3</v>
      </c>
      <c r="V69" s="400">
        <v>0</v>
      </c>
      <c r="W69" s="175">
        <v>0</v>
      </c>
      <c r="X69" s="174">
        <v>0</v>
      </c>
      <c r="Y69" s="175">
        <v>1.4E-3</v>
      </c>
      <c r="Z69" s="174">
        <v>0</v>
      </c>
      <c r="AA69" s="175">
        <v>0</v>
      </c>
      <c r="AB69" s="174">
        <v>5.7000000000000002E-3</v>
      </c>
      <c r="AC69" s="175">
        <v>0</v>
      </c>
      <c r="AD69" s="174">
        <v>0</v>
      </c>
      <c r="AE69" s="175">
        <v>0</v>
      </c>
      <c r="AF69" s="174">
        <v>0</v>
      </c>
      <c r="AG69" s="175">
        <v>0</v>
      </c>
      <c r="AH69" s="176" t="s">
        <v>29</v>
      </c>
      <c r="AI69" s="161">
        <v>5.9166666666666666E-4</v>
      </c>
      <c r="AJ69" s="400">
        <v>0</v>
      </c>
      <c r="AK69" s="175">
        <v>5.1000000000000004E-3</v>
      </c>
      <c r="AL69" s="174">
        <v>0</v>
      </c>
      <c r="AM69" s="175">
        <v>1.8E-3</v>
      </c>
      <c r="AN69" s="174">
        <v>0</v>
      </c>
      <c r="AO69" s="175">
        <v>0</v>
      </c>
      <c r="AP69" s="654">
        <v>0</v>
      </c>
      <c r="AQ69" s="175">
        <v>0</v>
      </c>
      <c r="AR69" s="654">
        <v>0</v>
      </c>
      <c r="AS69" s="175">
        <v>0</v>
      </c>
      <c r="AT69" s="654">
        <v>0</v>
      </c>
      <c r="AU69" s="175">
        <v>0</v>
      </c>
      <c r="AV69" s="176" t="s">
        <v>29</v>
      </c>
      <c r="AW69" s="161">
        <f>SUM(AJ69:AU69)/$AV$4</f>
        <v>5.7499999999999999E-4</v>
      </c>
      <c r="AX69" s="400">
        <v>0</v>
      </c>
      <c r="AY69" s="175">
        <v>2.5999999999999999E-3</v>
      </c>
      <c r="AZ69" s="174">
        <v>0</v>
      </c>
      <c r="BA69" s="175">
        <v>0</v>
      </c>
      <c r="BB69" s="174">
        <v>0</v>
      </c>
      <c r="BC69" s="175">
        <v>0</v>
      </c>
      <c r="BD69" s="654">
        <v>0</v>
      </c>
      <c r="BE69" s="175">
        <v>0</v>
      </c>
      <c r="BF69" s="654">
        <v>0</v>
      </c>
      <c r="BG69" s="175">
        <v>0</v>
      </c>
      <c r="BH69" s="654">
        <v>0</v>
      </c>
      <c r="BI69" s="175">
        <v>0</v>
      </c>
      <c r="BJ69" s="176" t="s">
        <v>29</v>
      </c>
      <c r="BK69" s="161">
        <f>SUM(AX69:BI69)/$BJ$4</f>
        <v>2.1666666666666666E-4</v>
      </c>
      <c r="BL69" s="400">
        <v>0</v>
      </c>
      <c r="BM69" s="175">
        <v>0</v>
      </c>
      <c r="BN69" s="174">
        <v>6.7000000000000002E-3</v>
      </c>
      <c r="BO69" s="175">
        <v>0</v>
      </c>
      <c r="BP69" s="174">
        <v>0</v>
      </c>
      <c r="BQ69" s="175">
        <v>0</v>
      </c>
      <c r="BR69" s="654">
        <v>0</v>
      </c>
      <c r="BS69" s="175">
        <v>0</v>
      </c>
      <c r="BT69" s="654">
        <v>0</v>
      </c>
      <c r="BU69" s="654">
        <v>1.6000000000000001E-3</v>
      </c>
      <c r="BV69" s="654">
        <v>0</v>
      </c>
      <c r="BW69" s="654">
        <v>0</v>
      </c>
      <c r="BX69" s="176" t="s">
        <v>29</v>
      </c>
      <c r="BY69" s="161">
        <f>SUM(BL69:BW69)/$BX$4</f>
        <v>6.9166666666666671E-4</v>
      </c>
      <c r="BZ69" s="654">
        <v>0</v>
      </c>
      <c r="CA69" s="175">
        <v>0</v>
      </c>
      <c r="CB69" s="174">
        <v>0</v>
      </c>
      <c r="CC69" s="175">
        <v>0</v>
      </c>
      <c r="CD69" s="174">
        <v>0</v>
      </c>
      <c r="CE69" s="175">
        <v>0</v>
      </c>
      <c r="CF69" s="654">
        <v>0</v>
      </c>
      <c r="CG69" s="175">
        <v>0</v>
      </c>
      <c r="CH69" s="654">
        <v>0</v>
      </c>
      <c r="CI69" s="654">
        <v>0</v>
      </c>
      <c r="CJ69" s="654">
        <v>0</v>
      </c>
      <c r="CK69" s="654"/>
      <c r="CL69" s="176" t="s">
        <v>29</v>
      </c>
      <c r="CM69" s="161">
        <f>SUM(BZ69:CK69)/$CL$4</f>
        <v>0</v>
      </c>
      <c r="CN69" s="698">
        <f>AX69-AU69</f>
        <v>0</v>
      </c>
      <c r="CO69" s="789">
        <v>0</v>
      </c>
      <c r="CP69" s="698">
        <f>AY69-AX69</f>
        <v>2.5999999999999999E-3</v>
      </c>
      <c r="CQ69" s="417">
        <v>0</v>
      </c>
      <c r="CR69" s="698">
        <f>AZ69-AY69</f>
        <v>-2.5999999999999999E-3</v>
      </c>
      <c r="CS69" s="678">
        <f>CR69/AY69</f>
        <v>-1</v>
      </c>
      <c r="CT69" s="698">
        <f>BA69-AZ69</f>
        <v>0</v>
      </c>
      <c r="CU69" s="417">
        <v>0</v>
      </c>
      <c r="CV69" s="698">
        <f>BB69-BA69</f>
        <v>0</v>
      </c>
      <c r="CW69" s="789">
        <v>0</v>
      </c>
      <c r="CX69" s="698">
        <f>BC69-BB69</f>
        <v>0</v>
      </c>
      <c r="CY69" s="789">
        <v>0</v>
      </c>
      <c r="CZ69" s="698">
        <f>BD69-BC69</f>
        <v>0</v>
      </c>
      <c r="DA69" s="789">
        <v>0</v>
      </c>
      <c r="DB69" s="698">
        <f>BE69-BD69</f>
        <v>0</v>
      </c>
      <c r="DC69" s="789">
        <v>0</v>
      </c>
      <c r="DD69" s="698">
        <f>BF69-BE69</f>
        <v>0</v>
      </c>
      <c r="DE69" s="789">
        <v>0</v>
      </c>
      <c r="DF69" s="698">
        <f>BG69-BF69</f>
        <v>0</v>
      </c>
      <c r="DG69" s="117">
        <v>0</v>
      </c>
      <c r="DH69" s="698">
        <f>BH69-BG69</f>
        <v>0</v>
      </c>
      <c r="DI69" s="678">
        <v>0</v>
      </c>
      <c r="DJ69" s="698">
        <f>BI69-BH69</f>
        <v>0</v>
      </c>
      <c r="DK69" s="678">
        <v>0</v>
      </c>
      <c r="DL69" s="698">
        <f t="shared" si="746"/>
        <v>0</v>
      </c>
      <c r="DM69" s="678">
        <v>0</v>
      </c>
      <c r="DN69" s="336">
        <f t="shared" si="747"/>
        <v>0</v>
      </c>
      <c r="DO69" s="789">
        <v>0</v>
      </c>
      <c r="DP69" s="336">
        <f t="shared" si="748"/>
        <v>6.7000000000000002E-3</v>
      </c>
      <c r="DQ69" s="789">
        <v>0</v>
      </c>
      <c r="DR69" s="336">
        <f>BO69-BN69</f>
        <v>-6.7000000000000002E-3</v>
      </c>
      <c r="DS69" s="417">
        <f>DR69/BN69</f>
        <v>-1</v>
      </c>
      <c r="DT69" s="336">
        <f>BP69-BO69</f>
        <v>0</v>
      </c>
      <c r="DU69" s="678">
        <v>0</v>
      </c>
      <c r="DV69" s="336">
        <f>BQ69-BP69</f>
        <v>0</v>
      </c>
      <c r="DW69" s="417">
        <v>0</v>
      </c>
      <c r="DX69" s="930">
        <f>BR69-BQ69</f>
        <v>0</v>
      </c>
      <c r="DY69" s="678">
        <v>0</v>
      </c>
      <c r="DZ69" s="336">
        <f>BS69-BR69</f>
        <v>0</v>
      </c>
      <c r="EA69" s="417">
        <v>0</v>
      </c>
      <c r="EB69" s="336">
        <f>BT69-BS69</f>
        <v>0</v>
      </c>
      <c r="EC69" s="417">
        <v>0</v>
      </c>
      <c r="ED69" s="336">
        <f>BU69-BT69</f>
        <v>1.6000000000000001E-3</v>
      </c>
      <c r="EE69" s="417">
        <v>1</v>
      </c>
      <c r="EF69" s="336">
        <f>BV69-BU69</f>
        <v>-1.6000000000000001E-3</v>
      </c>
      <c r="EG69" s="412">
        <f>EF69/BU69</f>
        <v>-1</v>
      </c>
      <c r="EH69" s="336">
        <f>BW69-BV69</f>
        <v>0</v>
      </c>
      <c r="EI69" s="417">
        <v>0</v>
      </c>
      <c r="EJ69" s="336">
        <f>BZ69-BW69</f>
        <v>0</v>
      </c>
      <c r="EK69" s="412">
        <v>0</v>
      </c>
      <c r="EL69" s="336">
        <f>CA69-BZ69</f>
        <v>0</v>
      </c>
      <c r="EM69" s="417">
        <v>0</v>
      </c>
      <c r="EN69" s="336">
        <f>CB69-CA69</f>
        <v>0</v>
      </c>
      <c r="EO69" s="417">
        <v>0</v>
      </c>
      <c r="EP69" s="336">
        <f>CC69-CB69</f>
        <v>0</v>
      </c>
      <c r="EQ69" s="417">
        <v>0</v>
      </c>
      <c r="ER69" s="336">
        <f>CD69-CC69</f>
        <v>0</v>
      </c>
      <c r="ES69" s="417">
        <v>0</v>
      </c>
      <c r="ET69" s="336">
        <f>CE69-CD69</f>
        <v>0</v>
      </c>
      <c r="EU69" s="417">
        <v>0</v>
      </c>
      <c r="EV69" s="336">
        <f>CF69-CE69</f>
        <v>0</v>
      </c>
      <c r="EW69" s="417">
        <v>0</v>
      </c>
      <c r="EX69" s="336">
        <f>CG69-CF69</f>
        <v>0</v>
      </c>
      <c r="EY69" s="417">
        <v>0</v>
      </c>
      <c r="EZ69" s="336">
        <f>CH69-CG69</f>
        <v>0</v>
      </c>
      <c r="FA69" s="417">
        <v>0</v>
      </c>
      <c r="FB69" s="336">
        <f>CI69-CH69</f>
        <v>0</v>
      </c>
      <c r="FC69" s="417">
        <v>0</v>
      </c>
      <c r="FD69" s="336">
        <f>CJ69-CI69</f>
        <v>0</v>
      </c>
      <c r="FE69" s="417">
        <v>0</v>
      </c>
      <c r="FF69" s="336">
        <f>CK69-CJ69</f>
        <v>0</v>
      </c>
      <c r="FG69" s="417" t="e">
        <f>FF69/CJ69</f>
        <v>#DIV/0!</v>
      </c>
      <c r="FH69" s="229">
        <f>BV69</f>
        <v>0</v>
      </c>
      <c r="FI69" s="903">
        <f>CJ69</f>
        <v>0</v>
      </c>
      <c r="FJ69" s="691">
        <f>(FI69-FH69)*100</f>
        <v>0</v>
      </c>
      <c r="FK69" s="117">
        <f t="shared" si="749"/>
        <v>0</v>
      </c>
      <c r="FL69" s="712"/>
      <c r="FM69" s="712"/>
      <c r="FN69" s="712"/>
      <c r="FO69" s="177" t="str">
        <f>E69</f>
        <v>BI Down Time</v>
      </c>
      <c r="FP69" s="300" t="e">
        <f>#REF!</f>
        <v>#REF!</v>
      </c>
      <c r="FQ69" s="300" t="e">
        <f>#REF!</f>
        <v>#REF!</v>
      </c>
      <c r="FR69" s="300" t="e">
        <f>#REF!</f>
        <v>#REF!</v>
      </c>
      <c r="FS69" s="300" t="e">
        <f>#REF!</f>
        <v>#REF!</v>
      </c>
      <c r="FT69" s="300" t="e">
        <f>#REF!</f>
        <v>#REF!</v>
      </c>
      <c r="FU69" s="300" t="e">
        <f>#REF!</f>
        <v>#REF!</v>
      </c>
      <c r="FV69" s="300" t="e">
        <f>#REF!</f>
        <v>#REF!</v>
      </c>
      <c r="FW69" s="300" t="e">
        <f>#REF!</f>
        <v>#REF!</v>
      </c>
      <c r="FX69" s="300" t="e">
        <f>#REF!</f>
        <v>#REF!</v>
      </c>
      <c r="FY69" s="300" t="e">
        <f>#REF!</f>
        <v>#REF!</v>
      </c>
      <c r="FZ69" s="300" t="e">
        <f>#REF!</f>
        <v>#REF!</v>
      </c>
      <c r="GA69" s="301">
        <f t="shared" si="750"/>
        <v>0</v>
      </c>
      <c r="GB69" s="301">
        <f t="shared" si="750"/>
        <v>5.1000000000000004E-3</v>
      </c>
      <c r="GC69" s="301">
        <f t="shared" si="750"/>
        <v>0</v>
      </c>
      <c r="GD69" s="301">
        <f t="shared" si="750"/>
        <v>1.8E-3</v>
      </c>
      <c r="GE69" s="301">
        <f t="shared" si="750"/>
        <v>0</v>
      </c>
      <c r="GF69" s="301">
        <f t="shared" si="750"/>
        <v>0</v>
      </c>
      <c r="GG69" s="301">
        <f t="shared" si="750"/>
        <v>0</v>
      </c>
      <c r="GH69" s="301">
        <f t="shared" si="750"/>
        <v>0</v>
      </c>
      <c r="GI69" s="301">
        <f t="shared" si="750"/>
        <v>0</v>
      </c>
      <c r="GJ69" s="301">
        <f t="shared" si="750"/>
        <v>0</v>
      </c>
      <c r="GK69" s="301">
        <f t="shared" si="750"/>
        <v>0</v>
      </c>
      <c r="GL69" s="301">
        <f t="shared" si="750"/>
        <v>0</v>
      </c>
      <c r="GM69" s="301">
        <f t="shared" si="751"/>
        <v>0</v>
      </c>
      <c r="GN69" s="301">
        <f t="shared" si="751"/>
        <v>2.5999999999999999E-3</v>
      </c>
      <c r="GO69" s="301">
        <f t="shared" si="751"/>
        <v>0</v>
      </c>
      <c r="GP69" s="301">
        <f t="shared" si="751"/>
        <v>0</v>
      </c>
      <c r="GQ69" s="301">
        <f t="shared" si="751"/>
        <v>0</v>
      </c>
      <c r="GR69" s="301">
        <f t="shared" si="751"/>
        <v>0</v>
      </c>
      <c r="GS69" s="301">
        <f t="shared" si="751"/>
        <v>0</v>
      </c>
      <c r="GT69" s="301">
        <f t="shared" si="751"/>
        <v>0</v>
      </c>
      <c r="GU69" s="301">
        <f t="shared" si="751"/>
        <v>0</v>
      </c>
      <c r="GV69" s="301">
        <f t="shared" si="751"/>
        <v>0</v>
      </c>
      <c r="GW69" s="301">
        <f t="shared" si="751"/>
        <v>0</v>
      </c>
      <c r="GX69" s="301">
        <f t="shared" si="751"/>
        <v>0</v>
      </c>
      <c r="GY69" s="841">
        <f>BL69</f>
        <v>0</v>
      </c>
      <c r="GZ69" s="841">
        <f t="shared" si="752"/>
        <v>0</v>
      </c>
      <c r="HA69" s="841">
        <f t="shared" si="752"/>
        <v>6.7000000000000002E-3</v>
      </c>
      <c r="HB69" s="841">
        <f t="shared" si="752"/>
        <v>0</v>
      </c>
      <c r="HC69" s="841">
        <f t="shared" si="752"/>
        <v>0</v>
      </c>
      <c r="HD69" s="841">
        <f t="shared" si="752"/>
        <v>0</v>
      </c>
      <c r="HE69" s="841">
        <f t="shared" si="752"/>
        <v>0</v>
      </c>
      <c r="HF69" s="841">
        <f t="shared" si="752"/>
        <v>0</v>
      </c>
      <c r="HG69" s="841">
        <f t="shared" si="752"/>
        <v>0</v>
      </c>
      <c r="HH69" s="841">
        <f t="shared" si="752"/>
        <v>1.6000000000000001E-3</v>
      </c>
      <c r="HI69" s="841">
        <f t="shared" si="752"/>
        <v>0</v>
      </c>
      <c r="HJ69" s="841">
        <f t="shared" si="753"/>
        <v>0</v>
      </c>
      <c r="HK69" s="969">
        <f>BZ69</f>
        <v>0</v>
      </c>
      <c r="HL69" s="969">
        <f t="shared" si="754"/>
        <v>0</v>
      </c>
      <c r="HM69" s="969">
        <f t="shared" si="754"/>
        <v>0</v>
      </c>
      <c r="HN69" s="969">
        <f t="shared" si="754"/>
        <v>0</v>
      </c>
      <c r="HO69" s="969">
        <f t="shared" si="754"/>
        <v>0</v>
      </c>
      <c r="HP69" s="969">
        <f t="shared" si="754"/>
        <v>0</v>
      </c>
      <c r="HQ69" s="969">
        <f t="shared" si="754"/>
        <v>0</v>
      </c>
      <c r="HR69" s="969">
        <f t="shared" si="754"/>
        <v>0</v>
      </c>
      <c r="HS69" s="969">
        <f t="shared" si="754"/>
        <v>0</v>
      </c>
      <c r="HT69" s="969">
        <f t="shared" si="754"/>
        <v>0</v>
      </c>
      <c r="HU69" s="969">
        <f t="shared" si="754"/>
        <v>0</v>
      </c>
      <c r="HV69" s="969">
        <f t="shared" si="754"/>
        <v>0</v>
      </c>
    </row>
    <row r="70" spans="1:230" s="312" customFormat="1" ht="15.75" thickBot="1" x14ac:dyDescent="0.3">
      <c r="A70" s="809"/>
      <c r="B70" s="310">
        <v>9.5</v>
      </c>
      <c r="C70" s="311"/>
      <c r="D70" s="467"/>
      <c r="E70" s="1032" t="s">
        <v>182</v>
      </c>
      <c r="F70" s="1033"/>
      <c r="G70" s="1034"/>
      <c r="H70" s="309">
        <v>0.62519999999999998</v>
      </c>
      <c r="I70" s="306">
        <v>0.62719999999999998</v>
      </c>
      <c r="J70" s="309">
        <v>0.4929</v>
      </c>
      <c r="K70" s="306">
        <v>0.504</v>
      </c>
      <c r="L70" s="309">
        <v>0.53680000000000005</v>
      </c>
      <c r="M70" s="306">
        <v>0.53900000000000003</v>
      </c>
      <c r="N70" s="309">
        <v>0.57079999999999997</v>
      </c>
      <c r="O70" s="306">
        <v>0.52510000000000001</v>
      </c>
      <c r="P70" s="309">
        <v>0.52480000000000004</v>
      </c>
      <c r="Q70" s="306">
        <v>0.47520000000000001</v>
      </c>
      <c r="R70" s="309">
        <v>0.4914</v>
      </c>
      <c r="S70" s="306">
        <v>0.52580000000000005</v>
      </c>
      <c r="T70" s="307" t="s">
        <v>29</v>
      </c>
      <c r="U70" s="308">
        <v>0.53651666666666664</v>
      </c>
      <c r="V70" s="309">
        <v>0.52429999999999999</v>
      </c>
      <c r="W70" s="306">
        <v>0.52159999999999995</v>
      </c>
      <c r="X70" s="309">
        <v>0.52310000000000001</v>
      </c>
      <c r="Y70" s="306">
        <v>0.56579999999999997</v>
      </c>
      <c r="Z70" s="309">
        <v>0.55479999999999996</v>
      </c>
      <c r="AA70" s="306">
        <v>0.56999999999999995</v>
      </c>
      <c r="AB70" s="309">
        <v>0.5887</v>
      </c>
      <c r="AC70" s="306">
        <v>0.58020000000000005</v>
      </c>
      <c r="AD70" s="309">
        <v>0.58540000000000003</v>
      </c>
      <c r="AE70" s="306">
        <v>0.55369999999999997</v>
      </c>
      <c r="AF70" s="309">
        <v>0.52749999999999997</v>
      </c>
      <c r="AG70" s="306">
        <v>0.51239999999999997</v>
      </c>
      <c r="AH70" s="307" t="s">
        <v>29</v>
      </c>
      <c r="AI70" s="308">
        <v>0.55062500000000003</v>
      </c>
      <c r="AJ70" s="309">
        <v>0.51559999999999995</v>
      </c>
      <c r="AK70" s="306">
        <v>0.53559999999999997</v>
      </c>
      <c r="AL70" s="309">
        <v>0.53210000000000002</v>
      </c>
      <c r="AM70" s="306">
        <v>0.52669999999999995</v>
      </c>
      <c r="AN70" s="309">
        <v>0.52480000000000004</v>
      </c>
      <c r="AO70" s="306">
        <v>0.53029999999999999</v>
      </c>
      <c r="AP70" s="655">
        <v>0.56989999999999996</v>
      </c>
      <c r="AQ70" s="306">
        <v>0.56769999999999998</v>
      </c>
      <c r="AR70" s="655">
        <v>0.5706</v>
      </c>
      <c r="AS70" s="306">
        <v>0.58550000000000002</v>
      </c>
      <c r="AT70" s="655">
        <v>0.59940000000000004</v>
      </c>
      <c r="AU70" s="306">
        <v>0.67269999999999996</v>
      </c>
      <c r="AV70" s="307" t="s">
        <v>29</v>
      </c>
      <c r="AW70" s="308">
        <f>SUM(AJ70:AU70)/$AV$4</f>
        <v>0.56090833333333323</v>
      </c>
      <c r="AX70" s="309">
        <v>0.69579999999999997</v>
      </c>
      <c r="AY70" s="306">
        <v>0.69310000000000005</v>
      </c>
      <c r="AZ70" s="309">
        <v>0.73350000000000004</v>
      </c>
      <c r="BA70" s="306">
        <v>0.76249999999999996</v>
      </c>
      <c r="BB70" s="309">
        <v>0.76980000000000004</v>
      </c>
      <c r="BC70" s="306">
        <v>0.69889999999999997</v>
      </c>
      <c r="BD70" s="655">
        <v>0.70609999999999995</v>
      </c>
      <c r="BE70" s="306">
        <v>0.70520000000000005</v>
      </c>
      <c r="BF70" s="655">
        <v>0.71860000000000002</v>
      </c>
      <c r="BG70" s="306">
        <v>0.75239999999999996</v>
      </c>
      <c r="BH70" s="655">
        <v>0.7228</v>
      </c>
      <c r="BI70" s="306">
        <v>0.6925</v>
      </c>
      <c r="BJ70" s="307" t="s">
        <v>29</v>
      </c>
      <c r="BK70" s="308">
        <f>SUM(AX70:BI70)/$BJ$4</f>
        <v>0.72093333333333343</v>
      </c>
      <c r="BL70" s="309">
        <v>0.76370000000000005</v>
      </c>
      <c r="BM70" s="306">
        <v>0.77390000000000003</v>
      </c>
      <c r="BN70" s="309">
        <v>0.7944</v>
      </c>
      <c r="BO70" s="306">
        <v>0.76839999999999997</v>
      </c>
      <c r="BP70" s="309">
        <v>0.78749999999999998</v>
      </c>
      <c r="BQ70" s="306">
        <v>0.87990000000000002</v>
      </c>
      <c r="BR70" s="655">
        <v>0.89339999999999997</v>
      </c>
      <c r="BS70" s="306">
        <v>0.9103</v>
      </c>
      <c r="BT70" s="655">
        <v>0.87490000000000001</v>
      </c>
      <c r="BU70" s="655">
        <v>0.90239999999999998</v>
      </c>
      <c r="BV70" s="655">
        <v>0.89529999999999998</v>
      </c>
      <c r="BW70" s="655">
        <v>0.95760000000000001</v>
      </c>
      <c r="BX70" s="307" t="s">
        <v>29</v>
      </c>
      <c r="BY70" s="308">
        <f>SUM(BL70:BW70)/$BX$4</f>
        <v>0.85014166666666657</v>
      </c>
      <c r="BZ70" s="655">
        <v>0.84530000000000005</v>
      </c>
      <c r="CA70" s="306">
        <v>0.67</v>
      </c>
      <c r="CB70" s="309">
        <v>0.69359999999999999</v>
      </c>
      <c r="CC70" s="306">
        <v>0.67130000000000001</v>
      </c>
      <c r="CD70" s="309">
        <v>0.65149999999999997</v>
      </c>
      <c r="CE70" s="306">
        <v>0.67779999999999996</v>
      </c>
      <c r="CF70" s="655">
        <v>0.68069999999999997</v>
      </c>
      <c r="CG70" s="306">
        <v>0.65849999999999997</v>
      </c>
      <c r="CH70" s="655">
        <v>0.6825</v>
      </c>
      <c r="CI70" s="655">
        <v>0.62779999999999991</v>
      </c>
      <c r="CJ70" s="655">
        <v>0.66269999999999996</v>
      </c>
      <c r="CK70" s="655"/>
      <c r="CL70" s="307" t="s">
        <v>29</v>
      </c>
      <c r="CM70" s="308">
        <f>SUM(BZ70:CK70)/$CL$4</f>
        <v>0.68379090909090912</v>
      </c>
      <c r="CN70" s="700">
        <f>AX70-AU70</f>
        <v>2.3100000000000009E-2</v>
      </c>
      <c r="CO70" s="681">
        <f>CN70/AU70</f>
        <v>3.4339229968782532E-2</v>
      </c>
      <c r="CP70" s="700">
        <f>AY70-AX70</f>
        <v>-2.6999999999999247E-3</v>
      </c>
      <c r="CQ70" s="681">
        <f>CP70/AX70</f>
        <v>-3.8804254096003517E-3</v>
      </c>
      <c r="CR70" s="700">
        <f>AZ70-AY70</f>
        <v>4.0399999999999991E-2</v>
      </c>
      <c r="CS70" s="681">
        <f>CR70/AY70</f>
        <v>5.8288847208195049E-2</v>
      </c>
      <c r="CT70" s="700">
        <f>BA70-AZ70</f>
        <v>2.8999999999999915E-2</v>
      </c>
      <c r="CU70" s="681">
        <f>CT70/AZ70</f>
        <v>3.9536468984321629E-2</v>
      </c>
      <c r="CV70" s="700">
        <f>BB70-BA70</f>
        <v>7.3000000000000842E-3</v>
      </c>
      <c r="CW70" s="681">
        <f>CV70/BA70</f>
        <v>9.5737704918033902E-3</v>
      </c>
      <c r="CX70" s="700">
        <f>BC70-BB70</f>
        <v>-7.0900000000000074E-2</v>
      </c>
      <c r="CY70" s="681">
        <f>CX70/BB70</f>
        <v>-9.2101844634970217E-2</v>
      </c>
      <c r="CZ70" s="700">
        <f>BD70-BC70</f>
        <v>7.1999999999999842E-3</v>
      </c>
      <c r="DA70" s="681">
        <f>CZ70/BC70</f>
        <v>1.0301902990413486E-2</v>
      </c>
      <c r="DB70" s="700">
        <f>BE70-BD70</f>
        <v>-8.9999999999990088E-4</v>
      </c>
      <c r="DC70" s="681">
        <f>DB70/BD70</f>
        <v>-1.2746069961760388E-3</v>
      </c>
      <c r="DD70" s="700">
        <f>BF70-BE70</f>
        <v>1.3399999999999967E-2</v>
      </c>
      <c r="DE70" s="681">
        <f>DD70/BE70</f>
        <v>1.9001701644923378E-2</v>
      </c>
      <c r="DF70" s="700">
        <f>BG70-BF70</f>
        <v>3.3799999999999941E-2</v>
      </c>
      <c r="DG70" s="193">
        <f>DF70/BF70</f>
        <v>4.7035903145004089E-2</v>
      </c>
      <c r="DH70" s="682">
        <f>BH70-BG70</f>
        <v>-2.959999999999996E-2</v>
      </c>
      <c r="DI70" s="681">
        <f>DH70/BG70</f>
        <v>-3.9340776182881391E-2</v>
      </c>
      <c r="DJ70" s="700">
        <f>BI70-BH70</f>
        <v>-3.0299999999999994E-2</v>
      </c>
      <c r="DK70" s="681">
        <f>DJ70/BH70</f>
        <v>-4.192030990592141E-2</v>
      </c>
      <c r="DL70" s="700">
        <f t="shared" si="746"/>
        <v>7.1200000000000041E-2</v>
      </c>
      <c r="DM70" s="681">
        <f>DL70/BI70</f>
        <v>0.10281588447653435</v>
      </c>
      <c r="DN70" s="339">
        <f t="shared" si="747"/>
        <v>1.0199999999999987E-2</v>
      </c>
      <c r="DO70" s="413">
        <f>DN70/BL70</f>
        <v>1.3356029854654951E-2</v>
      </c>
      <c r="DP70" s="339">
        <f t="shared" si="748"/>
        <v>2.0499999999999963E-2</v>
      </c>
      <c r="DQ70" s="413">
        <f>DP70/BM70</f>
        <v>2.6489210492311618E-2</v>
      </c>
      <c r="DR70" s="339">
        <f>BO70-BN70</f>
        <v>-2.6000000000000023E-2</v>
      </c>
      <c r="DS70" s="413">
        <f>DR70/BN70</f>
        <v>-3.2729103726082606E-2</v>
      </c>
      <c r="DT70" s="339">
        <f>BP70-BO70</f>
        <v>1.9100000000000006E-2</v>
      </c>
      <c r="DU70" s="413">
        <f>DT70/BO70</f>
        <v>2.4856845393024476E-2</v>
      </c>
      <c r="DV70" s="339">
        <f>BQ70-BP70</f>
        <v>9.2400000000000038E-2</v>
      </c>
      <c r="DW70" s="413">
        <f>DV70/BP70</f>
        <v>0.11733333333333339</v>
      </c>
      <c r="DX70" s="339">
        <f>BR70-BQ70</f>
        <v>1.3499999999999956E-2</v>
      </c>
      <c r="DY70" s="413">
        <f>DX70/BQ70</f>
        <v>1.5342652574156105E-2</v>
      </c>
      <c r="DZ70" s="339">
        <f>BS70-BR70</f>
        <v>1.6900000000000026E-2</v>
      </c>
      <c r="EA70" s="413">
        <f>DZ70/BR70</f>
        <v>1.8916498768748631E-2</v>
      </c>
      <c r="EB70" s="339">
        <f>BT70-BS70</f>
        <v>-3.5399999999999987E-2</v>
      </c>
      <c r="EC70" s="413">
        <f>EB70/BS70</f>
        <v>-3.888827858947598E-2</v>
      </c>
      <c r="ED70" s="339">
        <f>BU70-BT70</f>
        <v>2.7499999999999969E-2</v>
      </c>
      <c r="EE70" s="413">
        <f>ED70/BT70</f>
        <v>3.1432163675848633E-2</v>
      </c>
      <c r="EF70" s="339">
        <f>BV70-BU70</f>
        <v>-7.0999999999999952E-3</v>
      </c>
      <c r="EG70" s="413">
        <f>EF70/BU70</f>
        <v>-7.8679078014184337E-3</v>
      </c>
      <c r="EH70" s="339">
        <f>BW70-BV70</f>
        <v>6.2300000000000022E-2</v>
      </c>
      <c r="EI70" s="413">
        <f>EH70/BV70</f>
        <v>6.9585613760750606E-2</v>
      </c>
      <c r="EJ70" s="339">
        <f>BZ70-BW70</f>
        <v>-0.11229999999999996</v>
      </c>
      <c r="EK70" s="413">
        <f>EJ70/BW70</f>
        <v>-0.11727234753550539</v>
      </c>
      <c r="EL70" s="339">
        <f>CA70-BZ70</f>
        <v>-0.17530000000000001</v>
      </c>
      <c r="EM70" s="413">
        <f>EL70/BZ70</f>
        <v>-0.20738199455814504</v>
      </c>
      <c r="EN70" s="339">
        <f>CB70-CA70</f>
        <v>2.3599999999999954E-2</v>
      </c>
      <c r="EO70" s="413">
        <f>EN70/CA70</f>
        <v>3.5223880597014853E-2</v>
      </c>
      <c r="EP70" s="339">
        <f>CC70-CB70</f>
        <v>-2.2299999999999986E-2</v>
      </c>
      <c r="EQ70" s="413">
        <f>EP70/CB70</f>
        <v>-3.2151095732410595E-2</v>
      </c>
      <c r="ER70" s="339">
        <f>CD70-CC70</f>
        <v>-1.980000000000004E-2</v>
      </c>
      <c r="ES70" s="413">
        <f>ER70/CC70</f>
        <v>-2.9495009682705259E-2</v>
      </c>
      <c r="ET70" s="339">
        <f>CE70-CD70</f>
        <v>2.629999999999999E-2</v>
      </c>
      <c r="EU70" s="413">
        <f>ET70/CD70</f>
        <v>4.0368380660015336E-2</v>
      </c>
      <c r="EV70" s="339">
        <f>CF70-CE70</f>
        <v>2.9000000000000137E-3</v>
      </c>
      <c r="EW70" s="413">
        <f>EV70/CE70</f>
        <v>4.2785482443198786E-3</v>
      </c>
      <c r="EX70" s="339">
        <f>CG70-CF70</f>
        <v>-2.2199999999999998E-2</v>
      </c>
      <c r="EY70" s="413">
        <f>EX70/CF70</f>
        <v>-3.2613486117232256E-2</v>
      </c>
      <c r="EZ70" s="339">
        <f>CH70-CG70</f>
        <v>2.4000000000000021E-2</v>
      </c>
      <c r="FA70" s="413">
        <f>EZ70/CG70</f>
        <v>3.6446469248291605E-2</v>
      </c>
      <c r="FB70" s="339">
        <f>CI70-CH70</f>
        <v>-5.4700000000000082E-2</v>
      </c>
      <c r="FC70" s="413">
        <f>FB70/CH70</f>
        <v>-8.0146520146520267E-2</v>
      </c>
      <c r="FD70" s="339">
        <f>CJ70-CI70</f>
        <v>3.4900000000000042E-2</v>
      </c>
      <c r="FE70" s="413">
        <f>FD70/CI70</f>
        <v>5.5590952532653788E-2</v>
      </c>
      <c r="FF70" s="339">
        <f>CK70-CJ70</f>
        <v>-0.66269999999999996</v>
      </c>
      <c r="FG70" s="413">
        <f>FF70/CJ70</f>
        <v>-1</v>
      </c>
      <c r="FH70" s="869">
        <f>BV70</f>
        <v>0.89529999999999998</v>
      </c>
      <c r="FI70" s="904">
        <f>CJ70</f>
        <v>0.66269999999999996</v>
      </c>
      <c r="FJ70" s="700">
        <f>FI70-FH70</f>
        <v>-0.23260000000000003</v>
      </c>
      <c r="FK70" s="193">
        <f t="shared" si="745"/>
        <v>-0.25980118396068358</v>
      </c>
      <c r="FL70" s="705"/>
      <c r="FM70" s="705"/>
      <c r="FN70" s="705"/>
      <c r="FO70" s="312" t="str">
        <f>E70</f>
        <v>ERP Respone Time (Seconds)</v>
      </c>
      <c r="FP70" s="313" t="e">
        <f>#REF!</f>
        <v>#REF!</v>
      </c>
      <c r="FQ70" s="313" t="e">
        <f>#REF!</f>
        <v>#REF!</v>
      </c>
      <c r="FR70" s="313" t="e">
        <f>#REF!</f>
        <v>#REF!</v>
      </c>
      <c r="FS70" s="313" t="e">
        <f>#REF!</f>
        <v>#REF!</v>
      </c>
      <c r="FT70" s="313" t="e">
        <f>#REF!</f>
        <v>#REF!</v>
      </c>
      <c r="FU70" s="313" t="e">
        <f>#REF!</f>
        <v>#REF!</v>
      </c>
      <c r="FV70" s="313" t="e">
        <f>#REF!</f>
        <v>#REF!</v>
      </c>
      <c r="FW70" s="313" t="e">
        <f>#REF!</f>
        <v>#REF!</v>
      </c>
      <c r="FX70" s="313" t="e">
        <f>#REF!</f>
        <v>#REF!</v>
      </c>
      <c r="FY70" s="313" t="e">
        <f>#REF!</f>
        <v>#REF!</v>
      </c>
      <c r="FZ70" s="313" t="e">
        <f>#REF!</f>
        <v>#REF!</v>
      </c>
      <c r="GA70" s="314">
        <f t="shared" si="750"/>
        <v>0.51559999999999995</v>
      </c>
      <c r="GB70" s="314">
        <f t="shared" si="750"/>
        <v>0.53559999999999997</v>
      </c>
      <c r="GC70" s="314">
        <f t="shared" si="750"/>
        <v>0.53210000000000002</v>
      </c>
      <c r="GD70" s="314">
        <f t="shared" si="750"/>
        <v>0.52669999999999995</v>
      </c>
      <c r="GE70" s="314">
        <f t="shared" si="750"/>
        <v>0.52480000000000004</v>
      </c>
      <c r="GF70" s="314">
        <f t="shared" si="750"/>
        <v>0.53029999999999999</v>
      </c>
      <c r="GG70" s="314">
        <f t="shared" si="750"/>
        <v>0.56989999999999996</v>
      </c>
      <c r="GH70" s="314">
        <f t="shared" si="750"/>
        <v>0.56769999999999998</v>
      </c>
      <c r="GI70" s="314">
        <f t="shared" si="750"/>
        <v>0.5706</v>
      </c>
      <c r="GJ70" s="314">
        <f t="shared" si="750"/>
        <v>0.58550000000000002</v>
      </c>
      <c r="GK70" s="314">
        <f t="shared" si="750"/>
        <v>0.59940000000000004</v>
      </c>
      <c r="GL70" s="314">
        <f t="shared" si="750"/>
        <v>0.67269999999999996</v>
      </c>
      <c r="GM70" s="314">
        <f t="shared" si="751"/>
        <v>0.69579999999999997</v>
      </c>
      <c r="GN70" s="314">
        <f t="shared" si="751"/>
        <v>0.69310000000000005</v>
      </c>
      <c r="GO70" s="314">
        <f t="shared" si="751"/>
        <v>0.73350000000000004</v>
      </c>
      <c r="GP70" s="314">
        <f t="shared" si="751"/>
        <v>0.76249999999999996</v>
      </c>
      <c r="GQ70" s="314">
        <f t="shared" si="751"/>
        <v>0.76980000000000004</v>
      </c>
      <c r="GR70" s="314">
        <f t="shared" si="751"/>
        <v>0.69889999999999997</v>
      </c>
      <c r="GS70" s="314">
        <f t="shared" si="751"/>
        <v>0.70609999999999995</v>
      </c>
      <c r="GT70" s="314">
        <f t="shared" si="751"/>
        <v>0.70520000000000005</v>
      </c>
      <c r="GU70" s="314">
        <f t="shared" si="751"/>
        <v>0.71860000000000002</v>
      </c>
      <c r="GV70" s="314">
        <f t="shared" si="751"/>
        <v>0.75239999999999996</v>
      </c>
      <c r="GW70" s="314">
        <f t="shared" si="751"/>
        <v>0.7228</v>
      </c>
      <c r="GX70" s="314">
        <f t="shared" si="751"/>
        <v>0.6925</v>
      </c>
      <c r="GY70" s="843">
        <f>BL70</f>
        <v>0.76370000000000005</v>
      </c>
      <c r="GZ70" s="843">
        <f t="shared" si="752"/>
        <v>0.77390000000000003</v>
      </c>
      <c r="HA70" s="843">
        <f t="shared" si="752"/>
        <v>0.7944</v>
      </c>
      <c r="HB70" s="843">
        <f t="shared" si="752"/>
        <v>0.76839999999999997</v>
      </c>
      <c r="HC70" s="843">
        <f t="shared" si="752"/>
        <v>0.78749999999999998</v>
      </c>
      <c r="HD70" s="843">
        <f t="shared" si="752"/>
        <v>0.87990000000000002</v>
      </c>
      <c r="HE70" s="843">
        <f t="shared" si="752"/>
        <v>0.89339999999999997</v>
      </c>
      <c r="HF70" s="843">
        <f t="shared" si="752"/>
        <v>0.9103</v>
      </c>
      <c r="HG70" s="843">
        <f t="shared" si="752"/>
        <v>0.87490000000000001</v>
      </c>
      <c r="HH70" s="843">
        <f t="shared" si="752"/>
        <v>0.90239999999999998</v>
      </c>
      <c r="HI70" s="843">
        <f t="shared" si="752"/>
        <v>0.89529999999999998</v>
      </c>
      <c r="HJ70" s="843">
        <f t="shared" si="753"/>
        <v>0.95760000000000001</v>
      </c>
      <c r="HK70" s="971">
        <f>BZ70</f>
        <v>0.84530000000000005</v>
      </c>
      <c r="HL70" s="971">
        <f t="shared" si="754"/>
        <v>0.67</v>
      </c>
      <c r="HM70" s="971">
        <f t="shared" si="754"/>
        <v>0.69359999999999999</v>
      </c>
      <c r="HN70" s="971">
        <f t="shared" si="754"/>
        <v>0.67130000000000001</v>
      </c>
      <c r="HO70" s="971">
        <f t="shared" si="754"/>
        <v>0.65149999999999997</v>
      </c>
      <c r="HP70" s="971">
        <f t="shared" si="754"/>
        <v>0.67779999999999996</v>
      </c>
      <c r="HQ70" s="971">
        <f t="shared" si="754"/>
        <v>0.68069999999999997</v>
      </c>
      <c r="HR70" s="971">
        <f t="shared" si="754"/>
        <v>0.65849999999999997</v>
      </c>
      <c r="HS70" s="971">
        <f t="shared" si="754"/>
        <v>0.6825</v>
      </c>
      <c r="HT70" s="971">
        <f t="shared" si="754"/>
        <v>0.62779999999999991</v>
      </c>
      <c r="HU70" s="971">
        <f t="shared" si="754"/>
        <v>0.66269999999999996</v>
      </c>
      <c r="HV70" s="971">
        <f t="shared" si="754"/>
        <v>0</v>
      </c>
    </row>
    <row r="71" spans="1:230" s="315" customFormat="1" ht="15.75" customHeight="1" outlineLevel="1" x14ac:dyDescent="0.25">
      <c r="A71" s="1017" t="s">
        <v>2</v>
      </c>
      <c r="B71" s="1018"/>
      <c r="C71" s="468"/>
      <c r="D71" s="468"/>
      <c r="H71" s="1006"/>
      <c r="I71" s="37"/>
      <c r="J71" s="1006"/>
      <c r="K71" s="37"/>
      <c r="L71" s="1006"/>
      <c r="M71" s="37"/>
      <c r="N71" s="1006"/>
      <c r="O71" s="37"/>
      <c r="P71" s="1006"/>
      <c r="Q71" s="37"/>
      <c r="R71" s="1006"/>
      <c r="S71" s="37"/>
      <c r="T71" s="37"/>
      <c r="U71" s="37"/>
      <c r="V71" s="1006"/>
      <c r="W71" s="37"/>
      <c r="X71" s="1006"/>
      <c r="Y71" s="37"/>
      <c r="Z71" s="1006"/>
      <c r="AA71" s="37"/>
      <c r="AB71" s="1006"/>
      <c r="AC71" s="37"/>
      <c r="AD71" s="1006"/>
      <c r="AE71" s="37"/>
      <c r="AF71" s="1006"/>
      <c r="AG71" s="37"/>
      <c r="AH71" s="37"/>
      <c r="AI71" s="37"/>
      <c r="AJ71" s="1006"/>
      <c r="AK71" s="37"/>
      <c r="AL71" s="1006"/>
      <c r="AM71" s="37"/>
      <c r="AN71" s="1006"/>
      <c r="AO71" s="37"/>
      <c r="AP71" s="1006"/>
      <c r="AQ71" s="37"/>
      <c r="AR71" s="37"/>
      <c r="AS71" s="37"/>
      <c r="AT71" s="37"/>
      <c r="AU71" s="37"/>
      <c r="AV71" s="37"/>
      <c r="AW71" s="37"/>
      <c r="AX71" s="1006"/>
      <c r="AY71" s="37"/>
      <c r="AZ71" s="1006"/>
      <c r="BA71" s="37"/>
      <c r="BB71" s="1006"/>
      <c r="BC71" s="37"/>
      <c r="BD71" s="1006"/>
      <c r="BE71" s="37"/>
      <c r="BF71" s="1006"/>
      <c r="BG71" s="37"/>
      <c r="BH71" s="37"/>
      <c r="BI71" s="37"/>
      <c r="BJ71" s="37"/>
      <c r="BK71" s="37"/>
      <c r="BL71" s="1006"/>
      <c r="BM71" s="37"/>
      <c r="BN71" s="1006"/>
      <c r="BO71" s="37"/>
      <c r="BP71" s="1006"/>
      <c r="BQ71" s="37"/>
      <c r="BR71" s="1006"/>
      <c r="BS71" s="37"/>
      <c r="BT71" s="1006"/>
      <c r="BU71" s="1006"/>
      <c r="BV71" s="1006"/>
      <c r="BW71" s="1006"/>
      <c r="BX71" s="37"/>
      <c r="BY71" s="37"/>
      <c r="BZ71" s="1006"/>
      <c r="CA71" s="37"/>
      <c r="CB71" s="1006"/>
      <c r="CC71" s="37"/>
      <c r="CD71" s="1006"/>
      <c r="CE71" s="37"/>
      <c r="CF71" s="1006"/>
      <c r="CG71" s="37"/>
      <c r="CH71" s="1006"/>
      <c r="CI71" s="1006"/>
      <c r="CJ71" s="1006"/>
      <c r="CK71" s="1006"/>
      <c r="CL71" s="37"/>
      <c r="CM71" s="37"/>
      <c r="CO71" s="1007"/>
      <c r="CQ71" s="1008"/>
      <c r="CS71" s="1008"/>
      <c r="CU71" s="1008"/>
      <c r="CW71" s="1008"/>
      <c r="CY71" s="1008"/>
      <c r="DA71" s="1008"/>
      <c r="DC71" s="1008"/>
      <c r="DE71" s="1008"/>
      <c r="DG71" s="1008"/>
      <c r="DI71" s="1008"/>
      <c r="DK71" s="1008"/>
      <c r="DM71" s="1008"/>
      <c r="DO71" s="1008"/>
      <c r="DQ71" s="1008"/>
      <c r="DS71" s="1008"/>
      <c r="DU71" s="1008"/>
      <c r="DW71" s="1008"/>
      <c r="DY71" s="1008"/>
      <c r="EA71" s="1008"/>
      <c r="EC71" s="1008"/>
      <c r="EE71" s="1008"/>
      <c r="EG71" s="1008"/>
      <c r="EI71" s="1008"/>
      <c r="EK71" s="1008"/>
      <c r="EM71" s="1008"/>
      <c r="EO71" s="1008"/>
      <c r="EQ71" s="1008"/>
      <c r="ES71" s="1008"/>
      <c r="EU71" s="1008"/>
      <c r="EW71" s="1008"/>
      <c r="EY71" s="1008"/>
      <c r="FA71" s="1008"/>
      <c r="FC71" s="1008"/>
      <c r="FE71" s="1008"/>
      <c r="FG71" s="1008"/>
      <c r="FH71" s="37"/>
      <c r="FI71" s="37"/>
      <c r="FK71" s="1009"/>
      <c r="FL71" s="1008"/>
      <c r="FM71" s="1008"/>
      <c r="FN71" s="1008"/>
      <c r="FP71" s="1010"/>
      <c r="FQ71" s="1010"/>
      <c r="FR71" s="1010"/>
      <c r="FS71" s="1010"/>
      <c r="FT71" s="1010"/>
      <c r="FU71" s="1010"/>
      <c r="FV71" s="1010"/>
      <c r="FW71" s="1010"/>
      <c r="FX71" s="1010"/>
      <c r="FY71" s="1010"/>
      <c r="FZ71" s="1010"/>
      <c r="GA71" s="1010"/>
      <c r="GB71" s="1010"/>
      <c r="GC71" s="1010"/>
      <c r="GD71" s="1010"/>
      <c r="GE71" s="1010"/>
      <c r="GF71" s="1010"/>
      <c r="GG71" s="1010"/>
      <c r="GH71" s="1010"/>
      <c r="GI71" s="1010"/>
      <c r="GJ71" s="1010"/>
      <c r="GK71" s="1010"/>
      <c r="GL71" s="1010"/>
      <c r="GM71" s="1010"/>
      <c r="GN71" s="1010"/>
      <c r="GO71" s="1010"/>
      <c r="GP71" s="1010"/>
      <c r="GQ71" s="1010"/>
      <c r="GR71" s="1010"/>
      <c r="GS71" s="1010"/>
      <c r="GT71" s="1010"/>
      <c r="GU71" s="1010"/>
      <c r="GV71" s="1010"/>
      <c r="GW71" s="1010"/>
      <c r="GX71" s="1010"/>
      <c r="GY71" s="1010"/>
      <c r="GZ71" s="1010"/>
      <c r="HA71" s="1010"/>
      <c r="HB71" s="1010"/>
      <c r="HC71" s="1010"/>
      <c r="HD71" s="1010"/>
      <c r="HE71" s="1010"/>
      <c r="HF71" s="1010"/>
      <c r="HG71" s="1010"/>
      <c r="HH71" s="1010"/>
      <c r="HI71" s="1010"/>
      <c r="HJ71" s="1010"/>
      <c r="HK71" s="1010"/>
      <c r="HL71" s="1010"/>
      <c r="HM71" s="1010"/>
      <c r="HN71" s="1010"/>
      <c r="HO71" s="1010"/>
      <c r="HP71" s="1010"/>
      <c r="HQ71" s="1010"/>
      <c r="HR71" s="1010"/>
      <c r="HS71" s="1010"/>
      <c r="HT71" s="1010"/>
      <c r="HU71" s="1010"/>
      <c r="HV71" s="1010"/>
    </row>
    <row r="72" spans="1:230" s="470" customFormat="1" ht="8.25" customHeight="1" outlineLevel="1" x14ac:dyDescent="0.25">
      <c r="A72" s="1019"/>
      <c r="B72" s="1020"/>
      <c r="C72" s="469"/>
      <c r="D72" s="469"/>
      <c r="H72" s="1006"/>
      <c r="I72" s="37"/>
      <c r="J72" s="1006"/>
      <c r="K72" s="37"/>
      <c r="L72" s="1006"/>
      <c r="M72" s="37"/>
      <c r="N72" s="1006"/>
      <c r="O72" s="37"/>
      <c r="P72" s="1006"/>
      <c r="Q72" s="37"/>
      <c r="R72" s="1006"/>
      <c r="S72" s="37"/>
      <c r="T72" s="37"/>
      <c r="U72" s="37"/>
      <c r="V72" s="1006"/>
      <c r="W72" s="37"/>
      <c r="X72" s="1006"/>
      <c r="Y72" s="37"/>
      <c r="Z72" s="1006"/>
      <c r="AA72" s="37"/>
      <c r="AB72" s="1006"/>
      <c r="AC72" s="37"/>
      <c r="AD72" s="1006"/>
      <c r="AE72" s="37"/>
      <c r="AF72" s="1006"/>
      <c r="AG72" s="37"/>
      <c r="AH72" s="37"/>
      <c r="AI72" s="37"/>
      <c r="AJ72" s="1006"/>
      <c r="AK72" s="37"/>
      <c r="AL72" s="1006"/>
      <c r="AM72" s="37"/>
      <c r="AN72" s="1006"/>
      <c r="AO72" s="37"/>
      <c r="AP72" s="1006"/>
      <c r="AQ72" s="37"/>
      <c r="AR72" s="37"/>
      <c r="AS72" s="37"/>
      <c r="AT72" s="37"/>
      <c r="AU72" s="37"/>
      <c r="AV72" s="37"/>
      <c r="AW72" s="37"/>
      <c r="AX72" s="1006"/>
      <c r="AY72" s="37"/>
      <c r="AZ72" s="1006"/>
      <c r="BA72" s="37"/>
      <c r="BB72" s="1006"/>
      <c r="BC72" s="37"/>
      <c r="BD72" s="1006"/>
      <c r="BE72" s="37"/>
      <c r="BF72" s="1006"/>
      <c r="BG72" s="37"/>
      <c r="BH72" s="37"/>
      <c r="BI72" s="37"/>
      <c r="BJ72" s="37"/>
      <c r="BK72" s="37"/>
      <c r="BL72" s="1006"/>
      <c r="BM72" s="37"/>
      <c r="BN72" s="1006"/>
      <c r="BO72" s="37"/>
      <c r="BP72" s="1006"/>
      <c r="BQ72" s="37"/>
      <c r="BR72" s="1006"/>
      <c r="BS72" s="37"/>
      <c r="BT72" s="1006"/>
      <c r="BU72" s="1006"/>
      <c r="BV72" s="1006"/>
      <c r="BW72" s="1006"/>
      <c r="BX72" s="37"/>
      <c r="BY72" s="37"/>
      <c r="BZ72" s="1006"/>
      <c r="CA72" s="37"/>
      <c r="CB72" s="1006"/>
      <c r="CC72" s="37"/>
      <c r="CD72" s="1006"/>
      <c r="CE72" s="37"/>
      <c r="CF72" s="1006"/>
      <c r="CG72" s="37"/>
      <c r="CH72" s="1006"/>
      <c r="CI72" s="1006"/>
      <c r="CJ72" s="1006"/>
      <c r="CK72" s="1006"/>
      <c r="CL72" s="37"/>
      <c r="CM72" s="37"/>
      <c r="CO72" s="1011"/>
      <c r="CQ72" s="1012"/>
      <c r="CS72" s="1012"/>
      <c r="CU72" s="1012"/>
      <c r="CW72" s="1012"/>
      <c r="CY72" s="1012"/>
      <c r="DA72" s="1012"/>
      <c r="DC72" s="1012"/>
      <c r="DE72" s="1012"/>
      <c r="DG72" s="1012"/>
      <c r="DI72" s="1012"/>
      <c r="DK72" s="1012"/>
      <c r="DM72" s="1012"/>
      <c r="DO72" s="1012"/>
      <c r="DQ72" s="1012"/>
      <c r="DS72" s="1012"/>
      <c r="DU72" s="1012"/>
      <c r="DW72" s="1012"/>
      <c r="DY72" s="1012"/>
      <c r="EA72" s="1012"/>
      <c r="EC72" s="1012"/>
      <c r="EE72" s="1012"/>
      <c r="EG72" s="1012"/>
      <c r="EI72" s="1012"/>
      <c r="EK72" s="1012"/>
      <c r="EM72" s="1012"/>
      <c r="EO72" s="1012"/>
      <c r="EQ72" s="1012"/>
      <c r="ES72" s="1012"/>
      <c r="EU72" s="1012"/>
      <c r="EW72" s="1012"/>
      <c r="EY72" s="1012"/>
      <c r="FA72" s="1012"/>
      <c r="FC72" s="1012"/>
      <c r="FE72" s="1012"/>
      <c r="FG72" s="1012"/>
      <c r="FH72" s="37"/>
      <c r="FI72" s="37"/>
      <c r="FK72" s="1013"/>
      <c r="FL72" s="1012"/>
      <c r="FM72" s="1012"/>
      <c r="FN72" s="1012"/>
      <c r="FP72" s="1014"/>
      <c r="FQ72" s="1014"/>
      <c r="FR72" s="1014"/>
      <c r="FS72" s="1014"/>
      <c r="FT72" s="1014"/>
      <c r="FU72" s="1014"/>
      <c r="FV72" s="1014"/>
      <c r="FW72" s="1014"/>
      <c r="FX72" s="1014"/>
      <c r="FY72" s="1014"/>
      <c r="FZ72" s="1014"/>
      <c r="GA72" s="1014"/>
      <c r="GB72" s="1014"/>
      <c r="GC72" s="1014"/>
      <c r="GD72" s="1014"/>
      <c r="GE72" s="1014"/>
      <c r="GF72" s="1014"/>
      <c r="GG72" s="1014"/>
      <c r="GH72" s="1014"/>
      <c r="GI72" s="1014"/>
      <c r="GJ72" s="1014"/>
      <c r="GK72" s="1014"/>
      <c r="GL72" s="1014"/>
      <c r="GM72" s="1014"/>
      <c r="GN72" s="1014"/>
      <c r="GO72" s="1014"/>
      <c r="GP72" s="1014"/>
      <c r="GQ72" s="1014"/>
      <c r="GR72" s="1014"/>
      <c r="GS72" s="1014"/>
      <c r="GT72" s="1014"/>
      <c r="GU72" s="1014"/>
      <c r="GV72" s="1014"/>
      <c r="GW72" s="1014"/>
      <c r="GX72" s="1014"/>
      <c r="GY72" s="1014"/>
      <c r="GZ72" s="1014"/>
      <c r="HA72" s="1014"/>
      <c r="HB72" s="1014"/>
      <c r="HC72" s="1014"/>
      <c r="HD72" s="1014"/>
      <c r="HE72" s="1014"/>
      <c r="HF72" s="1014"/>
      <c r="HG72" s="1014"/>
      <c r="HH72" s="1014"/>
      <c r="HI72" s="1014"/>
      <c r="HJ72" s="1014"/>
      <c r="HK72" s="1014"/>
      <c r="HL72" s="1014"/>
      <c r="HM72" s="1014"/>
      <c r="HN72" s="1014"/>
      <c r="HO72" s="1014"/>
      <c r="HP72" s="1014"/>
      <c r="HQ72" s="1014"/>
      <c r="HR72" s="1014"/>
      <c r="HS72" s="1014"/>
      <c r="HT72" s="1014"/>
      <c r="HU72" s="1014"/>
      <c r="HV72" s="1014"/>
    </row>
    <row r="73" spans="1:230" s="470" customFormat="1" ht="15" customHeight="1" outlineLevel="1" x14ac:dyDescent="0.25">
      <c r="A73" s="1031">
        <v>39814</v>
      </c>
      <c r="B73" s="1031"/>
      <c r="C73" s="471"/>
      <c r="D73" s="471"/>
      <c r="G73" s="472"/>
      <c r="H73" s="1006"/>
      <c r="I73" s="37"/>
      <c r="J73" s="1006"/>
      <c r="K73" s="37"/>
      <c r="L73" s="1006"/>
      <c r="M73" s="37"/>
      <c r="N73" s="1006"/>
      <c r="O73" s="37"/>
      <c r="P73" s="1006"/>
      <c r="Q73" s="37"/>
      <c r="R73" s="1006"/>
      <c r="S73" s="37"/>
      <c r="T73" s="37"/>
      <c r="U73" s="37"/>
      <c r="V73" s="1006"/>
      <c r="W73" s="37"/>
      <c r="X73" s="1006"/>
      <c r="Y73" s="37"/>
      <c r="Z73" s="1006"/>
      <c r="AA73" s="37"/>
      <c r="AB73" s="1006"/>
      <c r="AC73" s="37"/>
      <c r="AD73" s="1006"/>
      <c r="AE73" s="37"/>
      <c r="AF73" s="1006"/>
      <c r="AG73" s="37"/>
      <c r="AH73" s="37"/>
      <c r="AI73" s="37"/>
      <c r="AJ73" s="1006"/>
      <c r="AK73" s="37"/>
      <c r="AL73" s="1006"/>
      <c r="AM73" s="37"/>
      <c r="AN73" s="1006"/>
      <c r="AO73" s="37"/>
      <c r="AP73" s="1006"/>
      <c r="AQ73" s="37"/>
      <c r="AR73" s="37"/>
      <c r="AS73" s="37"/>
      <c r="AT73" s="37"/>
      <c r="AU73" s="37"/>
      <c r="AV73" s="37"/>
      <c r="AW73" s="37"/>
      <c r="AX73" s="1006"/>
      <c r="AY73" s="37"/>
      <c r="AZ73" s="1006"/>
      <c r="BA73" s="37"/>
      <c r="BB73" s="1006"/>
      <c r="BC73" s="37"/>
      <c r="BD73" s="1006"/>
      <c r="BE73" s="37"/>
      <c r="BF73" s="1006"/>
      <c r="BG73" s="37"/>
      <c r="BH73" s="37"/>
      <c r="BI73" s="37"/>
      <c r="BJ73" s="37"/>
      <c r="BK73" s="37"/>
      <c r="BL73" s="1006"/>
      <c r="BM73" s="37"/>
      <c r="BN73" s="1006"/>
      <c r="BO73" s="37"/>
      <c r="BP73" s="1006"/>
      <c r="BQ73" s="37"/>
      <c r="BR73" s="1006"/>
      <c r="BS73" s="37"/>
      <c r="BT73" s="1006"/>
      <c r="BU73" s="1006"/>
      <c r="BV73" s="1006"/>
      <c r="BW73" s="1006"/>
      <c r="BX73" s="37"/>
      <c r="BY73" s="37"/>
      <c r="BZ73" s="1006"/>
      <c r="CA73" s="37"/>
      <c r="CB73" s="1006"/>
      <c r="CC73" s="37"/>
      <c r="CD73" s="1006"/>
      <c r="CE73" s="37"/>
      <c r="CF73" s="1006"/>
      <c r="CG73" s="37"/>
      <c r="CH73" s="1006"/>
      <c r="CI73" s="1006"/>
      <c r="CJ73" s="1006"/>
      <c r="CK73" s="1006"/>
      <c r="CL73" s="37"/>
      <c r="CM73" s="37"/>
      <c r="CO73" s="1011"/>
      <c r="CQ73" s="1012"/>
      <c r="CS73" s="1012"/>
      <c r="CU73" s="1012"/>
      <c r="CW73" s="1012"/>
      <c r="CY73" s="1012"/>
      <c r="DA73" s="1012"/>
      <c r="DC73" s="1012"/>
      <c r="DE73" s="1012"/>
      <c r="DG73" s="1012"/>
      <c r="DI73" s="1012"/>
      <c r="DK73" s="1012"/>
      <c r="DM73" s="1012"/>
      <c r="DO73" s="1012"/>
      <c r="DQ73" s="1012"/>
      <c r="DS73" s="1012"/>
      <c r="DU73" s="1012"/>
      <c r="DW73" s="1012"/>
      <c r="DY73" s="1012"/>
      <c r="EA73" s="1012"/>
      <c r="EC73" s="1012"/>
      <c r="EE73" s="1012"/>
      <c r="EG73" s="1012"/>
      <c r="EI73" s="1012"/>
      <c r="EK73" s="1012"/>
      <c r="EM73" s="1012"/>
      <c r="EO73" s="1012"/>
      <c r="EQ73" s="1012"/>
      <c r="ES73" s="1012"/>
      <c r="EU73" s="1012"/>
      <c r="EW73" s="1012"/>
      <c r="EY73" s="1012"/>
      <c r="FA73" s="1012"/>
      <c r="FC73" s="1012"/>
      <c r="FE73" s="1012"/>
      <c r="FG73" s="1012"/>
      <c r="FH73" s="37"/>
      <c r="FI73" s="37"/>
      <c r="FK73" s="1013"/>
      <c r="FL73" s="1012"/>
      <c r="FM73" s="1012"/>
      <c r="FN73" s="1012"/>
      <c r="FP73" s="1014"/>
      <c r="FQ73" s="1014"/>
      <c r="FR73" s="1014"/>
      <c r="FS73" s="1014"/>
      <c r="FT73" s="1014"/>
      <c r="FU73" s="1014"/>
      <c r="FV73" s="1014"/>
      <c r="FW73" s="1014"/>
      <c r="FX73" s="1014"/>
      <c r="FY73" s="1014"/>
      <c r="FZ73" s="1014"/>
      <c r="GA73" s="1014"/>
      <c r="GB73" s="1014"/>
      <c r="GC73" s="1014"/>
      <c r="GD73" s="1014"/>
      <c r="GE73" s="1014"/>
      <c r="GF73" s="1014"/>
      <c r="GG73" s="1014"/>
      <c r="GH73" s="1014"/>
      <c r="GI73" s="1014"/>
      <c r="GJ73" s="1014"/>
      <c r="GK73" s="1014"/>
      <c r="GL73" s="1014"/>
      <c r="GM73" s="1014"/>
      <c r="GN73" s="1014"/>
      <c r="GO73" s="1014"/>
      <c r="GP73" s="1014"/>
      <c r="GQ73" s="1014"/>
      <c r="GR73" s="1014"/>
      <c r="GS73" s="1014"/>
      <c r="GT73" s="1014"/>
      <c r="GU73" s="1014"/>
      <c r="GV73" s="1014"/>
      <c r="GW73" s="1014"/>
      <c r="GX73" s="1014"/>
      <c r="GY73" s="1014"/>
      <c r="GZ73" s="1014"/>
      <c r="HA73" s="1014"/>
      <c r="HB73" s="1014"/>
      <c r="HC73" s="1014"/>
      <c r="HD73" s="1014"/>
      <c r="HE73" s="1014"/>
      <c r="HF73" s="1014"/>
      <c r="HG73" s="1014"/>
      <c r="HH73" s="1014"/>
      <c r="HI73" s="1014"/>
      <c r="HJ73" s="1014"/>
      <c r="HK73" s="1014"/>
      <c r="HL73" s="1014"/>
      <c r="HM73" s="1014"/>
      <c r="HN73" s="1014"/>
      <c r="HO73" s="1014"/>
      <c r="HP73" s="1014"/>
      <c r="HQ73" s="1014"/>
      <c r="HR73" s="1014"/>
      <c r="HS73" s="1014"/>
      <c r="HT73" s="1014"/>
      <c r="HU73" s="1014"/>
      <c r="HV73" s="1014"/>
    </row>
    <row r="74" spans="1:230" s="470" customFormat="1" ht="15" customHeight="1" outlineLevel="1" x14ac:dyDescent="0.25">
      <c r="A74" s="1031">
        <v>39832</v>
      </c>
      <c r="B74" s="1031"/>
      <c r="C74" s="471"/>
      <c r="D74" s="471"/>
      <c r="H74" s="1006"/>
      <c r="I74" s="37"/>
      <c r="J74" s="1006"/>
      <c r="K74" s="37"/>
      <c r="L74" s="1006"/>
      <c r="M74" s="37"/>
      <c r="N74" s="1006"/>
      <c r="O74" s="37"/>
      <c r="P74" s="1006"/>
      <c r="Q74" s="37"/>
      <c r="R74" s="1006"/>
      <c r="S74" s="37"/>
      <c r="T74" s="37"/>
      <c r="U74" s="37"/>
      <c r="V74" s="1006"/>
      <c r="W74" s="37"/>
      <c r="X74" s="1006"/>
      <c r="Y74" s="37"/>
      <c r="Z74" s="1006"/>
      <c r="AA74" s="37"/>
      <c r="AB74" s="1006"/>
      <c r="AC74" s="37"/>
      <c r="AD74" s="1006"/>
      <c r="AE74" s="37"/>
      <c r="AF74" s="1006"/>
      <c r="AG74" s="37"/>
      <c r="AH74" s="37"/>
      <c r="AI74" s="37"/>
      <c r="AJ74" s="1006"/>
      <c r="AK74" s="37"/>
      <c r="AL74" s="1006"/>
      <c r="AM74" s="37"/>
      <c r="AN74" s="1006"/>
      <c r="AO74" s="37"/>
      <c r="AP74" s="1006"/>
      <c r="AQ74" s="37"/>
      <c r="AR74" s="37"/>
      <c r="AS74" s="37"/>
      <c r="AT74" s="37"/>
      <c r="AU74" s="37"/>
      <c r="AV74" s="37"/>
      <c r="AW74" s="37"/>
      <c r="AX74" s="1006"/>
      <c r="AY74" s="37"/>
      <c r="AZ74" s="1006"/>
      <c r="BA74" s="37"/>
      <c r="BB74" s="1006"/>
      <c r="BC74" s="37"/>
      <c r="BD74" s="1006"/>
      <c r="BE74" s="37"/>
      <c r="BF74" s="1006"/>
      <c r="BG74" s="37"/>
      <c r="BH74" s="37"/>
      <c r="BI74" s="37"/>
      <c r="BJ74" s="37"/>
      <c r="BK74" s="37"/>
      <c r="BL74" s="1006"/>
      <c r="BM74" s="37"/>
      <c r="BN74" s="1006"/>
      <c r="BO74" s="37"/>
      <c r="BP74" s="1006"/>
      <c r="BQ74" s="37"/>
      <c r="BR74" s="1006"/>
      <c r="BS74" s="37"/>
      <c r="BT74" s="1006"/>
      <c r="BU74" s="1006"/>
      <c r="BV74" s="1006"/>
      <c r="BW74" s="1006"/>
      <c r="BX74" s="37"/>
      <c r="BY74" s="37"/>
      <c r="BZ74" s="1006"/>
      <c r="CA74" s="37"/>
      <c r="CB74" s="1006"/>
      <c r="CC74" s="37"/>
      <c r="CD74" s="1006"/>
      <c r="CE74" s="37"/>
      <c r="CF74" s="1006"/>
      <c r="CG74" s="37"/>
      <c r="CH74" s="1006"/>
      <c r="CI74" s="1006"/>
      <c r="CJ74" s="1006"/>
      <c r="CK74" s="1006"/>
      <c r="CL74" s="37"/>
      <c r="CM74" s="37"/>
      <c r="CO74" s="1011"/>
      <c r="CQ74" s="1012"/>
      <c r="CS74" s="1012"/>
      <c r="CU74" s="1012"/>
      <c r="CW74" s="1012"/>
      <c r="CY74" s="1012"/>
      <c r="DA74" s="1012"/>
      <c r="DC74" s="1012"/>
      <c r="DE74" s="1012"/>
      <c r="DG74" s="1012"/>
      <c r="DI74" s="1012"/>
      <c r="DK74" s="1012"/>
      <c r="DM74" s="1012"/>
      <c r="DO74" s="1012"/>
      <c r="DQ74" s="1012"/>
      <c r="DS74" s="1012"/>
      <c r="DU74" s="1012"/>
      <c r="DW74" s="1012"/>
      <c r="DY74" s="1012"/>
      <c r="EA74" s="1012"/>
      <c r="EC74" s="1012"/>
      <c r="EE74" s="1012"/>
      <c r="EG74" s="1012"/>
      <c r="EI74" s="1012"/>
      <c r="EK74" s="1012"/>
      <c r="EM74" s="1012"/>
      <c r="EO74" s="1012"/>
      <c r="EQ74" s="1012"/>
      <c r="ES74" s="1012"/>
      <c r="EU74" s="1012"/>
      <c r="EW74" s="1012"/>
      <c r="EY74" s="1012"/>
      <c r="FA74" s="1012"/>
      <c r="FC74" s="1012"/>
      <c r="FE74" s="1012"/>
      <c r="FG74" s="1012"/>
      <c r="FH74" s="37"/>
      <c r="FI74" s="37"/>
      <c r="FK74" s="1013"/>
      <c r="FL74" s="1012"/>
      <c r="FM74" s="1012"/>
      <c r="FN74" s="1012"/>
      <c r="FP74" s="1014"/>
      <c r="FQ74" s="1014"/>
      <c r="FR74" s="1014"/>
      <c r="FS74" s="1014"/>
      <c r="FT74" s="1014"/>
      <c r="FU74" s="1014"/>
      <c r="FV74" s="1014"/>
      <c r="FW74" s="1014"/>
      <c r="FX74" s="1014"/>
      <c r="FY74" s="1014"/>
      <c r="FZ74" s="1014"/>
      <c r="GA74" s="1014"/>
      <c r="GB74" s="1014"/>
      <c r="GC74" s="1014"/>
      <c r="GD74" s="1014"/>
      <c r="GE74" s="1014"/>
      <c r="GF74" s="1014"/>
      <c r="GG74" s="1014"/>
      <c r="GH74" s="1014"/>
      <c r="GI74" s="1014"/>
      <c r="GJ74" s="1014"/>
      <c r="GK74" s="1014"/>
      <c r="GL74" s="1014"/>
      <c r="GM74" s="1014"/>
      <c r="GN74" s="1014"/>
      <c r="GO74" s="1014"/>
      <c r="GP74" s="1014"/>
      <c r="GQ74" s="1014"/>
      <c r="GR74" s="1014"/>
      <c r="GS74" s="1014"/>
      <c r="GT74" s="1014"/>
      <c r="GU74" s="1014"/>
      <c r="GV74" s="1014"/>
      <c r="GW74" s="1014"/>
      <c r="GX74" s="1014"/>
      <c r="GY74" s="1014"/>
      <c r="GZ74" s="1014"/>
      <c r="HA74" s="1014"/>
      <c r="HB74" s="1014"/>
      <c r="HC74" s="1014"/>
      <c r="HD74" s="1014"/>
      <c r="HE74" s="1014"/>
      <c r="HF74" s="1014"/>
      <c r="HG74" s="1014"/>
      <c r="HH74" s="1014"/>
      <c r="HI74" s="1014"/>
      <c r="HJ74" s="1014"/>
      <c r="HK74" s="1014"/>
      <c r="HL74" s="1014"/>
      <c r="HM74" s="1014"/>
      <c r="HN74" s="1014"/>
      <c r="HO74" s="1014"/>
      <c r="HP74" s="1014"/>
      <c r="HQ74" s="1014"/>
      <c r="HR74" s="1014"/>
      <c r="HS74" s="1014"/>
      <c r="HT74" s="1014"/>
      <c r="HU74" s="1014"/>
      <c r="HV74" s="1014"/>
    </row>
    <row r="75" spans="1:230" s="470" customFormat="1" ht="15" customHeight="1" outlineLevel="1" x14ac:dyDescent="0.25">
      <c r="A75" s="1031">
        <v>39913</v>
      </c>
      <c r="B75" s="1031"/>
      <c r="C75" s="471"/>
      <c r="D75" s="471"/>
      <c r="H75" s="1006"/>
      <c r="I75" s="37"/>
      <c r="J75" s="1006"/>
      <c r="K75" s="37"/>
      <c r="L75" s="1006"/>
      <c r="M75" s="37"/>
      <c r="N75" s="1006"/>
      <c r="O75" s="37"/>
      <c r="P75" s="1006"/>
      <c r="Q75" s="37"/>
      <c r="R75" s="1006"/>
      <c r="S75" s="37"/>
      <c r="T75" s="37"/>
      <c r="U75" s="37"/>
      <c r="V75" s="1006"/>
      <c r="W75" s="37"/>
      <c r="X75" s="1006"/>
      <c r="Y75" s="37"/>
      <c r="Z75" s="1006"/>
      <c r="AA75" s="37"/>
      <c r="AB75" s="1006"/>
      <c r="AC75" s="37"/>
      <c r="AD75" s="1006"/>
      <c r="AE75" s="37"/>
      <c r="AF75" s="1006"/>
      <c r="AG75" s="37"/>
      <c r="AH75" s="37"/>
      <c r="AI75" s="37"/>
      <c r="AJ75" s="1006"/>
      <c r="AK75" s="37"/>
      <c r="AL75" s="1006"/>
      <c r="AM75" s="37"/>
      <c r="AN75" s="1006"/>
      <c r="AO75" s="37"/>
      <c r="AP75" s="1006"/>
      <c r="AQ75" s="37"/>
      <c r="AR75" s="37"/>
      <c r="AS75" s="37"/>
      <c r="AT75" s="37"/>
      <c r="AU75" s="37"/>
      <c r="AV75" s="37"/>
      <c r="AW75" s="37"/>
      <c r="AX75" s="1006"/>
      <c r="AY75" s="37"/>
      <c r="AZ75" s="1006"/>
      <c r="BA75" s="37"/>
      <c r="BB75" s="1006"/>
      <c r="BC75" s="37"/>
      <c r="BD75" s="1006"/>
      <c r="BE75" s="37"/>
      <c r="BF75" s="1006"/>
      <c r="BG75" s="37"/>
      <c r="BH75" s="37"/>
      <c r="BI75" s="37"/>
      <c r="BJ75" s="37"/>
      <c r="BK75" s="37"/>
      <c r="BL75" s="1006"/>
      <c r="BM75" s="37"/>
      <c r="BN75" s="1006"/>
      <c r="BO75" s="37"/>
      <c r="BP75" s="1006"/>
      <c r="BQ75" s="37"/>
      <c r="BR75" s="1006"/>
      <c r="BS75" s="37"/>
      <c r="BT75" s="1006"/>
      <c r="BU75" s="1006"/>
      <c r="BV75" s="1006"/>
      <c r="BW75" s="1006"/>
      <c r="BX75" s="37"/>
      <c r="BY75" s="37"/>
      <c r="BZ75" s="1006"/>
      <c r="CA75" s="37"/>
      <c r="CB75" s="1006"/>
      <c r="CC75" s="37"/>
      <c r="CD75" s="1006"/>
      <c r="CE75" s="37"/>
      <c r="CF75" s="1006"/>
      <c r="CG75" s="37"/>
      <c r="CH75" s="1006"/>
      <c r="CI75" s="1006"/>
      <c r="CJ75" s="1006"/>
      <c r="CK75" s="1006"/>
      <c r="CL75" s="37"/>
      <c r="CM75" s="37"/>
      <c r="CO75" s="1011"/>
      <c r="CQ75" s="1012"/>
      <c r="CS75" s="1012"/>
      <c r="CU75" s="1012"/>
      <c r="CW75" s="1012"/>
      <c r="CY75" s="1012"/>
      <c r="DA75" s="1012"/>
      <c r="DC75" s="1012"/>
      <c r="DE75" s="1012"/>
      <c r="DG75" s="1012"/>
      <c r="DI75" s="1012"/>
      <c r="DK75" s="1012"/>
      <c r="DM75" s="1012"/>
      <c r="DO75" s="1012"/>
      <c r="DQ75" s="1012"/>
      <c r="DS75" s="1012"/>
      <c r="DU75" s="1012"/>
      <c r="DW75" s="1012"/>
      <c r="DY75" s="1012"/>
      <c r="EA75" s="1012"/>
      <c r="EC75" s="1012"/>
      <c r="EE75" s="1012"/>
      <c r="EG75" s="1012"/>
      <c r="EI75" s="1012"/>
      <c r="EK75" s="1012"/>
      <c r="EM75" s="1012"/>
      <c r="EO75" s="1012"/>
      <c r="EQ75" s="1012"/>
      <c r="ES75" s="1012"/>
      <c r="EU75" s="1012"/>
      <c r="EW75" s="1012"/>
      <c r="EY75" s="1012"/>
      <c r="FA75" s="1012"/>
      <c r="FC75" s="1012"/>
      <c r="FE75" s="1012"/>
      <c r="FG75" s="1012"/>
      <c r="FH75" s="37"/>
      <c r="FI75" s="37"/>
      <c r="FK75" s="1013"/>
      <c r="FL75" s="1012"/>
      <c r="FM75" s="1012"/>
      <c r="FN75" s="1012"/>
      <c r="FP75" s="1014"/>
      <c r="FQ75" s="1014"/>
      <c r="FR75" s="1014"/>
      <c r="FS75" s="1014"/>
      <c r="FT75" s="1014"/>
      <c r="FU75" s="1014"/>
      <c r="FV75" s="1014"/>
      <c r="FW75" s="1014"/>
      <c r="FX75" s="1014"/>
      <c r="FY75" s="1014"/>
      <c r="FZ75" s="1014"/>
      <c r="GA75" s="1014"/>
      <c r="GB75" s="1014"/>
      <c r="GC75" s="1014"/>
      <c r="GD75" s="1014"/>
      <c r="GE75" s="1014"/>
      <c r="GF75" s="1014"/>
      <c r="GG75" s="1014"/>
      <c r="GH75" s="1014"/>
      <c r="GI75" s="1014"/>
      <c r="GJ75" s="1014"/>
      <c r="GK75" s="1014"/>
      <c r="GL75" s="1014"/>
      <c r="GM75" s="1014"/>
      <c r="GN75" s="1014"/>
      <c r="GO75" s="1014"/>
      <c r="GP75" s="1014"/>
      <c r="GQ75" s="1014"/>
      <c r="GR75" s="1014"/>
      <c r="GS75" s="1014"/>
      <c r="GT75" s="1014"/>
      <c r="GU75" s="1014"/>
      <c r="GV75" s="1014"/>
      <c r="GW75" s="1014"/>
      <c r="GX75" s="1014"/>
      <c r="GY75" s="1014"/>
      <c r="GZ75" s="1014"/>
      <c r="HA75" s="1014"/>
      <c r="HB75" s="1014"/>
      <c r="HC75" s="1014"/>
      <c r="HD75" s="1014"/>
      <c r="HE75" s="1014"/>
      <c r="HF75" s="1014"/>
      <c r="HG75" s="1014"/>
      <c r="HH75" s="1014"/>
      <c r="HI75" s="1014"/>
      <c r="HJ75" s="1014"/>
      <c r="HK75" s="1014"/>
      <c r="HL75" s="1014"/>
      <c r="HM75" s="1014"/>
      <c r="HN75" s="1014"/>
      <c r="HO75" s="1014"/>
      <c r="HP75" s="1014"/>
      <c r="HQ75" s="1014"/>
      <c r="HR75" s="1014"/>
      <c r="HS75" s="1014"/>
      <c r="HT75" s="1014"/>
      <c r="HU75" s="1014"/>
      <c r="HV75" s="1014"/>
    </row>
    <row r="76" spans="1:230" s="470" customFormat="1" ht="15" customHeight="1" outlineLevel="1" x14ac:dyDescent="0.25">
      <c r="A76" s="1031">
        <v>39958</v>
      </c>
      <c r="B76" s="1031"/>
      <c r="C76" s="471"/>
      <c r="D76" s="471"/>
      <c r="H76" s="1006"/>
      <c r="I76" s="37"/>
      <c r="J76" s="1006"/>
      <c r="K76" s="37"/>
      <c r="L76" s="1006"/>
      <c r="M76" s="37"/>
      <c r="N76" s="1006"/>
      <c r="O76" s="37"/>
      <c r="P76" s="1006"/>
      <c r="Q76" s="37"/>
      <c r="R76" s="1006"/>
      <c r="S76" s="37"/>
      <c r="T76" s="37"/>
      <c r="U76" s="37"/>
      <c r="V76" s="1006"/>
      <c r="W76" s="37"/>
      <c r="X76" s="1006"/>
      <c r="Y76" s="37"/>
      <c r="Z76" s="1006"/>
      <c r="AA76" s="37"/>
      <c r="AB76" s="1006"/>
      <c r="AC76" s="37"/>
      <c r="AD76" s="1006"/>
      <c r="AE76" s="37"/>
      <c r="AF76" s="1006"/>
      <c r="AG76" s="37"/>
      <c r="AH76" s="37"/>
      <c r="AI76" s="37"/>
      <c r="AJ76" s="1006"/>
      <c r="AK76" s="37"/>
      <c r="AL76" s="1006"/>
      <c r="AM76" s="37"/>
      <c r="AN76" s="1006"/>
      <c r="AO76" s="37"/>
      <c r="AP76" s="1006"/>
      <c r="AQ76" s="37"/>
      <c r="AR76" s="37"/>
      <c r="AS76" s="37"/>
      <c r="AT76" s="37"/>
      <c r="AU76" s="37"/>
      <c r="AV76" s="37"/>
      <c r="AW76" s="37"/>
      <c r="AX76" s="1006"/>
      <c r="AY76" s="37"/>
      <c r="AZ76" s="1006"/>
      <c r="BA76" s="37"/>
      <c r="BB76" s="1006"/>
      <c r="BC76" s="37"/>
      <c r="BD76" s="1006"/>
      <c r="BE76" s="37"/>
      <c r="BF76" s="1006"/>
      <c r="BG76" s="37"/>
      <c r="BH76" s="37"/>
      <c r="BI76" s="37"/>
      <c r="BJ76" s="37"/>
      <c r="BK76" s="37"/>
      <c r="BL76" s="1006"/>
      <c r="BM76" s="37"/>
      <c r="BN76" s="1006"/>
      <c r="BO76" s="37"/>
      <c r="BP76" s="1006"/>
      <c r="BQ76" s="37"/>
      <c r="BR76" s="1006"/>
      <c r="BS76" s="37"/>
      <c r="BT76" s="1006"/>
      <c r="BU76" s="1006"/>
      <c r="BV76" s="1006"/>
      <c r="BW76" s="1006"/>
      <c r="BX76" s="37"/>
      <c r="BY76" s="37"/>
      <c r="BZ76" s="1006"/>
      <c r="CA76" s="37"/>
      <c r="CB76" s="1006"/>
      <c r="CC76" s="37"/>
      <c r="CD76" s="1006"/>
      <c r="CE76" s="37"/>
      <c r="CF76" s="1006"/>
      <c r="CG76" s="37"/>
      <c r="CH76" s="1006"/>
      <c r="CI76" s="1006"/>
      <c r="CJ76" s="1006"/>
      <c r="CK76" s="1006"/>
      <c r="CL76" s="37"/>
      <c r="CM76" s="37"/>
      <c r="CO76" s="1011"/>
      <c r="CQ76" s="1012"/>
      <c r="CS76" s="1012"/>
      <c r="CU76" s="1012"/>
      <c r="CW76" s="1012"/>
      <c r="CY76" s="1012"/>
      <c r="DA76" s="1012"/>
      <c r="DC76" s="1012"/>
      <c r="DE76" s="1012"/>
      <c r="DG76" s="1012"/>
      <c r="DI76" s="1012"/>
      <c r="DK76" s="1012"/>
      <c r="DM76" s="1012"/>
      <c r="DO76" s="1012"/>
      <c r="DQ76" s="1012"/>
      <c r="DS76" s="1012"/>
      <c r="DU76" s="1012"/>
      <c r="DW76" s="1012"/>
      <c r="DY76" s="1012"/>
      <c r="EA76" s="1012"/>
      <c r="EC76" s="1012"/>
      <c r="EE76" s="1012"/>
      <c r="EG76" s="1012"/>
      <c r="EI76" s="1012"/>
      <c r="EK76" s="1012"/>
      <c r="EM76" s="1012"/>
      <c r="EO76" s="1012"/>
      <c r="EQ76" s="1012"/>
      <c r="ES76" s="1012"/>
      <c r="EU76" s="1012"/>
      <c r="EW76" s="1012"/>
      <c r="EY76" s="1012"/>
      <c r="FA76" s="1012"/>
      <c r="FC76" s="1012"/>
      <c r="FE76" s="1012"/>
      <c r="FG76" s="1012"/>
      <c r="FH76" s="37"/>
      <c r="FI76" s="37"/>
      <c r="FK76" s="1013"/>
      <c r="FL76" s="1012"/>
      <c r="FM76" s="1012"/>
      <c r="FN76" s="1012"/>
      <c r="FP76" s="1014"/>
      <c r="FQ76" s="1014"/>
      <c r="FR76" s="1014"/>
      <c r="FS76" s="1014"/>
      <c r="FT76" s="1014"/>
      <c r="FU76" s="1014"/>
      <c r="FV76" s="1014"/>
      <c r="FW76" s="1014"/>
      <c r="FX76" s="1014"/>
      <c r="FY76" s="1014"/>
      <c r="FZ76" s="1014"/>
      <c r="GA76" s="1014"/>
      <c r="GB76" s="1014"/>
      <c r="GC76" s="1014"/>
      <c r="GD76" s="1014"/>
      <c r="GE76" s="1014"/>
      <c r="GF76" s="1014"/>
      <c r="GG76" s="1014"/>
      <c r="GH76" s="1014"/>
      <c r="GI76" s="1014"/>
      <c r="GJ76" s="1014"/>
      <c r="GK76" s="1014"/>
      <c r="GL76" s="1014"/>
      <c r="GM76" s="1014"/>
      <c r="GN76" s="1014"/>
      <c r="GO76" s="1014"/>
      <c r="GP76" s="1014"/>
      <c r="GQ76" s="1014"/>
      <c r="GR76" s="1014"/>
      <c r="GS76" s="1014"/>
      <c r="GT76" s="1014"/>
      <c r="GU76" s="1014"/>
      <c r="GV76" s="1014"/>
      <c r="GW76" s="1014"/>
      <c r="GX76" s="1014"/>
      <c r="GY76" s="1014"/>
      <c r="GZ76" s="1014"/>
      <c r="HA76" s="1014"/>
      <c r="HB76" s="1014"/>
      <c r="HC76" s="1014"/>
      <c r="HD76" s="1014"/>
      <c r="HE76" s="1014"/>
      <c r="HF76" s="1014"/>
      <c r="HG76" s="1014"/>
      <c r="HH76" s="1014"/>
      <c r="HI76" s="1014"/>
      <c r="HJ76" s="1014"/>
      <c r="HK76" s="1014"/>
      <c r="HL76" s="1014"/>
      <c r="HM76" s="1014"/>
      <c r="HN76" s="1014"/>
      <c r="HO76" s="1014"/>
      <c r="HP76" s="1014"/>
      <c r="HQ76" s="1014"/>
      <c r="HR76" s="1014"/>
      <c r="HS76" s="1014"/>
      <c r="HT76" s="1014"/>
      <c r="HU76" s="1014"/>
      <c r="HV76" s="1014"/>
    </row>
    <row r="77" spans="1:230" s="470" customFormat="1" ht="15" customHeight="1" outlineLevel="1" x14ac:dyDescent="0.25">
      <c r="A77" s="1031">
        <v>39997</v>
      </c>
      <c r="B77" s="1031"/>
      <c r="C77" s="471"/>
      <c r="D77" s="471"/>
      <c r="H77" s="1006"/>
      <c r="I77" s="37"/>
      <c r="J77" s="1006"/>
      <c r="K77" s="37"/>
      <c r="L77" s="1006"/>
      <c r="M77" s="37"/>
      <c r="N77" s="1006"/>
      <c r="O77" s="37"/>
      <c r="P77" s="1006"/>
      <c r="Q77" s="37"/>
      <c r="R77" s="1006"/>
      <c r="S77" s="37"/>
      <c r="T77" s="37"/>
      <c r="U77" s="37"/>
      <c r="V77" s="1006"/>
      <c r="W77" s="37"/>
      <c r="X77" s="1006"/>
      <c r="Y77" s="37"/>
      <c r="Z77" s="1006"/>
      <c r="AA77" s="37"/>
      <c r="AB77" s="1006"/>
      <c r="AC77" s="37"/>
      <c r="AD77" s="1006"/>
      <c r="AE77" s="37"/>
      <c r="AF77" s="1006"/>
      <c r="AG77" s="37"/>
      <c r="AH77" s="37"/>
      <c r="AI77" s="37"/>
      <c r="AJ77" s="1006"/>
      <c r="AK77" s="37"/>
      <c r="AL77" s="1006"/>
      <c r="AM77" s="37"/>
      <c r="AN77" s="1006"/>
      <c r="AO77" s="37"/>
      <c r="AP77" s="1006"/>
      <c r="AQ77" s="37"/>
      <c r="AR77" s="37"/>
      <c r="AS77" s="37"/>
      <c r="AT77" s="37"/>
      <c r="AU77" s="37"/>
      <c r="AV77" s="37"/>
      <c r="AW77" s="37"/>
      <c r="AX77" s="1006"/>
      <c r="AY77" s="37"/>
      <c r="AZ77" s="1006"/>
      <c r="BA77" s="37"/>
      <c r="BB77" s="1006"/>
      <c r="BC77" s="37"/>
      <c r="BD77" s="1006"/>
      <c r="BE77" s="37"/>
      <c r="BF77" s="1006"/>
      <c r="BG77" s="37"/>
      <c r="BH77" s="37"/>
      <c r="BI77" s="37"/>
      <c r="BJ77" s="37"/>
      <c r="BK77" s="37"/>
      <c r="BL77" s="1006"/>
      <c r="BM77" s="37"/>
      <c r="BN77" s="1006"/>
      <c r="BO77" s="37"/>
      <c r="BP77" s="1006"/>
      <c r="BQ77" s="37"/>
      <c r="BR77" s="1006"/>
      <c r="BS77" s="37"/>
      <c r="BT77" s="1006"/>
      <c r="BU77" s="1006"/>
      <c r="BV77" s="1006"/>
      <c r="BW77" s="1006"/>
      <c r="BX77" s="37"/>
      <c r="BY77" s="37"/>
      <c r="BZ77" s="1006"/>
      <c r="CA77" s="37"/>
      <c r="CB77" s="1006"/>
      <c r="CC77" s="37"/>
      <c r="CD77" s="1006"/>
      <c r="CE77" s="37"/>
      <c r="CF77" s="1006"/>
      <c r="CG77" s="37"/>
      <c r="CH77" s="1006"/>
      <c r="CI77" s="1006"/>
      <c r="CJ77" s="1006"/>
      <c r="CK77" s="1006"/>
      <c r="CL77" s="37"/>
      <c r="CM77" s="37"/>
      <c r="CO77" s="1011"/>
      <c r="CQ77" s="1012"/>
      <c r="CS77" s="1012"/>
      <c r="CU77" s="1012"/>
      <c r="CW77" s="1012"/>
      <c r="CY77" s="1012"/>
      <c r="DA77" s="1012"/>
      <c r="DC77" s="1012"/>
      <c r="DE77" s="1012"/>
      <c r="DG77" s="1012"/>
      <c r="DI77" s="1012"/>
      <c r="DK77" s="1012"/>
      <c r="DM77" s="1012"/>
      <c r="DO77" s="1012"/>
      <c r="DQ77" s="1012"/>
      <c r="DS77" s="1012"/>
      <c r="DU77" s="1012"/>
      <c r="DW77" s="1012"/>
      <c r="DY77" s="1012"/>
      <c r="EA77" s="1012"/>
      <c r="EC77" s="1012"/>
      <c r="EE77" s="1012"/>
      <c r="EG77" s="1012"/>
      <c r="EI77" s="1012"/>
      <c r="EK77" s="1012"/>
      <c r="EM77" s="1012"/>
      <c r="EO77" s="1012"/>
      <c r="EQ77" s="1012"/>
      <c r="ES77" s="1012"/>
      <c r="EU77" s="1012"/>
      <c r="EW77" s="1012"/>
      <c r="EY77" s="1012"/>
      <c r="FA77" s="1012"/>
      <c r="FC77" s="1012"/>
      <c r="FE77" s="1012"/>
      <c r="FG77" s="1012"/>
      <c r="FH77" s="37"/>
      <c r="FI77" s="37"/>
      <c r="FK77" s="1013"/>
      <c r="FL77" s="1012"/>
      <c r="FM77" s="1012"/>
      <c r="FN77" s="1012"/>
      <c r="FP77" s="1014"/>
      <c r="FQ77" s="1014"/>
      <c r="FR77" s="1014"/>
      <c r="FS77" s="1014"/>
      <c r="FT77" s="1014"/>
      <c r="FU77" s="1014"/>
      <c r="FV77" s="1014"/>
      <c r="FW77" s="1014"/>
      <c r="FX77" s="1014"/>
      <c r="FY77" s="1014"/>
      <c r="FZ77" s="1014"/>
      <c r="GA77" s="1014"/>
      <c r="GB77" s="1014"/>
      <c r="GC77" s="1014"/>
      <c r="GD77" s="1014"/>
      <c r="GE77" s="1014"/>
      <c r="GF77" s="1014"/>
      <c r="GG77" s="1014"/>
      <c r="GH77" s="1014"/>
      <c r="GI77" s="1014"/>
      <c r="GJ77" s="1014"/>
      <c r="GK77" s="1014"/>
      <c r="GL77" s="1014"/>
      <c r="GM77" s="1014"/>
      <c r="GN77" s="1014"/>
      <c r="GO77" s="1014"/>
      <c r="GP77" s="1014"/>
      <c r="GQ77" s="1014"/>
      <c r="GR77" s="1014"/>
      <c r="GS77" s="1014"/>
      <c r="GT77" s="1014"/>
      <c r="GU77" s="1014"/>
      <c r="GV77" s="1014"/>
      <c r="GW77" s="1014"/>
      <c r="GX77" s="1014"/>
      <c r="GY77" s="1014"/>
      <c r="GZ77" s="1014"/>
      <c r="HA77" s="1014"/>
      <c r="HB77" s="1014"/>
      <c r="HC77" s="1014"/>
      <c r="HD77" s="1014"/>
      <c r="HE77" s="1014"/>
      <c r="HF77" s="1014"/>
      <c r="HG77" s="1014"/>
      <c r="HH77" s="1014"/>
      <c r="HI77" s="1014"/>
      <c r="HJ77" s="1014"/>
      <c r="HK77" s="1014"/>
      <c r="HL77" s="1014"/>
      <c r="HM77" s="1014"/>
      <c r="HN77" s="1014"/>
      <c r="HO77" s="1014"/>
      <c r="HP77" s="1014"/>
      <c r="HQ77" s="1014"/>
      <c r="HR77" s="1014"/>
      <c r="HS77" s="1014"/>
      <c r="HT77" s="1014"/>
      <c r="HU77" s="1014"/>
      <c r="HV77" s="1014"/>
    </row>
    <row r="78" spans="1:230" s="470" customFormat="1" ht="15" customHeight="1" outlineLevel="1" x14ac:dyDescent="0.25">
      <c r="A78" s="1031">
        <v>40063</v>
      </c>
      <c r="B78" s="1031"/>
      <c r="C78" s="471"/>
      <c r="D78" s="471"/>
      <c r="H78" s="1006"/>
      <c r="I78" s="37"/>
      <c r="J78" s="1006"/>
      <c r="K78" s="37"/>
      <c r="L78" s="1006"/>
      <c r="M78" s="37"/>
      <c r="N78" s="1006"/>
      <c r="O78" s="37"/>
      <c r="P78" s="1006"/>
      <c r="Q78" s="37"/>
      <c r="R78" s="1006"/>
      <c r="S78" s="37"/>
      <c r="T78" s="37"/>
      <c r="U78" s="37"/>
      <c r="V78" s="1006"/>
      <c r="W78" s="37"/>
      <c r="X78" s="1006"/>
      <c r="Y78" s="37"/>
      <c r="Z78" s="1006"/>
      <c r="AA78" s="37"/>
      <c r="AB78" s="1006"/>
      <c r="AC78" s="37"/>
      <c r="AD78" s="1006"/>
      <c r="AE78" s="37"/>
      <c r="AF78" s="1006"/>
      <c r="AG78" s="37"/>
      <c r="AH78" s="37"/>
      <c r="AI78" s="37"/>
      <c r="AJ78" s="1006"/>
      <c r="AK78" s="37"/>
      <c r="AL78" s="1006"/>
      <c r="AM78" s="37"/>
      <c r="AN78" s="1006"/>
      <c r="AO78" s="37"/>
      <c r="AP78" s="1006"/>
      <c r="AQ78" s="37"/>
      <c r="AR78" s="37"/>
      <c r="AS78" s="37"/>
      <c r="AT78" s="37"/>
      <c r="AU78" s="37"/>
      <c r="AV78" s="37"/>
      <c r="AW78" s="37"/>
      <c r="AX78" s="1006"/>
      <c r="AY78" s="37"/>
      <c r="AZ78" s="1006"/>
      <c r="BA78" s="37"/>
      <c r="BB78" s="1006"/>
      <c r="BC78" s="37"/>
      <c r="BD78" s="1006"/>
      <c r="BE78" s="37"/>
      <c r="BF78" s="1006"/>
      <c r="BG78" s="37"/>
      <c r="BH78" s="37"/>
      <c r="BI78" s="37"/>
      <c r="BJ78" s="37"/>
      <c r="BK78" s="37"/>
      <c r="BL78" s="1006"/>
      <c r="BM78" s="37"/>
      <c r="BN78" s="1006"/>
      <c r="BO78" s="37"/>
      <c r="BP78" s="1006"/>
      <c r="BQ78" s="37"/>
      <c r="BR78" s="1006"/>
      <c r="BS78" s="37"/>
      <c r="BT78" s="1006"/>
      <c r="BU78" s="1006"/>
      <c r="BV78" s="1006"/>
      <c r="BW78" s="1006"/>
      <c r="BX78" s="37"/>
      <c r="BY78" s="37"/>
      <c r="BZ78" s="1006"/>
      <c r="CA78" s="37"/>
      <c r="CB78" s="1006"/>
      <c r="CC78" s="37"/>
      <c r="CD78" s="1006"/>
      <c r="CE78" s="37"/>
      <c r="CF78" s="1006"/>
      <c r="CG78" s="37"/>
      <c r="CH78" s="1006"/>
      <c r="CI78" s="1006"/>
      <c r="CJ78" s="1006"/>
      <c r="CK78" s="1006"/>
      <c r="CL78" s="37"/>
      <c r="CM78" s="37"/>
      <c r="CO78" s="1011"/>
      <c r="CQ78" s="1012"/>
      <c r="CS78" s="1012"/>
      <c r="CU78" s="1012"/>
      <c r="CW78" s="1012"/>
      <c r="CY78" s="1012"/>
      <c r="DA78" s="1012"/>
      <c r="DC78" s="1012"/>
      <c r="DE78" s="1012"/>
      <c r="DG78" s="1012"/>
      <c r="DI78" s="1012"/>
      <c r="DK78" s="1012"/>
      <c r="DM78" s="1012"/>
      <c r="DO78" s="1012"/>
      <c r="DQ78" s="1012"/>
      <c r="DS78" s="1012"/>
      <c r="DU78" s="1012"/>
      <c r="DW78" s="1012"/>
      <c r="DY78" s="1012"/>
      <c r="EA78" s="1012"/>
      <c r="EC78" s="1012"/>
      <c r="EE78" s="1012"/>
      <c r="EG78" s="1012"/>
      <c r="EI78" s="1012"/>
      <c r="EK78" s="1012"/>
      <c r="EM78" s="1012"/>
      <c r="EO78" s="1012"/>
      <c r="EQ78" s="1012"/>
      <c r="ES78" s="1012"/>
      <c r="EU78" s="1012"/>
      <c r="EW78" s="1012"/>
      <c r="EY78" s="1012"/>
      <c r="FA78" s="1012"/>
      <c r="FC78" s="1012"/>
      <c r="FE78" s="1012"/>
      <c r="FG78" s="1012"/>
      <c r="FH78" s="37"/>
      <c r="FI78" s="37"/>
      <c r="FK78" s="1013"/>
      <c r="FL78" s="1012"/>
      <c r="FM78" s="1012"/>
      <c r="FN78" s="1012"/>
      <c r="FP78" s="1014"/>
      <c r="FQ78" s="1014"/>
      <c r="FR78" s="1014"/>
      <c r="FS78" s="1014"/>
      <c r="FT78" s="1014"/>
      <c r="FU78" s="1014"/>
      <c r="FV78" s="1014"/>
      <c r="FW78" s="1014"/>
      <c r="FX78" s="1014"/>
      <c r="FY78" s="1014"/>
      <c r="FZ78" s="1014"/>
      <c r="GA78" s="1014"/>
      <c r="GB78" s="1014"/>
      <c r="GC78" s="1014"/>
      <c r="GD78" s="1014"/>
      <c r="GE78" s="1014"/>
      <c r="GF78" s="1014"/>
      <c r="GG78" s="1014"/>
      <c r="GH78" s="1014"/>
      <c r="GI78" s="1014"/>
      <c r="GJ78" s="1014"/>
      <c r="GK78" s="1014"/>
      <c r="GL78" s="1014"/>
      <c r="GM78" s="1014"/>
      <c r="GN78" s="1014"/>
      <c r="GO78" s="1014"/>
      <c r="GP78" s="1014"/>
      <c r="GQ78" s="1014"/>
      <c r="GR78" s="1014"/>
      <c r="GS78" s="1014"/>
      <c r="GT78" s="1014"/>
      <c r="GU78" s="1014"/>
      <c r="GV78" s="1014"/>
      <c r="GW78" s="1014"/>
      <c r="GX78" s="1014"/>
      <c r="GY78" s="1014"/>
      <c r="GZ78" s="1014"/>
      <c r="HA78" s="1014"/>
      <c r="HB78" s="1014"/>
      <c r="HC78" s="1014"/>
      <c r="HD78" s="1014"/>
      <c r="HE78" s="1014"/>
      <c r="HF78" s="1014"/>
      <c r="HG78" s="1014"/>
      <c r="HH78" s="1014"/>
      <c r="HI78" s="1014"/>
      <c r="HJ78" s="1014"/>
      <c r="HK78" s="1014"/>
      <c r="HL78" s="1014"/>
      <c r="HM78" s="1014"/>
      <c r="HN78" s="1014"/>
      <c r="HO78" s="1014"/>
      <c r="HP78" s="1014"/>
      <c r="HQ78" s="1014"/>
      <c r="HR78" s="1014"/>
      <c r="HS78" s="1014"/>
      <c r="HT78" s="1014"/>
      <c r="HU78" s="1014"/>
      <c r="HV78" s="1014"/>
    </row>
    <row r="79" spans="1:230" s="470" customFormat="1" ht="15" customHeight="1" outlineLevel="1" x14ac:dyDescent="0.25">
      <c r="A79" s="1031">
        <v>40128</v>
      </c>
      <c r="B79" s="1031"/>
      <c r="C79" s="471"/>
      <c r="D79" s="471"/>
      <c r="H79" s="1006"/>
      <c r="I79" s="37"/>
      <c r="J79" s="1006"/>
      <c r="K79" s="37"/>
      <c r="L79" s="1006"/>
      <c r="M79" s="37"/>
      <c r="N79" s="1006"/>
      <c r="O79" s="37"/>
      <c r="P79" s="1006"/>
      <c r="Q79" s="37"/>
      <c r="R79" s="1006"/>
      <c r="S79" s="37"/>
      <c r="T79" s="37"/>
      <c r="U79" s="37"/>
      <c r="V79" s="1006"/>
      <c r="W79" s="37"/>
      <c r="X79" s="1006"/>
      <c r="Y79" s="37"/>
      <c r="Z79" s="1006"/>
      <c r="AA79" s="37"/>
      <c r="AB79" s="1006"/>
      <c r="AC79" s="37"/>
      <c r="AD79" s="1006"/>
      <c r="AE79" s="37"/>
      <c r="AF79" s="1006"/>
      <c r="AG79" s="37"/>
      <c r="AH79" s="37"/>
      <c r="AI79" s="37"/>
      <c r="AJ79" s="1006"/>
      <c r="AK79" s="37"/>
      <c r="AL79" s="1006"/>
      <c r="AM79" s="37"/>
      <c r="AN79" s="1006"/>
      <c r="AO79" s="37"/>
      <c r="AP79" s="1006"/>
      <c r="AQ79" s="37"/>
      <c r="AR79" s="37"/>
      <c r="AS79" s="37"/>
      <c r="AT79" s="37"/>
      <c r="AU79" s="37"/>
      <c r="AV79" s="37"/>
      <c r="AW79" s="37"/>
      <c r="AX79" s="1006"/>
      <c r="AY79" s="37"/>
      <c r="AZ79" s="1006"/>
      <c r="BA79" s="37"/>
      <c r="BB79" s="1006"/>
      <c r="BC79" s="37"/>
      <c r="BD79" s="1006"/>
      <c r="BE79" s="37"/>
      <c r="BF79" s="1006"/>
      <c r="BG79" s="37"/>
      <c r="BH79" s="37"/>
      <c r="BI79" s="37"/>
      <c r="BJ79" s="37"/>
      <c r="BK79" s="37"/>
      <c r="BL79" s="1006"/>
      <c r="BM79" s="37"/>
      <c r="BN79" s="1006"/>
      <c r="BO79" s="37"/>
      <c r="BP79" s="1006"/>
      <c r="BQ79" s="37"/>
      <c r="BR79" s="1006"/>
      <c r="BS79" s="37"/>
      <c r="BT79" s="1006"/>
      <c r="BU79" s="1006"/>
      <c r="BV79" s="1006"/>
      <c r="BW79" s="1006"/>
      <c r="BX79" s="37"/>
      <c r="BY79" s="37"/>
      <c r="BZ79" s="1006"/>
      <c r="CA79" s="37"/>
      <c r="CB79" s="1006"/>
      <c r="CC79" s="37"/>
      <c r="CD79" s="1006"/>
      <c r="CE79" s="37"/>
      <c r="CF79" s="1006"/>
      <c r="CG79" s="37"/>
      <c r="CH79" s="1006"/>
      <c r="CI79" s="1006"/>
      <c r="CJ79" s="1006"/>
      <c r="CK79" s="1006"/>
      <c r="CL79" s="37"/>
      <c r="CM79" s="37"/>
      <c r="CO79" s="1011"/>
      <c r="CQ79" s="1012"/>
      <c r="CS79" s="1012"/>
      <c r="CU79" s="1012"/>
      <c r="CW79" s="1012"/>
      <c r="CY79" s="1012"/>
      <c r="DA79" s="1012"/>
      <c r="DC79" s="1012"/>
      <c r="DE79" s="1012"/>
      <c r="DG79" s="1012"/>
      <c r="DI79" s="1012"/>
      <c r="DK79" s="1012"/>
      <c r="DM79" s="1012"/>
      <c r="DO79" s="1012"/>
      <c r="DQ79" s="1012"/>
      <c r="DS79" s="1012"/>
      <c r="DU79" s="1012"/>
      <c r="DW79" s="1012"/>
      <c r="DY79" s="1012"/>
      <c r="EA79" s="1012"/>
      <c r="EC79" s="1012"/>
      <c r="EE79" s="1012"/>
      <c r="EG79" s="1012"/>
      <c r="EI79" s="1012"/>
      <c r="EK79" s="1012"/>
      <c r="EM79" s="1012"/>
      <c r="EO79" s="1012"/>
      <c r="EQ79" s="1012"/>
      <c r="ES79" s="1012"/>
      <c r="EU79" s="1012"/>
      <c r="EW79" s="1012"/>
      <c r="EY79" s="1012"/>
      <c r="FA79" s="1012"/>
      <c r="FC79" s="1012"/>
      <c r="FE79" s="1012"/>
      <c r="FG79" s="1012"/>
      <c r="FH79" s="37"/>
      <c r="FI79" s="37"/>
      <c r="FK79" s="1013"/>
      <c r="FL79" s="1012"/>
      <c r="FM79" s="1012"/>
      <c r="FN79" s="1012"/>
      <c r="FP79" s="1014"/>
      <c r="FQ79" s="1014"/>
      <c r="FR79" s="1014"/>
      <c r="FS79" s="1014"/>
      <c r="FT79" s="1014"/>
      <c r="FU79" s="1014"/>
      <c r="FV79" s="1014"/>
      <c r="FW79" s="1014"/>
      <c r="FX79" s="1014"/>
      <c r="FY79" s="1014"/>
      <c r="FZ79" s="1014"/>
      <c r="GA79" s="1014"/>
      <c r="GB79" s="1014"/>
      <c r="GC79" s="1014"/>
      <c r="GD79" s="1014"/>
      <c r="GE79" s="1014"/>
      <c r="GF79" s="1014"/>
      <c r="GG79" s="1014"/>
      <c r="GH79" s="1014"/>
      <c r="GI79" s="1014"/>
      <c r="GJ79" s="1014"/>
      <c r="GK79" s="1014"/>
      <c r="GL79" s="1014"/>
      <c r="GM79" s="1014"/>
      <c r="GN79" s="1014"/>
      <c r="GO79" s="1014"/>
      <c r="GP79" s="1014"/>
      <c r="GQ79" s="1014"/>
      <c r="GR79" s="1014"/>
      <c r="GS79" s="1014"/>
      <c r="GT79" s="1014"/>
      <c r="GU79" s="1014"/>
      <c r="GV79" s="1014"/>
      <c r="GW79" s="1014"/>
      <c r="GX79" s="1014"/>
      <c r="GY79" s="1014"/>
      <c r="GZ79" s="1014"/>
      <c r="HA79" s="1014"/>
      <c r="HB79" s="1014"/>
      <c r="HC79" s="1014"/>
      <c r="HD79" s="1014"/>
      <c r="HE79" s="1014"/>
      <c r="HF79" s="1014"/>
      <c r="HG79" s="1014"/>
      <c r="HH79" s="1014"/>
      <c r="HI79" s="1014"/>
      <c r="HJ79" s="1014"/>
      <c r="HK79" s="1014"/>
      <c r="HL79" s="1014"/>
      <c r="HM79" s="1014"/>
      <c r="HN79" s="1014"/>
      <c r="HO79" s="1014"/>
      <c r="HP79" s="1014"/>
      <c r="HQ79" s="1014"/>
      <c r="HR79" s="1014"/>
      <c r="HS79" s="1014"/>
      <c r="HT79" s="1014"/>
      <c r="HU79" s="1014"/>
      <c r="HV79" s="1014"/>
    </row>
    <row r="80" spans="1:230" s="470" customFormat="1" ht="15" customHeight="1" outlineLevel="1" x14ac:dyDescent="0.25">
      <c r="A80" s="1031">
        <v>40143</v>
      </c>
      <c r="B80" s="1031"/>
      <c r="C80" s="471"/>
      <c r="D80" s="471"/>
      <c r="H80" s="1006"/>
      <c r="I80" s="37"/>
      <c r="J80" s="1006"/>
      <c r="K80" s="37"/>
      <c r="L80" s="1006"/>
      <c r="M80" s="37"/>
      <c r="N80" s="1006"/>
      <c r="O80" s="37"/>
      <c r="P80" s="1006"/>
      <c r="Q80" s="37"/>
      <c r="R80" s="1006"/>
      <c r="S80" s="37"/>
      <c r="T80" s="37"/>
      <c r="U80" s="37"/>
      <c r="V80" s="1006"/>
      <c r="W80" s="37"/>
      <c r="X80" s="1006"/>
      <c r="Y80" s="37"/>
      <c r="Z80" s="1006"/>
      <c r="AA80" s="37"/>
      <c r="AB80" s="1006"/>
      <c r="AC80" s="37"/>
      <c r="AD80" s="1006"/>
      <c r="AE80" s="37"/>
      <c r="AF80" s="1006"/>
      <c r="AG80" s="37"/>
      <c r="AH80" s="37"/>
      <c r="AI80" s="37"/>
      <c r="AJ80" s="1006"/>
      <c r="AK80" s="37"/>
      <c r="AL80" s="1006"/>
      <c r="AM80" s="37"/>
      <c r="AN80" s="1006"/>
      <c r="AO80" s="37"/>
      <c r="AP80" s="1006"/>
      <c r="AQ80" s="37"/>
      <c r="AR80" s="37"/>
      <c r="AS80" s="37"/>
      <c r="AT80" s="37"/>
      <c r="AU80" s="37"/>
      <c r="AV80" s="37"/>
      <c r="AW80" s="37"/>
      <c r="AX80" s="1006"/>
      <c r="AY80" s="37"/>
      <c r="AZ80" s="1006"/>
      <c r="BA80" s="37"/>
      <c r="BB80" s="1006"/>
      <c r="BC80" s="37"/>
      <c r="BD80" s="1006"/>
      <c r="BE80" s="37"/>
      <c r="BF80" s="1006"/>
      <c r="BG80" s="37"/>
      <c r="BH80" s="37"/>
      <c r="BI80" s="37"/>
      <c r="BJ80" s="37"/>
      <c r="BK80" s="37"/>
      <c r="BL80" s="1006"/>
      <c r="BM80" s="37"/>
      <c r="BN80" s="1006"/>
      <c r="BO80" s="37"/>
      <c r="BP80" s="1006"/>
      <c r="BQ80" s="37"/>
      <c r="BR80" s="1006"/>
      <c r="BS80" s="37"/>
      <c r="BT80" s="1006"/>
      <c r="BU80" s="1006"/>
      <c r="BV80" s="1006"/>
      <c r="BW80" s="1006"/>
      <c r="BX80" s="37"/>
      <c r="BY80" s="37"/>
      <c r="BZ80" s="1006"/>
      <c r="CA80" s="37"/>
      <c r="CB80" s="1006"/>
      <c r="CC80" s="37"/>
      <c r="CD80" s="1006"/>
      <c r="CE80" s="37"/>
      <c r="CF80" s="1006"/>
      <c r="CG80" s="37"/>
      <c r="CH80" s="1006"/>
      <c r="CI80" s="1006"/>
      <c r="CJ80" s="1006"/>
      <c r="CK80" s="1006"/>
      <c r="CL80" s="37"/>
      <c r="CM80" s="37"/>
      <c r="CO80" s="1011"/>
      <c r="CQ80" s="1012"/>
      <c r="CS80" s="1012"/>
      <c r="CU80" s="1012"/>
      <c r="CW80" s="1012"/>
      <c r="CY80" s="1012"/>
      <c r="DA80" s="1012"/>
      <c r="DC80" s="1012"/>
      <c r="DE80" s="1012"/>
      <c r="DG80" s="1012"/>
      <c r="DI80" s="1012"/>
      <c r="DK80" s="1012"/>
      <c r="DM80" s="1012"/>
      <c r="DO80" s="1012"/>
      <c r="DQ80" s="1012"/>
      <c r="DS80" s="1012"/>
      <c r="DU80" s="1012"/>
      <c r="DW80" s="1012"/>
      <c r="DY80" s="1012"/>
      <c r="EA80" s="1012"/>
      <c r="EC80" s="1012"/>
      <c r="EE80" s="1012"/>
      <c r="EG80" s="1012"/>
      <c r="EI80" s="1012"/>
      <c r="EK80" s="1012"/>
      <c r="EM80" s="1012"/>
      <c r="EO80" s="1012"/>
      <c r="EQ80" s="1012"/>
      <c r="ES80" s="1012"/>
      <c r="EU80" s="1012"/>
      <c r="EW80" s="1012"/>
      <c r="EY80" s="1012"/>
      <c r="FA80" s="1012"/>
      <c r="FC80" s="1012"/>
      <c r="FE80" s="1012"/>
      <c r="FG80" s="1012"/>
      <c r="FH80" s="37"/>
      <c r="FI80" s="37"/>
      <c r="FK80" s="1013"/>
      <c r="FL80" s="1012"/>
      <c r="FM80" s="1012"/>
      <c r="FN80" s="1012"/>
      <c r="FP80" s="1014"/>
      <c r="FQ80" s="1014"/>
      <c r="FR80" s="1014"/>
      <c r="FS80" s="1014"/>
      <c r="FT80" s="1014"/>
      <c r="FU80" s="1014"/>
      <c r="FV80" s="1014"/>
      <c r="FW80" s="1014"/>
      <c r="FX80" s="1014"/>
      <c r="FY80" s="1014"/>
      <c r="FZ80" s="1014"/>
      <c r="GA80" s="1014"/>
      <c r="GB80" s="1014"/>
      <c r="GC80" s="1014"/>
      <c r="GD80" s="1014"/>
      <c r="GE80" s="1014"/>
      <c r="GF80" s="1014"/>
      <c r="GG80" s="1014"/>
      <c r="GH80" s="1014"/>
      <c r="GI80" s="1014"/>
      <c r="GJ80" s="1014"/>
      <c r="GK80" s="1014"/>
      <c r="GL80" s="1014"/>
      <c r="GM80" s="1014"/>
      <c r="GN80" s="1014"/>
      <c r="GO80" s="1014"/>
      <c r="GP80" s="1014"/>
      <c r="GQ80" s="1014"/>
      <c r="GR80" s="1014"/>
      <c r="GS80" s="1014"/>
      <c r="GT80" s="1014"/>
      <c r="GU80" s="1014"/>
      <c r="GV80" s="1014"/>
      <c r="GW80" s="1014"/>
      <c r="GX80" s="1014"/>
      <c r="GY80" s="1014"/>
      <c r="GZ80" s="1014"/>
      <c r="HA80" s="1014"/>
      <c r="HB80" s="1014"/>
      <c r="HC80" s="1014"/>
      <c r="HD80" s="1014"/>
      <c r="HE80" s="1014"/>
      <c r="HF80" s="1014"/>
      <c r="HG80" s="1014"/>
      <c r="HH80" s="1014"/>
      <c r="HI80" s="1014"/>
      <c r="HJ80" s="1014"/>
      <c r="HK80" s="1014"/>
      <c r="HL80" s="1014"/>
      <c r="HM80" s="1014"/>
      <c r="HN80" s="1014"/>
      <c r="HO80" s="1014"/>
      <c r="HP80" s="1014"/>
      <c r="HQ80" s="1014"/>
      <c r="HR80" s="1014"/>
      <c r="HS80" s="1014"/>
      <c r="HT80" s="1014"/>
      <c r="HU80" s="1014"/>
      <c r="HV80" s="1014"/>
    </row>
    <row r="81" spans="1:230" s="470" customFormat="1" ht="15" customHeight="1" outlineLevel="1" x14ac:dyDescent="0.25">
      <c r="A81" s="1031">
        <v>40144</v>
      </c>
      <c r="B81" s="1031"/>
      <c r="C81" s="471"/>
      <c r="D81" s="471"/>
      <c r="H81" s="1006"/>
      <c r="I81" s="37"/>
      <c r="J81" s="1006"/>
      <c r="K81" s="37"/>
      <c r="L81" s="1006"/>
      <c r="M81" s="37"/>
      <c r="N81" s="1006"/>
      <c r="O81" s="37"/>
      <c r="P81" s="1006"/>
      <c r="Q81" s="37"/>
      <c r="R81" s="1006"/>
      <c r="S81" s="37"/>
      <c r="T81" s="37"/>
      <c r="U81" s="37"/>
      <c r="V81" s="1006"/>
      <c r="W81" s="37"/>
      <c r="X81" s="1006"/>
      <c r="Y81" s="37"/>
      <c r="Z81" s="1006"/>
      <c r="AA81" s="37"/>
      <c r="AB81" s="1006"/>
      <c r="AC81" s="37"/>
      <c r="AD81" s="1006"/>
      <c r="AE81" s="37"/>
      <c r="AF81" s="1006"/>
      <c r="AG81" s="37"/>
      <c r="AH81" s="37"/>
      <c r="AI81" s="37"/>
      <c r="AJ81" s="1006"/>
      <c r="AK81" s="37"/>
      <c r="AL81" s="1006"/>
      <c r="AM81" s="37"/>
      <c r="AN81" s="1006"/>
      <c r="AO81" s="37"/>
      <c r="AP81" s="1006"/>
      <c r="AQ81" s="37"/>
      <c r="AR81" s="37"/>
      <c r="AS81" s="37"/>
      <c r="AT81" s="37"/>
      <c r="AU81" s="37"/>
      <c r="AV81" s="37"/>
      <c r="AW81" s="37"/>
      <c r="AX81" s="1006"/>
      <c r="AY81" s="37"/>
      <c r="AZ81" s="1006"/>
      <c r="BA81" s="37"/>
      <c r="BB81" s="1006"/>
      <c r="BC81" s="37"/>
      <c r="BD81" s="1006"/>
      <c r="BE81" s="37"/>
      <c r="BF81" s="1006"/>
      <c r="BG81" s="37"/>
      <c r="BH81" s="37"/>
      <c r="BI81" s="37"/>
      <c r="BJ81" s="37"/>
      <c r="BK81" s="37"/>
      <c r="BL81" s="1006"/>
      <c r="BM81" s="37"/>
      <c r="BN81" s="1006"/>
      <c r="BO81" s="37"/>
      <c r="BP81" s="1006"/>
      <c r="BQ81" s="37"/>
      <c r="BR81" s="1006"/>
      <c r="BS81" s="37"/>
      <c r="BT81" s="1006"/>
      <c r="BU81" s="1006"/>
      <c r="BV81" s="1006"/>
      <c r="BW81" s="1006"/>
      <c r="BX81" s="37"/>
      <c r="BY81" s="37"/>
      <c r="BZ81" s="1006"/>
      <c r="CA81" s="37"/>
      <c r="CB81" s="1006"/>
      <c r="CC81" s="37"/>
      <c r="CD81" s="1006"/>
      <c r="CE81" s="37"/>
      <c r="CF81" s="1006"/>
      <c r="CG81" s="37"/>
      <c r="CH81" s="1006"/>
      <c r="CI81" s="1006"/>
      <c r="CJ81" s="1006"/>
      <c r="CK81" s="1006"/>
      <c r="CL81" s="37"/>
      <c r="CM81" s="37"/>
      <c r="CO81" s="1011"/>
      <c r="CQ81" s="1012"/>
      <c r="CS81" s="1012"/>
      <c r="CU81" s="1012"/>
      <c r="CW81" s="1012"/>
      <c r="CY81" s="1012"/>
      <c r="DA81" s="1012"/>
      <c r="DC81" s="1012"/>
      <c r="DE81" s="1012"/>
      <c r="DG81" s="1012"/>
      <c r="DI81" s="1012"/>
      <c r="DK81" s="1012"/>
      <c r="DM81" s="1012"/>
      <c r="DO81" s="1012"/>
      <c r="DQ81" s="1012"/>
      <c r="DS81" s="1012"/>
      <c r="DU81" s="1012"/>
      <c r="DW81" s="1012"/>
      <c r="DY81" s="1012"/>
      <c r="EA81" s="1012"/>
      <c r="EC81" s="1012"/>
      <c r="EE81" s="1012"/>
      <c r="EG81" s="1012"/>
      <c r="EI81" s="1012"/>
      <c r="EK81" s="1012"/>
      <c r="EM81" s="1012"/>
      <c r="EO81" s="1012"/>
      <c r="EQ81" s="1012"/>
      <c r="ES81" s="1012"/>
      <c r="EU81" s="1012"/>
      <c r="EW81" s="1012"/>
      <c r="EY81" s="1012"/>
      <c r="FA81" s="1012"/>
      <c r="FC81" s="1012"/>
      <c r="FE81" s="1012"/>
      <c r="FG81" s="1012"/>
      <c r="FH81" s="37"/>
      <c r="FI81" s="37"/>
      <c r="FK81" s="1013"/>
      <c r="FL81" s="1012"/>
      <c r="FM81" s="1012"/>
      <c r="FN81" s="1012"/>
      <c r="FP81" s="1014"/>
      <c r="FQ81" s="1014"/>
      <c r="FR81" s="1014"/>
      <c r="FS81" s="1014"/>
      <c r="FT81" s="1014"/>
      <c r="FU81" s="1014"/>
      <c r="FV81" s="1014"/>
      <c r="FW81" s="1014"/>
      <c r="FX81" s="1014"/>
      <c r="FY81" s="1014"/>
      <c r="FZ81" s="1014"/>
      <c r="GA81" s="1014"/>
      <c r="GB81" s="1014"/>
      <c r="GC81" s="1014"/>
      <c r="GD81" s="1014"/>
      <c r="GE81" s="1014"/>
      <c r="GF81" s="1014"/>
      <c r="GG81" s="1014"/>
      <c r="GH81" s="1014"/>
      <c r="GI81" s="1014"/>
      <c r="GJ81" s="1014"/>
      <c r="GK81" s="1014"/>
      <c r="GL81" s="1014"/>
      <c r="GM81" s="1014"/>
      <c r="GN81" s="1014"/>
      <c r="GO81" s="1014"/>
      <c r="GP81" s="1014"/>
      <c r="GQ81" s="1014"/>
      <c r="GR81" s="1014"/>
      <c r="GS81" s="1014"/>
      <c r="GT81" s="1014"/>
      <c r="GU81" s="1014"/>
      <c r="GV81" s="1014"/>
      <c r="GW81" s="1014"/>
      <c r="GX81" s="1014"/>
      <c r="GY81" s="1014"/>
      <c r="GZ81" s="1014"/>
      <c r="HA81" s="1014"/>
      <c r="HB81" s="1014"/>
      <c r="HC81" s="1014"/>
      <c r="HD81" s="1014"/>
      <c r="HE81" s="1014"/>
      <c r="HF81" s="1014"/>
      <c r="HG81" s="1014"/>
      <c r="HH81" s="1014"/>
      <c r="HI81" s="1014"/>
      <c r="HJ81" s="1014"/>
      <c r="HK81" s="1014"/>
      <c r="HL81" s="1014"/>
      <c r="HM81" s="1014"/>
      <c r="HN81" s="1014"/>
      <c r="HO81" s="1014"/>
      <c r="HP81" s="1014"/>
      <c r="HQ81" s="1014"/>
      <c r="HR81" s="1014"/>
      <c r="HS81" s="1014"/>
      <c r="HT81" s="1014"/>
      <c r="HU81" s="1014"/>
      <c r="HV81" s="1014"/>
    </row>
    <row r="82" spans="1:230" s="470" customFormat="1" ht="15" customHeight="1" outlineLevel="1" x14ac:dyDescent="0.25">
      <c r="A82" s="1031">
        <v>40171</v>
      </c>
      <c r="B82" s="1031"/>
      <c r="C82" s="471"/>
      <c r="D82" s="471"/>
      <c r="H82" s="1006"/>
      <c r="I82" s="37"/>
      <c r="J82" s="1006"/>
      <c r="K82" s="37"/>
      <c r="L82" s="1006"/>
      <c r="M82" s="37"/>
      <c r="N82" s="1006"/>
      <c r="O82" s="37"/>
      <c r="P82" s="1006"/>
      <c r="Q82" s="37"/>
      <c r="R82" s="1006"/>
      <c r="S82" s="37"/>
      <c r="T82" s="37"/>
      <c r="U82" s="37"/>
      <c r="V82" s="1006"/>
      <c r="W82" s="37"/>
      <c r="X82" s="1006"/>
      <c r="Y82" s="37"/>
      <c r="Z82" s="1006"/>
      <c r="AA82" s="37"/>
      <c r="AB82" s="1006"/>
      <c r="AC82" s="37"/>
      <c r="AD82" s="1006"/>
      <c r="AE82" s="37"/>
      <c r="AF82" s="1006"/>
      <c r="AG82" s="37"/>
      <c r="AH82" s="37"/>
      <c r="AI82" s="37"/>
      <c r="AJ82" s="1006"/>
      <c r="AK82" s="37"/>
      <c r="AL82" s="1006"/>
      <c r="AM82" s="37"/>
      <c r="AN82" s="1006"/>
      <c r="AO82" s="37"/>
      <c r="AP82" s="1006"/>
      <c r="AQ82" s="37"/>
      <c r="AR82" s="37"/>
      <c r="AS82" s="37"/>
      <c r="AT82" s="37"/>
      <c r="AU82" s="37"/>
      <c r="AV82" s="37"/>
      <c r="AW82" s="37"/>
      <c r="AX82" s="1006"/>
      <c r="AY82" s="37"/>
      <c r="AZ82" s="1006"/>
      <c r="BA82" s="37"/>
      <c r="BB82" s="1006"/>
      <c r="BC82" s="37"/>
      <c r="BD82" s="1006"/>
      <c r="BE82" s="37"/>
      <c r="BF82" s="1006"/>
      <c r="BG82" s="37"/>
      <c r="BH82" s="37"/>
      <c r="BI82" s="37"/>
      <c r="BJ82" s="37"/>
      <c r="BK82" s="37"/>
      <c r="BL82" s="1006"/>
      <c r="BM82" s="37"/>
      <c r="BN82" s="1006"/>
      <c r="BO82" s="37"/>
      <c r="BP82" s="1006"/>
      <c r="BQ82" s="37"/>
      <c r="BR82" s="1006"/>
      <c r="BS82" s="37"/>
      <c r="BT82" s="1006"/>
      <c r="BU82" s="1006"/>
      <c r="BV82" s="1006"/>
      <c r="BW82" s="1006"/>
      <c r="BX82" s="37"/>
      <c r="BY82" s="37"/>
      <c r="BZ82" s="1006"/>
      <c r="CA82" s="37"/>
      <c r="CB82" s="1006"/>
      <c r="CC82" s="37"/>
      <c r="CD82" s="1006"/>
      <c r="CE82" s="37"/>
      <c r="CF82" s="1006"/>
      <c r="CG82" s="37"/>
      <c r="CH82" s="1006"/>
      <c r="CI82" s="1006"/>
      <c r="CJ82" s="1006"/>
      <c r="CK82" s="1006"/>
      <c r="CL82" s="37"/>
      <c r="CM82" s="37"/>
      <c r="CO82" s="1011"/>
      <c r="CQ82" s="1012"/>
      <c r="CS82" s="1012"/>
      <c r="CU82" s="1012"/>
      <c r="CW82" s="1012"/>
      <c r="CY82" s="1012"/>
      <c r="DA82" s="1012"/>
      <c r="DC82" s="1012"/>
      <c r="DE82" s="1012"/>
      <c r="DG82" s="1012"/>
      <c r="DI82" s="1012"/>
      <c r="DK82" s="1012"/>
      <c r="DM82" s="1012"/>
      <c r="DO82" s="1012"/>
      <c r="DQ82" s="1012"/>
      <c r="DS82" s="1012"/>
      <c r="DU82" s="1012"/>
      <c r="DW82" s="1012"/>
      <c r="DY82" s="1012"/>
      <c r="EA82" s="1012"/>
      <c r="EC82" s="1012"/>
      <c r="EE82" s="1012"/>
      <c r="EG82" s="1012"/>
      <c r="EI82" s="1012"/>
      <c r="EK82" s="1012"/>
      <c r="EM82" s="1012"/>
      <c r="EO82" s="1012"/>
      <c r="EQ82" s="1012"/>
      <c r="ES82" s="1012"/>
      <c r="EU82" s="1012"/>
      <c r="EW82" s="1012"/>
      <c r="EY82" s="1012"/>
      <c r="FA82" s="1012"/>
      <c r="FC82" s="1012"/>
      <c r="FE82" s="1012"/>
      <c r="FG82" s="1012"/>
      <c r="FH82" s="37"/>
      <c r="FI82" s="37"/>
      <c r="FK82" s="1013"/>
      <c r="FL82" s="1012"/>
      <c r="FM82" s="1012"/>
      <c r="FN82" s="1012"/>
      <c r="FP82" s="1014"/>
      <c r="FQ82" s="1014"/>
      <c r="FR82" s="1014"/>
      <c r="FS82" s="1014"/>
      <c r="FT82" s="1014"/>
      <c r="FU82" s="1014"/>
      <c r="FV82" s="1014"/>
      <c r="FW82" s="1014"/>
      <c r="FX82" s="1014"/>
      <c r="FY82" s="1014"/>
      <c r="FZ82" s="1014"/>
      <c r="GA82" s="1014"/>
      <c r="GB82" s="1014"/>
      <c r="GC82" s="1014"/>
      <c r="GD82" s="1014"/>
      <c r="GE82" s="1014"/>
      <c r="GF82" s="1014"/>
      <c r="GG82" s="1014"/>
      <c r="GH82" s="1014"/>
      <c r="GI82" s="1014"/>
      <c r="GJ82" s="1014"/>
      <c r="GK82" s="1014"/>
      <c r="GL82" s="1014"/>
      <c r="GM82" s="1014"/>
      <c r="GN82" s="1014"/>
      <c r="GO82" s="1014"/>
      <c r="GP82" s="1014"/>
      <c r="GQ82" s="1014"/>
      <c r="GR82" s="1014"/>
      <c r="GS82" s="1014"/>
      <c r="GT82" s="1014"/>
      <c r="GU82" s="1014"/>
      <c r="GV82" s="1014"/>
      <c r="GW82" s="1014"/>
      <c r="GX82" s="1014"/>
      <c r="GY82" s="1014"/>
      <c r="GZ82" s="1014"/>
      <c r="HA82" s="1014"/>
      <c r="HB82" s="1014"/>
      <c r="HC82" s="1014"/>
      <c r="HD82" s="1014"/>
      <c r="HE82" s="1014"/>
      <c r="HF82" s="1014"/>
      <c r="HG82" s="1014"/>
      <c r="HH82" s="1014"/>
      <c r="HI82" s="1014"/>
      <c r="HJ82" s="1014"/>
      <c r="HK82" s="1014"/>
      <c r="HL82" s="1014"/>
      <c r="HM82" s="1014"/>
      <c r="HN82" s="1014"/>
      <c r="HO82" s="1014"/>
      <c r="HP82" s="1014"/>
      <c r="HQ82" s="1014"/>
      <c r="HR82" s="1014"/>
      <c r="HS82" s="1014"/>
      <c r="HT82" s="1014"/>
      <c r="HU82" s="1014"/>
      <c r="HV82" s="1014"/>
    </row>
    <row r="83" spans="1:230" s="470" customFormat="1" ht="15" customHeight="1" outlineLevel="1" x14ac:dyDescent="0.25">
      <c r="A83" s="1031">
        <v>40179</v>
      </c>
      <c r="B83" s="1031"/>
      <c r="C83" s="471"/>
      <c r="D83" s="471"/>
      <c r="H83" s="1006"/>
      <c r="I83" s="37"/>
      <c r="J83" s="1006"/>
      <c r="K83" s="37"/>
      <c r="L83" s="1006"/>
      <c r="M83" s="37"/>
      <c r="N83" s="1006"/>
      <c r="O83" s="37"/>
      <c r="P83" s="1006"/>
      <c r="Q83" s="37"/>
      <c r="R83" s="1006"/>
      <c r="S83" s="37"/>
      <c r="T83" s="37"/>
      <c r="U83" s="37"/>
      <c r="V83" s="1006"/>
      <c r="W83" s="37"/>
      <c r="X83" s="1006"/>
      <c r="Y83" s="37"/>
      <c r="Z83" s="1006"/>
      <c r="AA83" s="37"/>
      <c r="AB83" s="1006"/>
      <c r="AC83" s="37"/>
      <c r="AD83" s="1006"/>
      <c r="AE83" s="37"/>
      <c r="AF83" s="1006"/>
      <c r="AG83" s="37"/>
      <c r="AH83" s="37"/>
      <c r="AI83" s="37"/>
      <c r="AJ83" s="1006"/>
      <c r="AK83" s="37"/>
      <c r="AL83" s="1006"/>
      <c r="AM83" s="37"/>
      <c r="AN83" s="1006"/>
      <c r="AO83" s="37"/>
      <c r="AP83" s="1006"/>
      <c r="AQ83" s="37"/>
      <c r="AR83" s="37"/>
      <c r="AS83" s="37"/>
      <c r="AT83" s="37"/>
      <c r="AU83" s="37"/>
      <c r="AV83" s="37"/>
      <c r="AW83" s="37"/>
      <c r="AX83" s="1006"/>
      <c r="AY83" s="37"/>
      <c r="AZ83" s="1006"/>
      <c r="BA83" s="37"/>
      <c r="BB83" s="1006"/>
      <c r="BC83" s="37"/>
      <c r="BD83" s="1006"/>
      <c r="BE83" s="37"/>
      <c r="BF83" s="1006"/>
      <c r="BG83" s="37"/>
      <c r="BH83" s="37"/>
      <c r="BI83" s="37"/>
      <c r="BJ83" s="37"/>
      <c r="BK83" s="37"/>
      <c r="BL83" s="1006"/>
      <c r="BM83" s="37"/>
      <c r="BN83" s="1006"/>
      <c r="BO83" s="37"/>
      <c r="BP83" s="1006"/>
      <c r="BQ83" s="37"/>
      <c r="BR83" s="1006"/>
      <c r="BS83" s="37"/>
      <c r="BT83" s="1006"/>
      <c r="BU83" s="1006"/>
      <c r="BV83" s="1006"/>
      <c r="BW83" s="1006"/>
      <c r="BX83" s="37"/>
      <c r="BY83" s="37"/>
      <c r="BZ83" s="1006"/>
      <c r="CA83" s="37"/>
      <c r="CB83" s="1006"/>
      <c r="CC83" s="37"/>
      <c r="CD83" s="1006"/>
      <c r="CE83" s="37"/>
      <c r="CF83" s="1006"/>
      <c r="CG83" s="37"/>
      <c r="CH83" s="1006"/>
      <c r="CI83" s="1006"/>
      <c r="CJ83" s="1006"/>
      <c r="CK83" s="1006"/>
      <c r="CL83" s="37"/>
      <c r="CM83" s="37"/>
      <c r="CO83" s="1011"/>
      <c r="CQ83" s="1012"/>
      <c r="CS83" s="1012"/>
      <c r="CU83" s="1012"/>
      <c r="CW83" s="1012"/>
      <c r="CY83" s="1012"/>
      <c r="DA83" s="1012"/>
      <c r="DC83" s="1012"/>
      <c r="DE83" s="1012"/>
      <c r="DG83" s="1012"/>
      <c r="DI83" s="1012"/>
      <c r="DK83" s="1012"/>
      <c r="DM83" s="1012"/>
      <c r="DO83" s="1012"/>
      <c r="DQ83" s="1012"/>
      <c r="DS83" s="1012"/>
      <c r="DU83" s="1012"/>
      <c r="DW83" s="1012"/>
      <c r="DY83" s="1012"/>
      <c r="EA83" s="1012"/>
      <c r="EC83" s="1012"/>
      <c r="EE83" s="1012"/>
      <c r="EG83" s="1012"/>
      <c r="EI83" s="1012"/>
      <c r="EK83" s="1012"/>
      <c r="EM83" s="1012"/>
      <c r="EO83" s="1012"/>
      <c r="EQ83" s="1012"/>
      <c r="ES83" s="1012"/>
      <c r="EU83" s="1012"/>
      <c r="EW83" s="1012"/>
      <c r="EY83" s="1012"/>
      <c r="FA83" s="1012"/>
      <c r="FC83" s="1012"/>
      <c r="FE83" s="1012"/>
      <c r="FG83" s="1012"/>
      <c r="FH83" s="37"/>
      <c r="FI83" s="37"/>
      <c r="FK83" s="1013"/>
      <c r="FL83" s="1012"/>
      <c r="FM83" s="1012"/>
      <c r="FN83" s="1012"/>
      <c r="FP83" s="1014"/>
      <c r="FQ83" s="1014"/>
      <c r="FR83" s="1014"/>
      <c r="FS83" s="1014"/>
      <c r="FT83" s="1014"/>
      <c r="FU83" s="1014"/>
      <c r="FV83" s="1014"/>
      <c r="FW83" s="1014"/>
      <c r="FX83" s="1014"/>
      <c r="FY83" s="1014"/>
      <c r="FZ83" s="1014"/>
      <c r="GA83" s="1014"/>
      <c r="GB83" s="1014"/>
      <c r="GC83" s="1014"/>
      <c r="GD83" s="1014"/>
      <c r="GE83" s="1014"/>
      <c r="GF83" s="1014"/>
      <c r="GG83" s="1014"/>
      <c r="GH83" s="1014"/>
      <c r="GI83" s="1014"/>
      <c r="GJ83" s="1014"/>
      <c r="GK83" s="1014"/>
      <c r="GL83" s="1014"/>
      <c r="GM83" s="1014"/>
      <c r="GN83" s="1014"/>
      <c r="GO83" s="1014"/>
      <c r="GP83" s="1014"/>
      <c r="GQ83" s="1014"/>
      <c r="GR83" s="1014"/>
      <c r="GS83" s="1014"/>
      <c r="GT83" s="1014"/>
      <c r="GU83" s="1014"/>
      <c r="GV83" s="1014"/>
      <c r="GW83" s="1014"/>
      <c r="GX83" s="1014"/>
      <c r="GY83" s="1014"/>
      <c r="GZ83" s="1014"/>
      <c r="HA83" s="1014"/>
      <c r="HB83" s="1014"/>
      <c r="HC83" s="1014"/>
      <c r="HD83" s="1014"/>
      <c r="HE83" s="1014"/>
      <c r="HF83" s="1014"/>
      <c r="HG83" s="1014"/>
      <c r="HH83" s="1014"/>
      <c r="HI83" s="1014"/>
      <c r="HJ83" s="1014"/>
      <c r="HK83" s="1014"/>
      <c r="HL83" s="1014"/>
      <c r="HM83" s="1014"/>
      <c r="HN83" s="1014"/>
      <c r="HO83" s="1014"/>
      <c r="HP83" s="1014"/>
      <c r="HQ83" s="1014"/>
      <c r="HR83" s="1014"/>
      <c r="HS83" s="1014"/>
      <c r="HT83" s="1014"/>
      <c r="HU83" s="1014"/>
      <c r="HV83" s="1014"/>
    </row>
    <row r="84" spans="1:230" s="470" customFormat="1" ht="15" customHeight="1" outlineLevel="1" x14ac:dyDescent="0.25">
      <c r="A84" s="1031">
        <v>40196</v>
      </c>
      <c r="B84" s="1031"/>
      <c r="C84" s="471"/>
      <c r="D84" s="471"/>
      <c r="H84" s="1006"/>
      <c r="I84" s="37"/>
      <c r="J84" s="1006"/>
      <c r="K84" s="37"/>
      <c r="L84" s="1006"/>
      <c r="M84" s="37"/>
      <c r="N84" s="1006"/>
      <c r="O84" s="37"/>
      <c r="P84" s="1006"/>
      <c r="Q84" s="37"/>
      <c r="R84" s="1006"/>
      <c r="S84" s="37"/>
      <c r="T84" s="37"/>
      <c r="U84" s="37"/>
      <c r="V84" s="1006"/>
      <c r="W84" s="37"/>
      <c r="X84" s="1006"/>
      <c r="Y84" s="37"/>
      <c r="Z84" s="1006"/>
      <c r="AA84" s="37"/>
      <c r="AB84" s="1006"/>
      <c r="AC84" s="37"/>
      <c r="AD84" s="1006"/>
      <c r="AE84" s="37"/>
      <c r="AF84" s="1006"/>
      <c r="AG84" s="37"/>
      <c r="AH84" s="37"/>
      <c r="AI84" s="37"/>
      <c r="AJ84" s="1006"/>
      <c r="AK84" s="37"/>
      <c r="AL84" s="1006"/>
      <c r="AM84" s="37"/>
      <c r="AN84" s="1006"/>
      <c r="AO84" s="37"/>
      <c r="AP84" s="1006"/>
      <c r="AQ84" s="37"/>
      <c r="AR84" s="37"/>
      <c r="AS84" s="37"/>
      <c r="AT84" s="37"/>
      <c r="AU84" s="37"/>
      <c r="AV84" s="37"/>
      <c r="AW84" s="37"/>
      <c r="AX84" s="1006"/>
      <c r="AY84" s="37"/>
      <c r="AZ84" s="1006"/>
      <c r="BA84" s="37"/>
      <c r="BB84" s="1006"/>
      <c r="BC84" s="37"/>
      <c r="BD84" s="1006"/>
      <c r="BE84" s="37"/>
      <c r="BF84" s="1006"/>
      <c r="BG84" s="37"/>
      <c r="BH84" s="37"/>
      <c r="BI84" s="37"/>
      <c r="BJ84" s="37"/>
      <c r="BK84" s="37"/>
      <c r="BL84" s="1006"/>
      <c r="BM84" s="37"/>
      <c r="BN84" s="1006"/>
      <c r="BO84" s="37"/>
      <c r="BP84" s="1006"/>
      <c r="BQ84" s="37"/>
      <c r="BR84" s="1006"/>
      <c r="BS84" s="37"/>
      <c r="BT84" s="1006"/>
      <c r="BU84" s="1006"/>
      <c r="BV84" s="1006"/>
      <c r="BW84" s="1006"/>
      <c r="BX84" s="37"/>
      <c r="BY84" s="37"/>
      <c r="BZ84" s="1006"/>
      <c r="CA84" s="37"/>
      <c r="CB84" s="1006"/>
      <c r="CC84" s="37"/>
      <c r="CD84" s="1006"/>
      <c r="CE84" s="37"/>
      <c r="CF84" s="1006"/>
      <c r="CG84" s="37"/>
      <c r="CH84" s="1006"/>
      <c r="CI84" s="1006"/>
      <c r="CJ84" s="1006"/>
      <c r="CK84" s="1006"/>
      <c r="CL84" s="37"/>
      <c r="CM84" s="37"/>
      <c r="CO84" s="1011"/>
      <c r="CQ84" s="1012"/>
      <c r="CS84" s="1012"/>
      <c r="CU84" s="1012"/>
      <c r="CW84" s="1012"/>
      <c r="CY84" s="1012"/>
      <c r="DA84" s="1012"/>
      <c r="DC84" s="1012"/>
      <c r="DE84" s="1012"/>
      <c r="DG84" s="1012"/>
      <c r="DI84" s="1012"/>
      <c r="DK84" s="1012"/>
      <c r="DM84" s="1012"/>
      <c r="DO84" s="1012"/>
      <c r="DQ84" s="1012"/>
      <c r="DS84" s="1012"/>
      <c r="DU84" s="1012"/>
      <c r="DW84" s="1012"/>
      <c r="DY84" s="1012"/>
      <c r="EA84" s="1012"/>
      <c r="EC84" s="1012"/>
      <c r="EE84" s="1012"/>
      <c r="EG84" s="1012"/>
      <c r="EI84" s="1012"/>
      <c r="EK84" s="1012"/>
      <c r="EM84" s="1012"/>
      <c r="EO84" s="1012"/>
      <c r="EQ84" s="1012"/>
      <c r="ES84" s="1012"/>
      <c r="EU84" s="1012"/>
      <c r="EW84" s="1012"/>
      <c r="EY84" s="1012"/>
      <c r="FA84" s="1012"/>
      <c r="FC84" s="1012"/>
      <c r="FE84" s="1012"/>
      <c r="FG84" s="1012"/>
      <c r="FH84" s="37"/>
      <c r="FI84" s="37"/>
      <c r="FK84" s="1013"/>
      <c r="FL84" s="1012"/>
      <c r="FM84" s="1012"/>
      <c r="FN84" s="1012"/>
      <c r="FP84" s="1014"/>
      <c r="FQ84" s="1014"/>
      <c r="FR84" s="1014"/>
      <c r="FS84" s="1014"/>
      <c r="FT84" s="1014"/>
      <c r="FU84" s="1014"/>
      <c r="FV84" s="1014"/>
      <c r="FW84" s="1014"/>
      <c r="FX84" s="1014"/>
      <c r="FY84" s="1014"/>
      <c r="FZ84" s="1014"/>
      <c r="GA84" s="1014"/>
      <c r="GB84" s="1014"/>
      <c r="GC84" s="1014"/>
      <c r="GD84" s="1014"/>
      <c r="GE84" s="1014"/>
      <c r="GF84" s="1014"/>
      <c r="GG84" s="1014"/>
      <c r="GH84" s="1014"/>
      <c r="GI84" s="1014"/>
      <c r="GJ84" s="1014"/>
      <c r="GK84" s="1014"/>
      <c r="GL84" s="1014"/>
      <c r="GM84" s="1014"/>
      <c r="GN84" s="1014"/>
      <c r="GO84" s="1014"/>
      <c r="GP84" s="1014"/>
      <c r="GQ84" s="1014"/>
      <c r="GR84" s="1014"/>
      <c r="GS84" s="1014"/>
      <c r="GT84" s="1014"/>
      <c r="GU84" s="1014"/>
      <c r="GV84" s="1014"/>
      <c r="GW84" s="1014"/>
      <c r="GX84" s="1014"/>
      <c r="GY84" s="1014"/>
      <c r="GZ84" s="1014"/>
      <c r="HA84" s="1014"/>
      <c r="HB84" s="1014"/>
      <c r="HC84" s="1014"/>
      <c r="HD84" s="1014"/>
      <c r="HE84" s="1014"/>
      <c r="HF84" s="1014"/>
      <c r="HG84" s="1014"/>
      <c r="HH84" s="1014"/>
      <c r="HI84" s="1014"/>
      <c r="HJ84" s="1014"/>
      <c r="HK84" s="1014"/>
      <c r="HL84" s="1014"/>
      <c r="HM84" s="1014"/>
      <c r="HN84" s="1014"/>
      <c r="HO84" s="1014"/>
      <c r="HP84" s="1014"/>
      <c r="HQ84" s="1014"/>
      <c r="HR84" s="1014"/>
      <c r="HS84" s="1014"/>
      <c r="HT84" s="1014"/>
      <c r="HU84" s="1014"/>
      <c r="HV84" s="1014"/>
    </row>
    <row r="85" spans="1:230" s="470" customFormat="1" ht="15" customHeight="1" outlineLevel="1" x14ac:dyDescent="0.25">
      <c r="A85" s="1031">
        <v>40219</v>
      </c>
      <c r="B85" s="1031"/>
      <c r="C85" s="471"/>
      <c r="D85" s="471"/>
      <c r="H85" s="1006"/>
      <c r="I85" s="37"/>
      <c r="J85" s="1006"/>
      <c r="K85" s="37"/>
      <c r="L85" s="1006"/>
      <c r="M85" s="37"/>
      <c r="N85" s="1006"/>
      <c r="O85" s="37"/>
      <c r="P85" s="1006"/>
      <c r="Q85" s="37"/>
      <c r="R85" s="1006"/>
      <c r="S85" s="37"/>
      <c r="T85" s="37"/>
      <c r="U85" s="37"/>
      <c r="V85" s="1006"/>
      <c r="W85" s="37"/>
      <c r="X85" s="1006"/>
      <c r="Y85" s="37"/>
      <c r="Z85" s="1006"/>
      <c r="AA85" s="37"/>
      <c r="AB85" s="1006"/>
      <c r="AC85" s="37"/>
      <c r="AD85" s="1006"/>
      <c r="AE85" s="37"/>
      <c r="AF85" s="1006"/>
      <c r="AG85" s="37"/>
      <c r="AH85" s="37"/>
      <c r="AI85" s="37"/>
      <c r="AJ85" s="1006"/>
      <c r="AK85" s="37"/>
      <c r="AL85" s="1006"/>
      <c r="AM85" s="37"/>
      <c r="AN85" s="1006"/>
      <c r="AO85" s="37"/>
      <c r="AP85" s="1006"/>
      <c r="AQ85" s="37"/>
      <c r="AR85" s="37"/>
      <c r="AS85" s="37"/>
      <c r="AT85" s="37"/>
      <c r="AU85" s="37"/>
      <c r="AV85" s="37"/>
      <c r="AW85" s="37"/>
      <c r="AX85" s="1006"/>
      <c r="AY85" s="37"/>
      <c r="AZ85" s="1006"/>
      <c r="BA85" s="37"/>
      <c r="BB85" s="1006"/>
      <c r="BC85" s="37"/>
      <c r="BD85" s="1006"/>
      <c r="BE85" s="37"/>
      <c r="BF85" s="1006"/>
      <c r="BG85" s="37"/>
      <c r="BH85" s="37"/>
      <c r="BI85" s="37"/>
      <c r="BJ85" s="37"/>
      <c r="BK85" s="37"/>
      <c r="BL85" s="1006"/>
      <c r="BM85" s="37"/>
      <c r="BN85" s="1006"/>
      <c r="BO85" s="37"/>
      <c r="BP85" s="1006"/>
      <c r="BQ85" s="37"/>
      <c r="BR85" s="1006"/>
      <c r="BS85" s="37"/>
      <c r="BT85" s="1006"/>
      <c r="BU85" s="1006"/>
      <c r="BV85" s="1006"/>
      <c r="BW85" s="1006"/>
      <c r="BX85" s="37"/>
      <c r="BY85" s="37"/>
      <c r="BZ85" s="1006"/>
      <c r="CA85" s="37"/>
      <c r="CB85" s="1006"/>
      <c r="CC85" s="37"/>
      <c r="CD85" s="1006"/>
      <c r="CE85" s="37"/>
      <c r="CF85" s="1006"/>
      <c r="CG85" s="37"/>
      <c r="CH85" s="1006"/>
      <c r="CI85" s="1006"/>
      <c r="CJ85" s="1006"/>
      <c r="CK85" s="1006"/>
      <c r="CL85" s="37"/>
      <c r="CM85" s="37"/>
      <c r="CO85" s="1011"/>
      <c r="CQ85" s="1012"/>
      <c r="CS85" s="1012"/>
      <c r="CU85" s="1012"/>
      <c r="CW85" s="1012"/>
      <c r="CY85" s="1012"/>
      <c r="DA85" s="1012"/>
      <c r="DC85" s="1012"/>
      <c r="DE85" s="1012"/>
      <c r="DG85" s="1012"/>
      <c r="DI85" s="1012"/>
      <c r="DK85" s="1012"/>
      <c r="DM85" s="1012"/>
      <c r="DO85" s="1012"/>
      <c r="DQ85" s="1012"/>
      <c r="DS85" s="1012"/>
      <c r="DU85" s="1012"/>
      <c r="DW85" s="1012"/>
      <c r="DY85" s="1012"/>
      <c r="EA85" s="1012"/>
      <c r="EC85" s="1012"/>
      <c r="EE85" s="1012"/>
      <c r="EG85" s="1012"/>
      <c r="EI85" s="1012"/>
      <c r="EK85" s="1012"/>
      <c r="EM85" s="1012"/>
      <c r="EO85" s="1012"/>
      <c r="EQ85" s="1012"/>
      <c r="ES85" s="1012"/>
      <c r="EU85" s="1012"/>
      <c r="EW85" s="1012"/>
      <c r="EY85" s="1012"/>
      <c r="FA85" s="1012"/>
      <c r="FC85" s="1012"/>
      <c r="FE85" s="1012"/>
      <c r="FG85" s="1012"/>
      <c r="FH85" s="37"/>
      <c r="FI85" s="37"/>
      <c r="FK85" s="1013"/>
      <c r="FL85" s="1012"/>
      <c r="FM85" s="1012"/>
      <c r="FN85" s="1012"/>
      <c r="FP85" s="1014"/>
      <c r="FQ85" s="1014"/>
      <c r="FR85" s="1014"/>
      <c r="FS85" s="1014"/>
      <c r="FT85" s="1014"/>
      <c r="FU85" s="1014"/>
      <c r="FV85" s="1014"/>
      <c r="FW85" s="1014"/>
      <c r="FX85" s="1014"/>
      <c r="FY85" s="1014"/>
      <c r="FZ85" s="1014"/>
      <c r="GA85" s="1014"/>
      <c r="GB85" s="1014"/>
      <c r="GC85" s="1014"/>
      <c r="GD85" s="1014"/>
      <c r="GE85" s="1014"/>
      <c r="GF85" s="1014"/>
      <c r="GG85" s="1014"/>
      <c r="GH85" s="1014"/>
      <c r="GI85" s="1014"/>
      <c r="GJ85" s="1014"/>
      <c r="GK85" s="1014"/>
      <c r="GL85" s="1014"/>
      <c r="GM85" s="1014"/>
      <c r="GN85" s="1014"/>
      <c r="GO85" s="1014"/>
      <c r="GP85" s="1014"/>
      <c r="GQ85" s="1014"/>
      <c r="GR85" s="1014"/>
      <c r="GS85" s="1014"/>
      <c r="GT85" s="1014"/>
      <c r="GU85" s="1014"/>
      <c r="GV85" s="1014"/>
      <c r="GW85" s="1014"/>
      <c r="GX85" s="1014"/>
      <c r="GY85" s="1014"/>
      <c r="GZ85" s="1014"/>
      <c r="HA85" s="1014"/>
      <c r="HB85" s="1014"/>
      <c r="HC85" s="1014"/>
      <c r="HD85" s="1014"/>
      <c r="HE85" s="1014"/>
      <c r="HF85" s="1014"/>
      <c r="HG85" s="1014"/>
      <c r="HH85" s="1014"/>
      <c r="HI85" s="1014"/>
      <c r="HJ85" s="1014"/>
      <c r="HK85" s="1014"/>
      <c r="HL85" s="1014"/>
      <c r="HM85" s="1014"/>
      <c r="HN85" s="1014"/>
      <c r="HO85" s="1014"/>
      <c r="HP85" s="1014"/>
      <c r="HQ85" s="1014"/>
      <c r="HR85" s="1014"/>
      <c r="HS85" s="1014"/>
      <c r="HT85" s="1014"/>
      <c r="HU85" s="1014"/>
      <c r="HV85" s="1014"/>
    </row>
    <row r="86" spans="1:230" s="470" customFormat="1" ht="15" customHeight="1" outlineLevel="1" x14ac:dyDescent="0.25">
      <c r="A86" s="1031">
        <v>40329</v>
      </c>
      <c r="B86" s="1031"/>
      <c r="C86" s="471"/>
      <c r="D86" s="471"/>
      <c r="H86" s="1006"/>
      <c r="I86" s="37"/>
      <c r="J86" s="1006"/>
      <c r="K86" s="37"/>
      <c r="L86" s="1006"/>
      <c r="M86" s="37"/>
      <c r="N86" s="1006"/>
      <c r="O86" s="37"/>
      <c r="P86" s="1006"/>
      <c r="Q86" s="37"/>
      <c r="R86" s="1006"/>
      <c r="S86" s="37"/>
      <c r="T86" s="37"/>
      <c r="U86" s="37"/>
      <c r="V86" s="1006"/>
      <c r="W86" s="37"/>
      <c r="X86" s="1006"/>
      <c r="Y86" s="37"/>
      <c r="Z86" s="1006"/>
      <c r="AA86" s="37"/>
      <c r="AB86" s="1006"/>
      <c r="AC86" s="37"/>
      <c r="AD86" s="1006"/>
      <c r="AE86" s="37"/>
      <c r="AF86" s="1006"/>
      <c r="AG86" s="37"/>
      <c r="AH86" s="37"/>
      <c r="AI86" s="37"/>
      <c r="AJ86" s="1006"/>
      <c r="AK86" s="37"/>
      <c r="AL86" s="1006"/>
      <c r="AM86" s="37"/>
      <c r="AN86" s="1006"/>
      <c r="AO86" s="37"/>
      <c r="AP86" s="1006"/>
      <c r="AQ86" s="37"/>
      <c r="AR86" s="37"/>
      <c r="AS86" s="37"/>
      <c r="AT86" s="37"/>
      <c r="AU86" s="37"/>
      <c r="AV86" s="37"/>
      <c r="AW86" s="37"/>
      <c r="AX86" s="1006"/>
      <c r="AY86" s="37"/>
      <c r="AZ86" s="1006"/>
      <c r="BA86" s="37"/>
      <c r="BB86" s="1006"/>
      <c r="BC86" s="37"/>
      <c r="BD86" s="1006"/>
      <c r="BE86" s="37"/>
      <c r="BF86" s="1006"/>
      <c r="BG86" s="37"/>
      <c r="BH86" s="37"/>
      <c r="BI86" s="37"/>
      <c r="BJ86" s="37"/>
      <c r="BK86" s="37"/>
      <c r="BL86" s="1006"/>
      <c r="BM86" s="37"/>
      <c r="BN86" s="1006"/>
      <c r="BO86" s="37"/>
      <c r="BP86" s="1006"/>
      <c r="BQ86" s="37"/>
      <c r="BR86" s="1006"/>
      <c r="BS86" s="37"/>
      <c r="BT86" s="1006"/>
      <c r="BU86" s="1006"/>
      <c r="BV86" s="1006"/>
      <c r="BW86" s="1006"/>
      <c r="BX86" s="37"/>
      <c r="BY86" s="37"/>
      <c r="BZ86" s="1006"/>
      <c r="CA86" s="37"/>
      <c r="CB86" s="1006"/>
      <c r="CC86" s="37"/>
      <c r="CD86" s="1006"/>
      <c r="CE86" s="37"/>
      <c r="CF86" s="1006"/>
      <c r="CG86" s="37"/>
      <c r="CH86" s="1006"/>
      <c r="CI86" s="1006"/>
      <c r="CJ86" s="1006"/>
      <c r="CK86" s="1006"/>
      <c r="CL86" s="37"/>
      <c r="CM86" s="37"/>
      <c r="CO86" s="1011"/>
      <c r="CQ86" s="1012"/>
      <c r="CS86" s="1012"/>
      <c r="CU86" s="1012"/>
      <c r="CW86" s="1012"/>
      <c r="CY86" s="1012"/>
      <c r="DA86" s="1012"/>
      <c r="DC86" s="1012"/>
      <c r="DE86" s="1012"/>
      <c r="DG86" s="1012"/>
      <c r="DI86" s="1012"/>
      <c r="DK86" s="1012"/>
      <c r="DM86" s="1012"/>
      <c r="DO86" s="1012"/>
      <c r="DQ86" s="1012"/>
      <c r="DS86" s="1012"/>
      <c r="DU86" s="1012"/>
      <c r="DW86" s="1012"/>
      <c r="DY86" s="1012"/>
      <c r="EA86" s="1012"/>
      <c r="EC86" s="1012"/>
      <c r="EE86" s="1012"/>
      <c r="EG86" s="1012"/>
      <c r="EI86" s="1012"/>
      <c r="EK86" s="1012"/>
      <c r="EM86" s="1012"/>
      <c r="EO86" s="1012"/>
      <c r="EQ86" s="1012"/>
      <c r="ES86" s="1012"/>
      <c r="EU86" s="1012"/>
      <c r="EW86" s="1012"/>
      <c r="EY86" s="1012"/>
      <c r="FA86" s="1012"/>
      <c r="FC86" s="1012"/>
      <c r="FE86" s="1012"/>
      <c r="FG86" s="1012"/>
      <c r="FH86" s="37"/>
      <c r="FI86" s="37"/>
      <c r="FK86" s="1013"/>
      <c r="FL86" s="1012"/>
      <c r="FM86" s="1012"/>
      <c r="FN86" s="1012"/>
      <c r="FP86" s="1014"/>
      <c r="FQ86" s="1014"/>
      <c r="FR86" s="1014"/>
      <c r="FS86" s="1014"/>
      <c r="FT86" s="1014"/>
      <c r="FU86" s="1014"/>
      <c r="FV86" s="1014"/>
      <c r="FW86" s="1014"/>
      <c r="FX86" s="1014"/>
      <c r="FY86" s="1014"/>
      <c r="FZ86" s="1014"/>
      <c r="GA86" s="1014"/>
      <c r="GB86" s="1014"/>
      <c r="GC86" s="1014"/>
      <c r="GD86" s="1014"/>
      <c r="GE86" s="1014"/>
      <c r="GF86" s="1014"/>
      <c r="GG86" s="1014"/>
      <c r="GH86" s="1014"/>
      <c r="GI86" s="1014"/>
      <c r="GJ86" s="1014"/>
      <c r="GK86" s="1014"/>
      <c r="GL86" s="1014"/>
      <c r="GM86" s="1014"/>
      <c r="GN86" s="1014"/>
      <c r="GO86" s="1014"/>
      <c r="GP86" s="1014"/>
      <c r="GQ86" s="1014"/>
      <c r="GR86" s="1014"/>
      <c r="GS86" s="1014"/>
      <c r="GT86" s="1014"/>
      <c r="GU86" s="1014"/>
      <c r="GV86" s="1014"/>
      <c r="GW86" s="1014"/>
      <c r="GX86" s="1014"/>
      <c r="GY86" s="1014"/>
      <c r="GZ86" s="1014"/>
      <c r="HA86" s="1014"/>
      <c r="HB86" s="1014"/>
      <c r="HC86" s="1014"/>
      <c r="HD86" s="1014"/>
      <c r="HE86" s="1014"/>
      <c r="HF86" s="1014"/>
      <c r="HG86" s="1014"/>
      <c r="HH86" s="1014"/>
      <c r="HI86" s="1014"/>
      <c r="HJ86" s="1014"/>
      <c r="HK86" s="1014"/>
      <c r="HL86" s="1014"/>
      <c r="HM86" s="1014"/>
      <c r="HN86" s="1014"/>
      <c r="HO86" s="1014"/>
      <c r="HP86" s="1014"/>
      <c r="HQ86" s="1014"/>
      <c r="HR86" s="1014"/>
      <c r="HS86" s="1014"/>
      <c r="HT86" s="1014"/>
      <c r="HU86" s="1014"/>
      <c r="HV86" s="1014"/>
    </row>
    <row r="87" spans="1:230" s="470" customFormat="1" ht="15" customHeight="1" outlineLevel="1" x14ac:dyDescent="0.25">
      <c r="A87" s="1031">
        <v>40364</v>
      </c>
      <c r="B87" s="1031"/>
      <c r="C87" s="471"/>
      <c r="D87" s="471"/>
      <c r="H87" s="1006"/>
      <c r="I87" s="37"/>
      <c r="J87" s="1006"/>
      <c r="K87" s="37"/>
      <c r="L87" s="1006"/>
      <c r="M87" s="37"/>
      <c r="N87" s="1006"/>
      <c r="O87" s="37"/>
      <c r="P87" s="1006"/>
      <c r="Q87" s="37"/>
      <c r="R87" s="1006"/>
      <c r="S87" s="37"/>
      <c r="T87" s="37"/>
      <c r="U87" s="37"/>
      <c r="V87" s="1006"/>
      <c r="W87" s="37"/>
      <c r="X87" s="1006"/>
      <c r="Y87" s="37"/>
      <c r="Z87" s="1006"/>
      <c r="AA87" s="37"/>
      <c r="AB87" s="1006"/>
      <c r="AC87" s="37"/>
      <c r="AD87" s="1006"/>
      <c r="AE87" s="37"/>
      <c r="AF87" s="1006"/>
      <c r="AG87" s="37"/>
      <c r="AH87" s="37"/>
      <c r="AI87" s="37"/>
      <c r="AJ87" s="1006"/>
      <c r="AK87" s="37"/>
      <c r="AL87" s="1006"/>
      <c r="AM87" s="37"/>
      <c r="AN87" s="1006"/>
      <c r="AO87" s="37"/>
      <c r="AP87" s="1006"/>
      <c r="AQ87" s="37"/>
      <c r="AR87" s="37"/>
      <c r="AS87" s="37"/>
      <c r="AT87" s="37"/>
      <c r="AU87" s="37"/>
      <c r="AV87" s="37"/>
      <c r="AW87" s="37"/>
      <c r="AX87" s="1006"/>
      <c r="AY87" s="37"/>
      <c r="AZ87" s="1006"/>
      <c r="BA87" s="37"/>
      <c r="BB87" s="1006"/>
      <c r="BC87" s="37"/>
      <c r="BD87" s="1006"/>
      <c r="BE87" s="37"/>
      <c r="BF87" s="1006"/>
      <c r="BG87" s="37"/>
      <c r="BH87" s="37"/>
      <c r="BI87" s="37"/>
      <c r="BJ87" s="37"/>
      <c r="BK87" s="37"/>
      <c r="BL87" s="1006"/>
      <c r="BM87" s="37"/>
      <c r="BN87" s="1006"/>
      <c r="BO87" s="37"/>
      <c r="BP87" s="1006"/>
      <c r="BQ87" s="37"/>
      <c r="BR87" s="1006"/>
      <c r="BS87" s="37"/>
      <c r="BT87" s="1006"/>
      <c r="BU87" s="1006"/>
      <c r="BV87" s="1006"/>
      <c r="BW87" s="1006"/>
      <c r="BX87" s="37"/>
      <c r="BY87" s="37"/>
      <c r="BZ87" s="1006"/>
      <c r="CA87" s="37"/>
      <c r="CB87" s="1006"/>
      <c r="CC87" s="37"/>
      <c r="CD87" s="1006"/>
      <c r="CE87" s="37"/>
      <c r="CF87" s="1006"/>
      <c r="CG87" s="37"/>
      <c r="CH87" s="1006"/>
      <c r="CI87" s="1006"/>
      <c r="CJ87" s="1006"/>
      <c r="CK87" s="1006"/>
      <c r="CL87" s="37"/>
      <c r="CM87" s="37"/>
      <c r="CO87" s="1011"/>
      <c r="CQ87" s="1012"/>
      <c r="CS87" s="1012"/>
      <c r="CU87" s="1012"/>
      <c r="CW87" s="1012"/>
      <c r="CY87" s="1012"/>
      <c r="DA87" s="1012"/>
      <c r="DC87" s="1012"/>
      <c r="DE87" s="1012"/>
      <c r="DG87" s="1012"/>
      <c r="DI87" s="1012"/>
      <c r="DK87" s="1012"/>
      <c r="DM87" s="1012"/>
      <c r="DO87" s="1012"/>
      <c r="DQ87" s="1012"/>
      <c r="DS87" s="1012"/>
      <c r="DU87" s="1012"/>
      <c r="DW87" s="1012"/>
      <c r="DY87" s="1012"/>
      <c r="EA87" s="1012"/>
      <c r="EC87" s="1012"/>
      <c r="EE87" s="1012"/>
      <c r="EG87" s="1012"/>
      <c r="EI87" s="1012"/>
      <c r="EK87" s="1012"/>
      <c r="EM87" s="1012"/>
      <c r="EO87" s="1012"/>
      <c r="EQ87" s="1012"/>
      <c r="ES87" s="1012"/>
      <c r="EU87" s="1012"/>
      <c r="EW87" s="1012"/>
      <c r="EY87" s="1012"/>
      <c r="FA87" s="1012"/>
      <c r="FC87" s="1012"/>
      <c r="FE87" s="1012"/>
      <c r="FG87" s="1012"/>
      <c r="FH87" s="37"/>
      <c r="FI87" s="37"/>
      <c r="FK87" s="1013"/>
      <c r="FL87" s="1012"/>
      <c r="FM87" s="1012"/>
      <c r="FN87" s="1012"/>
      <c r="FP87" s="1014"/>
      <c r="FQ87" s="1014"/>
      <c r="FR87" s="1014"/>
      <c r="FS87" s="1014"/>
      <c r="FT87" s="1014"/>
      <c r="FU87" s="1014"/>
      <c r="FV87" s="1014"/>
      <c r="FW87" s="1014"/>
      <c r="FX87" s="1014"/>
      <c r="FY87" s="1014"/>
      <c r="FZ87" s="1014"/>
      <c r="GA87" s="1014"/>
      <c r="GB87" s="1014"/>
      <c r="GC87" s="1014"/>
      <c r="GD87" s="1014"/>
      <c r="GE87" s="1014"/>
      <c r="GF87" s="1014"/>
      <c r="GG87" s="1014"/>
      <c r="GH87" s="1014"/>
      <c r="GI87" s="1014"/>
      <c r="GJ87" s="1014"/>
      <c r="GK87" s="1014"/>
      <c r="GL87" s="1014"/>
      <c r="GM87" s="1014"/>
      <c r="GN87" s="1014"/>
      <c r="GO87" s="1014"/>
      <c r="GP87" s="1014"/>
      <c r="GQ87" s="1014"/>
      <c r="GR87" s="1014"/>
      <c r="GS87" s="1014"/>
      <c r="GT87" s="1014"/>
      <c r="GU87" s="1014"/>
      <c r="GV87" s="1014"/>
      <c r="GW87" s="1014"/>
      <c r="GX87" s="1014"/>
      <c r="GY87" s="1014"/>
      <c r="GZ87" s="1014"/>
      <c r="HA87" s="1014"/>
      <c r="HB87" s="1014"/>
      <c r="HC87" s="1014"/>
      <c r="HD87" s="1014"/>
      <c r="HE87" s="1014"/>
      <c r="HF87" s="1014"/>
      <c r="HG87" s="1014"/>
      <c r="HH87" s="1014"/>
      <c r="HI87" s="1014"/>
      <c r="HJ87" s="1014"/>
      <c r="HK87" s="1014"/>
      <c r="HL87" s="1014"/>
      <c r="HM87" s="1014"/>
      <c r="HN87" s="1014"/>
      <c r="HO87" s="1014"/>
      <c r="HP87" s="1014"/>
      <c r="HQ87" s="1014"/>
      <c r="HR87" s="1014"/>
      <c r="HS87" s="1014"/>
      <c r="HT87" s="1014"/>
      <c r="HU87" s="1014"/>
      <c r="HV87" s="1014"/>
    </row>
    <row r="88" spans="1:230" s="470" customFormat="1" ht="15" customHeight="1" outlineLevel="1" x14ac:dyDescent="0.25">
      <c r="A88" s="1031">
        <v>40427</v>
      </c>
      <c r="B88" s="1031"/>
      <c r="C88" s="471"/>
      <c r="D88" s="471"/>
      <c r="H88" s="1006"/>
      <c r="I88" s="37"/>
      <c r="J88" s="1006"/>
      <c r="K88" s="37"/>
      <c r="L88" s="1006"/>
      <c r="M88" s="37"/>
      <c r="N88" s="1006"/>
      <c r="O88" s="37"/>
      <c r="P88" s="1006"/>
      <c r="Q88" s="37"/>
      <c r="R88" s="1006"/>
      <c r="S88" s="37"/>
      <c r="T88" s="37"/>
      <c r="U88" s="37"/>
      <c r="V88" s="1006"/>
      <c r="W88" s="37"/>
      <c r="X88" s="1006"/>
      <c r="Y88" s="37"/>
      <c r="Z88" s="1006"/>
      <c r="AA88" s="37"/>
      <c r="AB88" s="1006"/>
      <c r="AC88" s="37"/>
      <c r="AD88" s="1006"/>
      <c r="AE88" s="37"/>
      <c r="AF88" s="1006"/>
      <c r="AG88" s="37"/>
      <c r="AH88" s="37"/>
      <c r="AI88" s="37"/>
      <c r="AJ88" s="1006"/>
      <c r="AK88" s="37"/>
      <c r="AL88" s="1006"/>
      <c r="AM88" s="37"/>
      <c r="AN88" s="1006"/>
      <c r="AO88" s="37"/>
      <c r="AP88" s="1006"/>
      <c r="AQ88" s="37"/>
      <c r="AR88" s="37"/>
      <c r="AS88" s="37"/>
      <c r="AT88" s="37"/>
      <c r="AU88" s="37"/>
      <c r="AV88" s="37"/>
      <c r="AW88" s="37"/>
      <c r="AX88" s="1006"/>
      <c r="AY88" s="37"/>
      <c r="AZ88" s="1006"/>
      <c r="BA88" s="37"/>
      <c r="BB88" s="1006"/>
      <c r="BC88" s="37"/>
      <c r="BD88" s="1006"/>
      <c r="BE88" s="37"/>
      <c r="BF88" s="1006"/>
      <c r="BG88" s="37"/>
      <c r="BH88" s="37"/>
      <c r="BI88" s="37"/>
      <c r="BJ88" s="37"/>
      <c r="BK88" s="37"/>
      <c r="BL88" s="1006"/>
      <c r="BM88" s="37"/>
      <c r="BN88" s="1006"/>
      <c r="BO88" s="37"/>
      <c r="BP88" s="1006"/>
      <c r="BQ88" s="37"/>
      <c r="BR88" s="1006"/>
      <c r="BS88" s="37"/>
      <c r="BT88" s="1006"/>
      <c r="BU88" s="1006"/>
      <c r="BV88" s="1006"/>
      <c r="BW88" s="1006"/>
      <c r="BX88" s="37"/>
      <c r="BY88" s="37"/>
      <c r="BZ88" s="1006"/>
      <c r="CA88" s="37"/>
      <c r="CB88" s="1006"/>
      <c r="CC88" s="37"/>
      <c r="CD88" s="1006"/>
      <c r="CE88" s="37"/>
      <c r="CF88" s="1006"/>
      <c r="CG88" s="37"/>
      <c r="CH88" s="1006"/>
      <c r="CI88" s="1006"/>
      <c r="CJ88" s="1006"/>
      <c r="CK88" s="1006"/>
      <c r="CL88" s="37"/>
      <c r="CM88" s="37"/>
      <c r="CO88" s="1011"/>
      <c r="CQ88" s="1012"/>
      <c r="CS88" s="1012"/>
      <c r="CU88" s="1012"/>
      <c r="CW88" s="1012"/>
      <c r="CY88" s="1012"/>
      <c r="DA88" s="1012"/>
      <c r="DC88" s="1012"/>
      <c r="DE88" s="1012"/>
      <c r="DG88" s="1012"/>
      <c r="DI88" s="1012"/>
      <c r="DK88" s="1012"/>
      <c r="DM88" s="1012"/>
      <c r="DO88" s="1012"/>
      <c r="DQ88" s="1012"/>
      <c r="DS88" s="1012"/>
      <c r="DU88" s="1012"/>
      <c r="DW88" s="1012"/>
      <c r="DY88" s="1012"/>
      <c r="EA88" s="1012"/>
      <c r="EC88" s="1012"/>
      <c r="EE88" s="1012"/>
      <c r="EG88" s="1012"/>
      <c r="EI88" s="1012"/>
      <c r="EK88" s="1012"/>
      <c r="EM88" s="1012"/>
      <c r="EO88" s="1012"/>
      <c r="EQ88" s="1012"/>
      <c r="ES88" s="1012"/>
      <c r="EU88" s="1012"/>
      <c r="EW88" s="1012"/>
      <c r="EY88" s="1012"/>
      <c r="FA88" s="1012"/>
      <c r="FC88" s="1012"/>
      <c r="FE88" s="1012"/>
      <c r="FG88" s="1012"/>
      <c r="FH88" s="37"/>
      <c r="FI88" s="37"/>
      <c r="FK88" s="1013"/>
      <c r="FL88" s="1012"/>
      <c r="FM88" s="1012"/>
      <c r="FN88" s="1012"/>
      <c r="FP88" s="1014"/>
      <c r="FQ88" s="1014"/>
      <c r="FR88" s="1014"/>
      <c r="FS88" s="1014"/>
      <c r="FT88" s="1014"/>
      <c r="FU88" s="1014"/>
      <c r="FV88" s="1014"/>
      <c r="FW88" s="1014"/>
      <c r="FX88" s="1014"/>
      <c r="FY88" s="1014"/>
      <c r="FZ88" s="1014"/>
      <c r="GA88" s="1014"/>
      <c r="GB88" s="1014"/>
      <c r="GC88" s="1014"/>
      <c r="GD88" s="1014"/>
      <c r="GE88" s="1014"/>
      <c r="GF88" s="1014"/>
      <c r="GG88" s="1014"/>
      <c r="GH88" s="1014"/>
      <c r="GI88" s="1014"/>
      <c r="GJ88" s="1014"/>
      <c r="GK88" s="1014"/>
      <c r="GL88" s="1014"/>
      <c r="GM88" s="1014"/>
      <c r="GN88" s="1014"/>
      <c r="GO88" s="1014"/>
      <c r="GP88" s="1014"/>
      <c r="GQ88" s="1014"/>
      <c r="GR88" s="1014"/>
      <c r="GS88" s="1014"/>
      <c r="GT88" s="1014"/>
      <c r="GU88" s="1014"/>
      <c r="GV88" s="1014"/>
      <c r="GW88" s="1014"/>
      <c r="GX88" s="1014"/>
      <c r="GY88" s="1014"/>
      <c r="GZ88" s="1014"/>
      <c r="HA88" s="1014"/>
      <c r="HB88" s="1014"/>
      <c r="HC88" s="1014"/>
      <c r="HD88" s="1014"/>
      <c r="HE88" s="1014"/>
      <c r="HF88" s="1014"/>
      <c r="HG88" s="1014"/>
      <c r="HH88" s="1014"/>
      <c r="HI88" s="1014"/>
      <c r="HJ88" s="1014"/>
      <c r="HK88" s="1014"/>
      <c r="HL88" s="1014"/>
      <c r="HM88" s="1014"/>
      <c r="HN88" s="1014"/>
      <c r="HO88" s="1014"/>
      <c r="HP88" s="1014"/>
      <c r="HQ88" s="1014"/>
      <c r="HR88" s="1014"/>
      <c r="HS88" s="1014"/>
      <c r="HT88" s="1014"/>
      <c r="HU88" s="1014"/>
      <c r="HV88" s="1014"/>
    </row>
    <row r="89" spans="1:230" s="470" customFormat="1" ht="15" customHeight="1" outlineLevel="1" x14ac:dyDescent="0.25">
      <c r="A89" s="1031">
        <v>40493</v>
      </c>
      <c r="B89" s="1031"/>
      <c r="C89" s="471"/>
      <c r="D89" s="471"/>
      <c r="H89" s="1006"/>
      <c r="I89" s="37"/>
      <c r="J89" s="1006"/>
      <c r="K89" s="37"/>
      <c r="L89" s="1006"/>
      <c r="M89" s="37"/>
      <c r="N89" s="1006"/>
      <c r="O89" s="37"/>
      <c r="P89" s="1006"/>
      <c r="Q89" s="37"/>
      <c r="R89" s="1006"/>
      <c r="S89" s="37"/>
      <c r="T89" s="37"/>
      <c r="U89" s="37"/>
      <c r="V89" s="1006"/>
      <c r="W89" s="37"/>
      <c r="X89" s="1006"/>
      <c r="Y89" s="37"/>
      <c r="Z89" s="1006"/>
      <c r="AA89" s="37"/>
      <c r="AB89" s="1006"/>
      <c r="AC89" s="37"/>
      <c r="AD89" s="1006"/>
      <c r="AE89" s="37"/>
      <c r="AF89" s="1006"/>
      <c r="AG89" s="37"/>
      <c r="AH89" s="37"/>
      <c r="AI89" s="37"/>
      <c r="AJ89" s="1006"/>
      <c r="AK89" s="37"/>
      <c r="AL89" s="1006"/>
      <c r="AM89" s="37"/>
      <c r="AN89" s="1006"/>
      <c r="AO89" s="37"/>
      <c r="AP89" s="1006"/>
      <c r="AQ89" s="37"/>
      <c r="AR89" s="37"/>
      <c r="AS89" s="37"/>
      <c r="AT89" s="37"/>
      <c r="AU89" s="37"/>
      <c r="AV89" s="37"/>
      <c r="AW89" s="37"/>
      <c r="AX89" s="1006"/>
      <c r="AY89" s="37"/>
      <c r="AZ89" s="1006"/>
      <c r="BA89" s="37"/>
      <c r="BB89" s="1006"/>
      <c r="BC89" s="37"/>
      <c r="BD89" s="1006"/>
      <c r="BE89" s="37"/>
      <c r="BF89" s="1006"/>
      <c r="BG89" s="37"/>
      <c r="BH89" s="37"/>
      <c r="BI89" s="37"/>
      <c r="BJ89" s="37"/>
      <c r="BK89" s="37"/>
      <c r="BL89" s="1006"/>
      <c r="BM89" s="37"/>
      <c r="BN89" s="1006"/>
      <c r="BO89" s="37"/>
      <c r="BP89" s="1006"/>
      <c r="BQ89" s="37"/>
      <c r="BR89" s="1006"/>
      <c r="BS89" s="37"/>
      <c r="BT89" s="1006"/>
      <c r="BU89" s="1006"/>
      <c r="BV89" s="1006"/>
      <c r="BW89" s="1006"/>
      <c r="BX89" s="37"/>
      <c r="BY89" s="37"/>
      <c r="BZ89" s="1006"/>
      <c r="CA89" s="37"/>
      <c r="CB89" s="1006"/>
      <c r="CC89" s="37"/>
      <c r="CD89" s="1006"/>
      <c r="CE89" s="37"/>
      <c r="CF89" s="1006"/>
      <c r="CG89" s="37"/>
      <c r="CH89" s="1006"/>
      <c r="CI89" s="1006"/>
      <c r="CJ89" s="1006"/>
      <c r="CK89" s="1006"/>
      <c r="CL89" s="37"/>
      <c r="CM89" s="37"/>
      <c r="CO89" s="1011"/>
      <c r="CQ89" s="1012"/>
      <c r="CS89" s="1012"/>
      <c r="CU89" s="1012"/>
      <c r="CW89" s="1012"/>
      <c r="CY89" s="1012"/>
      <c r="DA89" s="1012"/>
      <c r="DC89" s="1012"/>
      <c r="DE89" s="1012"/>
      <c r="DG89" s="1012"/>
      <c r="DI89" s="1012"/>
      <c r="DK89" s="1012"/>
      <c r="DM89" s="1012"/>
      <c r="DO89" s="1012"/>
      <c r="DQ89" s="1012"/>
      <c r="DS89" s="1012"/>
      <c r="DU89" s="1012"/>
      <c r="DW89" s="1012"/>
      <c r="DY89" s="1012"/>
      <c r="EA89" s="1012"/>
      <c r="EC89" s="1012"/>
      <c r="EE89" s="1012"/>
      <c r="EG89" s="1012"/>
      <c r="EI89" s="1012"/>
      <c r="EK89" s="1012"/>
      <c r="EM89" s="1012"/>
      <c r="EO89" s="1012"/>
      <c r="EQ89" s="1012"/>
      <c r="ES89" s="1012"/>
      <c r="EU89" s="1012"/>
      <c r="EW89" s="1012"/>
      <c r="EY89" s="1012"/>
      <c r="FA89" s="1012"/>
      <c r="FC89" s="1012"/>
      <c r="FE89" s="1012"/>
      <c r="FG89" s="1012"/>
      <c r="FH89" s="37"/>
      <c r="FI89" s="37"/>
      <c r="FK89" s="1013"/>
      <c r="FL89" s="1012"/>
      <c r="FM89" s="1012"/>
      <c r="FN89" s="1012"/>
      <c r="FP89" s="1014"/>
      <c r="FQ89" s="1014"/>
      <c r="FR89" s="1014"/>
      <c r="FS89" s="1014"/>
      <c r="FT89" s="1014"/>
      <c r="FU89" s="1014"/>
      <c r="FV89" s="1014"/>
      <c r="FW89" s="1014"/>
      <c r="FX89" s="1014"/>
      <c r="FY89" s="1014"/>
      <c r="FZ89" s="1014"/>
      <c r="GA89" s="1014"/>
      <c r="GB89" s="1014"/>
      <c r="GC89" s="1014"/>
      <c r="GD89" s="1014"/>
      <c r="GE89" s="1014"/>
      <c r="GF89" s="1014"/>
      <c r="GG89" s="1014"/>
      <c r="GH89" s="1014"/>
      <c r="GI89" s="1014"/>
      <c r="GJ89" s="1014"/>
      <c r="GK89" s="1014"/>
      <c r="GL89" s="1014"/>
      <c r="GM89" s="1014"/>
      <c r="GN89" s="1014"/>
      <c r="GO89" s="1014"/>
      <c r="GP89" s="1014"/>
      <c r="GQ89" s="1014"/>
      <c r="GR89" s="1014"/>
      <c r="GS89" s="1014"/>
      <c r="GT89" s="1014"/>
      <c r="GU89" s="1014"/>
      <c r="GV89" s="1014"/>
      <c r="GW89" s="1014"/>
      <c r="GX89" s="1014"/>
      <c r="GY89" s="1014"/>
      <c r="GZ89" s="1014"/>
      <c r="HA89" s="1014"/>
      <c r="HB89" s="1014"/>
      <c r="HC89" s="1014"/>
      <c r="HD89" s="1014"/>
      <c r="HE89" s="1014"/>
      <c r="HF89" s="1014"/>
      <c r="HG89" s="1014"/>
      <c r="HH89" s="1014"/>
      <c r="HI89" s="1014"/>
      <c r="HJ89" s="1014"/>
      <c r="HK89" s="1014"/>
      <c r="HL89" s="1014"/>
      <c r="HM89" s="1014"/>
      <c r="HN89" s="1014"/>
      <c r="HO89" s="1014"/>
      <c r="HP89" s="1014"/>
      <c r="HQ89" s="1014"/>
      <c r="HR89" s="1014"/>
      <c r="HS89" s="1014"/>
      <c r="HT89" s="1014"/>
      <c r="HU89" s="1014"/>
      <c r="HV89" s="1014"/>
    </row>
    <row r="90" spans="1:230" s="470" customFormat="1" ht="15" customHeight="1" outlineLevel="1" x14ac:dyDescent="0.25">
      <c r="A90" s="1031">
        <v>40507</v>
      </c>
      <c r="B90" s="1031"/>
      <c r="C90" s="471"/>
      <c r="D90" s="471"/>
      <c r="H90" s="1006"/>
      <c r="I90" s="37"/>
      <c r="J90" s="1006"/>
      <c r="K90" s="37"/>
      <c r="L90" s="1006"/>
      <c r="M90" s="37"/>
      <c r="N90" s="1006"/>
      <c r="O90" s="37"/>
      <c r="P90" s="1006"/>
      <c r="Q90" s="37"/>
      <c r="R90" s="1006"/>
      <c r="S90" s="37"/>
      <c r="T90" s="37"/>
      <c r="U90" s="37"/>
      <c r="V90" s="1006"/>
      <c r="W90" s="37"/>
      <c r="X90" s="1006"/>
      <c r="Y90" s="37"/>
      <c r="Z90" s="1006"/>
      <c r="AA90" s="37"/>
      <c r="AB90" s="1006"/>
      <c r="AC90" s="37"/>
      <c r="AD90" s="1006"/>
      <c r="AE90" s="37"/>
      <c r="AF90" s="1006"/>
      <c r="AG90" s="37"/>
      <c r="AH90" s="37"/>
      <c r="AI90" s="37"/>
      <c r="AJ90" s="1006"/>
      <c r="AK90" s="37"/>
      <c r="AL90" s="1006"/>
      <c r="AM90" s="37"/>
      <c r="AN90" s="1006"/>
      <c r="AO90" s="37"/>
      <c r="AP90" s="1006"/>
      <c r="AQ90" s="37"/>
      <c r="AR90" s="37"/>
      <c r="AS90" s="37"/>
      <c r="AT90" s="37"/>
      <c r="AU90" s="37"/>
      <c r="AV90" s="37"/>
      <c r="AW90" s="37"/>
      <c r="AX90" s="1006"/>
      <c r="AY90" s="37"/>
      <c r="AZ90" s="1006"/>
      <c r="BA90" s="37"/>
      <c r="BB90" s="1006"/>
      <c r="BC90" s="37"/>
      <c r="BD90" s="1006"/>
      <c r="BE90" s="37"/>
      <c r="BF90" s="1006"/>
      <c r="BG90" s="37"/>
      <c r="BH90" s="37"/>
      <c r="BI90" s="37"/>
      <c r="BJ90" s="37"/>
      <c r="BK90" s="37"/>
      <c r="BL90" s="1006"/>
      <c r="BM90" s="37"/>
      <c r="BN90" s="1006"/>
      <c r="BO90" s="37"/>
      <c r="BP90" s="1006"/>
      <c r="BQ90" s="37"/>
      <c r="BR90" s="1006"/>
      <c r="BS90" s="37"/>
      <c r="BT90" s="1006"/>
      <c r="BU90" s="1006"/>
      <c r="BV90" s="1006"/>
      <c r="BW90" s="1006"/>
      <c r="BX90" s="37"/>
      <c r="BY90" s="37"/>
      <c r="BZ90" s="1006"/>
      <c r="CA90" s="37"/>
      <c r="CB90" s="1006"/>
      <c r="CC90" s="37"/>
      <c r="CD90" s="1006"/>
      <c r="CE90" s="37"/>
      <c r="CF90" s="1006"/>
      <c r="CG90" s="37"/>
      <c r="CH90" s="1006"/>
      <c r="CI90" s="1006"/>
      <c r="CJ90" s="1006"/>
      <c r="CK90" s="1006"/>
      <c r="CL90" s="37"/>
      <c r="CM90" s="37"/>
      <c r="CO90" s="1011"/>
      <c r="CQ90" s="1012"/>
      <c r="CS90" s="1012"/>
      <c r="CU90" s="1012"/>
      <c r="CW90" s="1012"/>
      <c r="CY90" s="1012"/>
      <c r="DA90" s="1012"/>
      <c r="DC90" s="1012"/>
      <c r="DE90" s="1012"/>
      <c r="DG90" s="1012"/>
      <c r="DI90" s="1012"/>
      <c r="DK90" s="1012"/>
      <c r="DM90" s="1012"/>
      <c r="DO90" s="1012"/>
      <c r="DQ90" s="1012"/>
      <c r="DS90" s="1012"/>
      <c r="DU90" s="1012"/>
      <c r="DW90" s="1012"/>
      <c r="DY90" s="1012"/>
      <c r="EA90" s="1012"/>
      <c r="EC90" s="1012"/>
      <c r="EE90" s="1012"/>
      <c r="EG90" s="1012"/>
      <c r="EI90" s="1012"/>
      <c r="EK90" s="1012"/>
      <c r="EM90" s="1012"/>
      <c r="EO90" s="1012"/>
      <c r="EQ90" s="1012"/>
      <c r="ES90" s="1012"/>
      <c r="EU90" s="1012"/>
      <c r="EW90" s="1012"/>
      <c r="EY90" s="1012"/>
      <c r="FA90" s="1012"/>
      <c r="FC90" s="1012"/>
      <c r="FE90" s="1012"/>
      <c r="FG90" s="1012"/>
      <c r="FH90" s="37"/>
      <c r="FI90" s="37"/>
      <c r="FK90" s="1013"/>
      <c r="FL90" s="1012"/>
      <c r="FM90" s="1012"/>
      <c r="FN90" s="1012"/>
      <c r="FP90" s="1014"/>
      <c r="FQ90" s="1014"/>
      <c r="FR90" s="1014"/>
      <c r="FS90" s="1014"/>
      <c r="FT90" s="1014"/>
      <c r="FU90" s="1014"/>
      <c r="FV90" s="1014"/>
      <c r="FW90" s="1014"/>
      <c r="FX90" s="1014"/>
      <c r="FY90" s="1014"/>
      <c r="FZ90" s="1014"/>
      <c r="GA90" s="1014"/>
      <c r="GB90" s="1014"/>
      <c r="GC90" s="1014"/>
      <c r="GD90" s="1014"/>
      <c r="GE90" s="1014"/>
      <c r="GF90" s="1014"/>
      <c r="GG90" s="1014"/>
      <c r="GH90" s="1014"/>
      <c r="GI90" s="1014"/>
      <c r="GJ90" s="1014"/>
      <c r="GK90" s="1014"/>
      <c r="GL90" s="1014"/>
      <c r="GM90" s="1014"/>
      <c r="GN90" s="1014"/>
      <c r="GO90" s="1014"/>
      <c r="GP90" s="1014"/>
      <c r="GQ90" s="1014"/>
      <c r="GR90" s="1014"/>
      <c r="GS90" s="1014"/>
      <c r="GT90" s="1014"/>
      <c r="GU90" s="1014"/>
      <c r="GV90" s="1014"/>
      <c r="GW90" s="1014"/>
      <c r="GX90" s="1014"/>
      <c r="GY90" s="1014"/>
      <c r="GZ90" s="1014"/>
      <c r="HA90" s="1014"/>
      <c r="HB90" s="1014"/>
      <c r="HC90" s="1014"/>
      <c r="HD90" s="1014"/>
      <c r="HE90" s="1014"/>
      <c r="HF90" s="1014"/>
      <c r="HG90" s="1014"/>
      <c r="HH90" s="1014"/>
      <c r="HI90" s="1014"/>
      <c r="HJ90" s="1014"/>
      <c r="HK90" s="1014"/>
      <c r="HL90" s="1014"/>
      <c r="HM90" s="1014"/>
      <c r="HN90" s="1014"/>
      <c r="HO90" s="1014"/>
      <c r="HP90" s="1014"/>
      <c r="HQ90" s="1014"/>
      <c r="HR90" s="1014"/>
      <c r="HS90" s="1014"/>
      <c r="HT90" s="1014"/>
      <c r="HU90" s="1014"/>
      <c r="HV90" s="1014"/>
    </row>
    <row r="91" spans="1:230" s="470" customFormat="1" ht="15" customHeight="1" outlineLevel="1" x14ac:dyDescent="0.25">
      <c r="A91" s="1031">
        <v>40508</v>
      </c>
      <c r="B91" s="1031"/>
      <c r="C91" s="471"/>
      <c r="D91" s="471"/>
      <c r="H91" s="1006"/>
      <c r="I91" s="37"/>
      <c r="J91" s="1006"/>
      <c r="K91" s="37"/>
      <c r="L91" s="1006"/>
      <c r="M91" s="37"/>
      <c r="N91" s="1006"/>
      <c r="O91" s="37"/>
      <c r="P91" s="1006"/>
      <c r="Q91" s="37"/>
      <c r="R91" s="1006"/>
      <c r="S91" s="37"/>
      <c r="T91" s="37"/>
      <c r="U91" s="37"/>
      <c r="V91" s="1006"/>
      <c r="W91" s="37"/>
      <c r="X91" s="1006"/>
      <c r="Y91" s="37"/>
      <c r="Z91" s="1006"/>
      <c r="AA91" s="37"/>
      <c r="AB91" s="1006"/>
      <c r="AC91" s="37"/>
      <c r="AD91" s="1006"/>
      <c r="AE91" s="37"/>
      <c r="AF91" s="1006"/>
      <c r="AG91" s="37"/>
      <c r="AH91" s="37"/>
      <c r="AI91" s="37"/>
      <c r="AJ91" s="1006"/>
      <c r="AK91" s="37"/>
      <c r="AL91" s="1006"/>
      <c r="AM91" s="37"/>
      <c r="AN91" s="1006"/>
      <c r="AO91" s="37"/>
      <c r="AP91" s="1006"/>
      <c r="AQ91" s="37"/>
      <c r="AR91" s="37"/>
      <c r="AS91" s="37"/>
      <c r="AT91" s="37"/>
      <c r="AU91" s="37"/>
      <c r="AV91" s="37"/>
      <c r="AW91" s="37"/>
      <c r="AX91" s="1006"/>
      <c r="AY91" s="37"/>
      <c r="AZ91" s="1006"/>
      <c r="BA91" s="37"/>
      <c r="BB91" s="1006"/>
      <c r="BC91" s="37"/>
      <c r="BD91" s="1006"/>
      <c r="BE91" s="37"/>
      <c r="BF91" s="1006"/>
      <c r="BG91" s="37"/>
      <c r="BH91" s="37"/>
      <c r="BI91" s="37"/>
      <c r="BJ91" s="37"/>
      <c r="BK91" s="37"/>
      <c r="BL91" s="1006"/>
      <c r="BM91" s="37"/>
      <c r="BN91" s="1006"/>
      <c r="BO91" s="37"/>
      <c r="BP91" s="1006"/>
      <c r="BQ91" s="37"/>
      <c r="BR91" s="1006"/>
      <c r="BS91" s="37"/>
      <c r="BT91" s="1006"/>
      <c r="BU91" s="1006"/>
      <c r="BV91" s="1006"/>
      <c r="BW91" s="1006"/>
      <c r="BX91" s="37"/>
      <c r="BY91" s="37"/>
      <c r="BZ91" s="1006"/>
      <c r="CA91" s="37"/>
      <c r="CB91" s="1006"/>
      <c r="CC91" s="37"/>
      <c r="CD91" s="1006"/>
      <c r="CE91" s="37"/>
      <c r="CF91" s="1006"/>
      <c r="CG91" s="37"/>
      <c r="CH91" s="1006"/>
      <c r="CI91" s="1006"/>
      <c r="CJ91" s="1006"/>
      <c r="CK91" s="1006"/>
      <c r="CL91" s="37"/>
      <c r="CM91" s="37"/>
      <c r="CO91" s="1011"/>
      <c r="CQ91" s="1012"/>
      <c r="CS91" s="1012"/>
      <c r="CU91" s="1012"/>
      <c r="CW91" s="1012"/>
      <c r="CY91" s="1012"/>
      <c r="DA91" s="1012"/>
      <c r="DC91" s="1012"/>
      <c r="DE91" s="1012"/>
      <c r="DG91" s="1012"/>
      <c r="DI91" s="1012"/>
      <c r="DK91" s="1012"/>
      <c r="DM91" s="1012"/>
      <c r="DO91" s="1012"/>
      <c r="DQ91" s="1012"/>
      <c r="DS91" s="1012"/>
      <c r="DU91" s="1012"/>
      <c r="DW91" s="1012"/>
      <c r="DY91" s="1012"/>
      <c r="EA91" s="1012"/>
      <c r="EC91" s="1012"/>
      <c r="EE91" s="1012"/>
      <c r="EG91" s="1012"/>
      <c r="EI91" s="1012"/>
      <c r="EK91" s="1012"/>
      <c r="EM91" s="1012"/>
      <c r="EO91" s="1012"/>
      <c r="EQ91" s="1012"/>
      <c r="ES91" s="1012"/>
      <c r="EU91" s="1012"/>
      <c r="EW91" s="1012"/>
      <c r="EY91" s="1012"/>
      <c r="FA91" s="1012"/>
      <c r="FC91" s="1012"/>
      <c r="FE91" s="1012"/>
      <c r="FG91" s="1012"/>
      <c r="FH91" s="37"/>
      <c r="FI91" s="37"/>
      <c r="FK91" s="1013"/>
      <c r="FL91" s="1012"/>
      <c r="FM91" s="1012"/>
      <c r="FN91" s="1012"/>
      <c r="FP91" s="1014"/>
      <c r="FQ91" s="1014"/>
      <c r="FR91" s="1014"/>
      <c r="FS91" s="1014"/>
      <c r="FT91" s="1014"/>
      <c r="FU91" s="1014"/>
      <c r="FV91" s="1014"/>
      <c r="FW91" s="1014"/>
      <c r="FX91" s="1014"/>
      <c r="FY91" s="1014"/>
      <c r="FZ91" s="1014"/>
      <c r="GA91" s="1014"/>
      <c r="GB91" s="1014"/>
      <c r="GC91" s="1014"/>
      <c r="GD91" s="1014"/>
      <c r="GE91" s="1014"/>
      <c r="GF91" s="1014"/>
      <c r="GG91" s="1014"/>
      <c r="GH91" s="1014"/>
      <c r="GI91" s="1014"/>
      <c r="GJ91" s="1014"/>
      <c r="GK91" s="1014"/>
      <c r="GL91" s="1014"/>
      <c r="GM91" s="1014"/>
      <c r="GN91" s="1014"/>
      <c r="GO91" s="1014"/>
      <c r="GP91" s="1014"/>
      <c r="GQ91" s="1014"/>
      <c r="GR91" s="1014"/>
      <c r="GS91" s="1014"/>
      <c r="GT91" s="1014"/>
      <c r="GU91" s="1014"/>
      <c r="GV91" s="1014"/>
      <c r="GW91" s="1014"/>
      <c r="GX91" s="1014"/>
      <c r="GY91" s="1014"/>
      <c r="GZ91" s="1014"/>
      <c r="HA91" s="1014"/>
      <c r="HB91" s="1014"/>
      <c r="HC91" s="1014"/>
      <c r="HD91" s="1014"/>
      <c r="HE91" s="1014"/>
      <c r="HF91" s="1014"/>
      <c r="HG91" s="1014"/>
      <c r="HH91" s="1014"/>
      <c r="HI91" s="1014"/>
      <c r="HJ91" s="1014"/>
      <c r="HK91" s="1014"/>
      <c r="HL91" s="1014"/>
      <c r="HM91" s="1014"/>
      <c r="HN91" s="1014"/>
      <c r="HO91" s="1014"/>
      <c r="HP91" s="1014"/>
      <c r="HQ91" s="1014"/>
      <c r="HR91" s="1014"/>
      <c r="HS91" s="1014"/>
      <c r="HT91" s="1014"/>
      <c r="HU91" s="1014"/>
      <c r="HV91" s="1014"/>
    </row>
    <row r="92" spans="1:230" s="470" customFormat="1" ht="15" customHeight="1" outlineLevel="1" x14ac:dyDescent="0.25">
      <c r="A92" s="1031">
        <v>40536</v>
      </c>
      <c r="B92" s="1031"/>
      <c r="C92" s="471"/>
      <c r="D92" s="471"/>
      <c r="H92" s="1006"/>
      <c r="I92" s="37"/>
      <c r="J92" s="1006"/>
      <c r="K92" s="37"/>
      <c r="L92" s="1006"/>
      <c r="M92" s="37"/>
      <c r="N92" s="1006"/>
      <c r="O92" s="37"/>
      <c r="P92" s="1006"/>
      <c r="Q92" s="37"/>
      <c r="R92" s="1006"/>
      <c r="S92" s="37"/>
      <c r="T92" s="37"/>
      <c r="U92" s="37"/>
      <c r="V92" s="1006"/>
      <c r="W92" s="37"/>
      <c r="X92" s="1006"/>
      <c r="Y92" s="37"/>
      <c r="Z92" s="1006"/>
      <c r="AA92" s="37"/>
      <c r="AB92" s="1006"/>
      <c r="AC92" s="37"/>
      <c r="AD92" s="1006"/>
      <c r="AE92" s="37"/>
      <c r="AF92" s="1006"/>
      <c r="AG92" s="37"/>
      <c r="AH92" s="37"/>
      <c r="AI92" s="37"/>
      <c r="AJ92" s="1006"/>
      <c r="AK92" s="37"/>
      <c r="AL92" s="1006"/>
      <c r="AM92" s="37"/>
      <c r="AN92" s="1006"/>
      <c r="AO92" s="37"/>
      <c r="AP92" s="1006"/>
      <c r="AQ92" s="37"/>
      <c r="AR92" s="37"/>
      <c r="AS92" s="37"/>
      <c r="AT92" s="37"/>
      <c r="AU92" s="37"/>
      <c r="AV92" s="37"/>
      <c r="AW92" s="37"/>
      <c r="AX92" s="1006"/>
      <c r="AY92" s="37"/>
      <c r="AZ92" s="1006"/>
      <c r="BA92" s="37"/>
      <c r="BB92" s="1006"/>
      <c r="BC92" s="37"/>
      <c r="BD92" s="1006"/>
      <c r="BE92" s="37"/>
      <c r="BF92" s="1006"/>
      <c r="BG92" s="37"/>
      <c r="BH92" s="37"/>
      <c r="BI92" s="37"/>
      <c r="BJ92" s="37"/>
      <c r="BK92" s="37"/>
      <c r="BL92" s="1006"/>
      <c r="BM92" s="37"/>
      <c r="BN92" s="1006"/>
      <c r="BO92" s="37"/>
      <c r="BP92" s="1006"/>
      <c r="BQ92" s="37"/>
      <c r="BR92" s="1006"/>
      <c r="BS92" s="37"/>
      <c r="BT92" s="1006"/>
      <c r="BU92" s="1006"/>
      <c r="BV92" s="1006"/>
      <c r="BW92" s="1006"/>
      <c r="BX92" s="37"/>
      <c r="BY92" s="37"/>
      <c r="BZ92" s="1006"/>
      <c r="CA92" s="37"/>
      <c r="CB92" s="1006"/>
      <c r="CC92" s="37"/>
      <c r="CD92" s="1006"/>
      <c r="CE92" s="37"/>
      <c r="CF92" s="1006"/>
      <c r="CG92" s="37"/>
      <c r="CH92" s="1006"/>
      <c r="CI92" s="1006"/>
      <c r="CJ92" s="1006"/>
      <c r="CK92" s="1006"/>
      <c r="CL92" s="37"/>
      <c r="CM92" s="37"/>
      <c r="CO92" s="1011"/>
      <c r="CQ92" s="1012"/>
      <c r="CS92" s="1012"/>
      <c r="CU92" s="1012"/>
      <c r="CW92" s="1012"/>
      <c r="CY92" s="1012"/>
      <c r="DA92" s="1012"/>
      <c r="DC92" s="1012"/>
      <c r="DE92" s="1012"/>
      <c r="DG92" s="1012"/>
      <c r="DI92" s="1012"/>
      <c r="DK92" s="1012"/>
      <c r="DM92" s="1012"/>
      <c r="DO92" s="1012"/>
      <c r="DQ92" s="1012"/>
      <c r="DS92" s="1012"/>
      <c r="DU92" s="1012"/>
      <c r="DW92" s="1012"/>
      <c r="DY92" s="1012"/>
      <c r="EA92" s="1012"/>
      <c r="EC92" s="1012"/>
      <c r="EE92" s="1012"/>
      <c r="EG92" s="1012"/>
      <c r="EI92" s="1012"/>
      <c r="EK92" s="1012"/>
      <c r="EM92" s="1012"/>
      <c r="EO92" s="1012"/>
      <c r="EQ92" s="1012"/>
      <c r="ES92" s="1012"/>
      <c r="EU92" s="1012"/>
      <c r="EW92" s="1012"/>
      <c r="EY92" s="1012"/>
      <c r="FA92" s="1012"/>
      <c r="FC92" s="1012"/>
      <c r="FE92" s="1012"/>
      <c r="FG92" s="1012"/>
      <c r="FH92" s="37"/>
      <c r="FI92" s="37"/>
      <c r="FK92" s="1013"/>
      <c r="FL92" s="1012"/>
      <c r="FM92" s="1012"/>
      <c r="FN92" s="1012"/>
      <c r="FP92" s="1014"/>
      <c r="FQ92" s="1014"/>
      <c r="FR92" s="1014"/>
      <c r="FS92" s="1014"/>
      <c r="FT92" s="1014"/>
      <c r="FU92" s="1014"/>
      <c r="FV92" s="1014"/>
      <c r="FW92" s="1014"/>
      <c r="FX92" s="1014"/>
      <c r="FY92" s="1014"/>
      <c r="FZ92" s="1014"/>
      <c r="GA92" s="1014"/>
      <c r="GB92" s="1014"/>
      <c r="GC92" s="1014"/>
      <c r="GD92" s="1014"/>
      <c r="GE92" s="1014"/>
      <c r="GF92" s="1014"/>
      <c r="GG92" s="1014"/>
      <c r="GH92" s="1014"/>
      <c r="GI92" s="1014"/>
      <c r="GJ92" s="1014"/>
      <c r="GK92" s="1014"/>
      <c r="GL92" s="1014"/>
      <c r="GM92" s="1014"/>
      <c r="GN92" s="1014"/>
      <c r="GO92" s="1014"/>
      <c r="GP92" s="1014"/>
      <c r="GQ92" s="1014"/>
      <c r="GR92" s="1014"/>
      <c r="GS92" s="1014"/>
      <c r="GT92" s="1014"/>
      <c r="GU92" s="1014"/>
      <c r="GV92" s="1014"/>
      <c r="GW92" s="1014"/>
      <c r="GX92" s="1014"/>
      <c r="GY92" s="1014"/>
      <c r="GZ92" s="1014"/>
      <c r="HA92" s="1014"/>
      <c r="HB92" s="1014"/>
      <c r="HC92" s="1014"/>
      <c r="HD92" s="1014"/>
      <c r="HE92" s="1014"/>
      <c r="HF92" s="1014"/>
      <c r="HG92" s="1014"/>
      <c r="HH92" s="1014"/>
      <c r="HI92" s="1014"/>
      <c r="HJ92" s="1014"/>
      <c r="HK92" s="1014"/>
      <c r="HL92" s="1014"/>
      <c r="HM92" s="1014"/>
      <c r="HN92" s="1014"/>
      <c r="HO92" s="1014"/>
      <c r="HP92" s="1014"/>
      <c r="HQ92" s="1014"/>
      <c r="HR92" s="1014"/>
      <c r="HS92" s="1014"/>
      <c r="HT92" s="1014"/>
      <c r="HU92" s="1014"/>
      <c r="HV92" s="1014"/>
    </row>
    <row r="93" spans="1:230" s="470" customFormat="1" ht="15" customHeight="1" outlineLevel="1" x14ac:dyDescent="0.25">
      <c r="A93" s="1031">
        <v>40539</v>
      </c>
      <c r="B93" s="1031"/>
      <c r="C93" s="471"/>
      <c r="D93" s="471"/>
      <c r="H93" s="1006"/>
      <c r="I93" s="37"/>
      <c r="J93" s="1006"/>
      <c r="K93" s="37"/>
      <c r="L93" s="1006"/>
      <c r="M93" s="37"/>
      <c r="N93" s="1006"/>
      <c r="O93" s="37"/>
      <c r="P93" s="1006"/>
      <c r="Q93" s="37"/>
      <c r="R93" s="1006"/>
      <c r="S93" s="37"/>
      <c r="T93" s="37"/>
      <c r="U93" s="37"/>
      <c r="V93" s="1006"/>
      <c r="W93" s="37"/>
      <c r="X93" s="1006"/>
      <c r="Y93" s="37"/>
      <c r="Z93" s="1006"/>
      <c r="AA93" s="37"/>
      <c r="AB93" s="1006"/>
      <c r="AC93" s="37"/>
      <c r="AD93" s="1006"/>
      <c r="AE93" s="37"/>
      <c r="AF93" s="1006"/>
      <c r="AG93" s="37"/>
      <c r="AH93" s="37"/>
      <c r="AI93" s="37"/>
      <c r="AJ93" s="1006"/>
      <c r="AK93" s="37"/>
      <c r="AL93" s="1006"/>
      <c r="AM93" s="37"/>
      <c r="AN93" s="1006"/>
      <c r="AO93" s="37"/>
      <c r="AP93" s="1006"/>
      <c r="AQ93" s="37"/>
      <c r="AR93" s="37"/>
      <c r="AS93" s="37"/>
      <c r="AT93" s="37"/>
      <c r="AU93" s="37"/>
      <c r="AV93" s="37"/>
      <c r="AW93" s="37"/>
      <c r="AX93" s="1006"/>
      <c r="AY93" s="37"/>
      <c r="AZ93" s="1006"/>
      <c r="BA93" s="37"/>
      <c r="BB93" s="1006"/>
      <c r="BC93" s="37"/>
      <c r="BD93" s="1006"/>
      <c r="BE93" s="37"/>
      <c r="BF93" s="1006"/>
      <c r="BG93" s="37"/>
      <c r="BH93" s="37"/>
      <c r="BI93" s="37"/>
      <c r="BJ93" s="37"/>
      <c r="BK93" s="37"/>
      <c r="BL93" s="1006"/>
      <c r="BM93" s="37"/>
      <c r="BN93" s="1006"/>
      <c r="BO93" s="37"/>
      <c r="BP93" s="1006"/>
      <c r="BQ93" s="37"/>
      <c r="BR93" s="1006"/>
      <c r="BS93" s="37"/>
      <c r="BT93" s="1006"/>
      <c r="BU93" s="1006"/>
      <c r="BV93" s="1006"/>
      <c r="BW93" s="1006"/>
      <c r="BX93" s="37"/>
      <c r="BY93" s="37"/>
      <c r="BZ93" s="1006"/>
      <c r="CA93" s="37"/>
      <c r="CB93" s="1006"/>
      <c r="CC93" s="37"/>
      <c r="CD93" s="1006"/>
      <c r="CE93" s="37"/>
      <c r="CF93" s="1006"/>
      <c r="CG93" s="37"/>
      <c r="CH93" s="1006"/>
      <c r="CI93" s="1006"/>
      <c r="CJ93" s="1006"/>
      <c r="CK93" s="1006"/>
      <c r="CL93" s="37"/>
      <c r="CM93" s="37"/>
      <c r="CO93" s="1011"/>
      <c r="CQ93" s="1012"/>
      <c r="CS93" s="1012"/>
      <c r="CU93" s="1012"/>
      <c r="CW93" s="1012"/>
      <c r="CY93" s="1012"/>
      <c r="DA93" s="1012"/>
      <c r="DC93" s="1012"/>
      <c r="DE93" s="1012"/>
      <c r="DG93" s="1012"/>
      <c r="DI93" s="1012"/>
      <c r="DK93" s="1012"/>
      <c r="DM93" s="1012"/>
      <c r="DO93" s="1012"/>
      <c r="DQ93" s="1012"/>
      <c r="DS93" s="1012"/>
      <c r="DU93" s="1012"/>
      <c r="DW93" s="1012"/>
      <c r="DY93" s="1012"/>
      <c r="EA93" s="1012"/>
      <c r="EC93" s="1012"/>
      <c r="EE93" s="1012"/>
      <c r="EG93" s="1012"/>
      <c r="EI93" s="1012"/>
      <c r="EK93" s="1012"/>
      <c r="EM93" s="1012"/>
      <c r="EO93" s="1012"/>
      <c r="EQ93" s="1012"/>
      <c r="ES93" s="1012"/>
      <c r="EU93" s="1012"/>
      <c r="EW93" s="1012"/>
      <c r="EY93" s="1012"/>
      <c r="FA93" s="1012"/>
      <c r="FC93" s="1012"/>
      <c r="FE93" s="1012"/>
      <c r="FG93" s="1012"/>
      <c r="FH93" s="37"/>
      <c r="FI93" s="37"/>
      <c r="FK93" s="1013"/>
      <c r="FL93" s="1012"/>
      <c r="FM93" s="1012"/>
      <c r="FN93" s="1012"/>
      <c r="FP93" s="1014"/>
      <c r="FQ93" s="1014"/>
      <c r="FR93" s="1014"/>
      <c r="FS93" s="1014"/>
      <c r="FT93" s="1014"/>
      <c r="FU93" s="1014"/>
      <c r="FV93" s="1014"/>
      <c r="FW93" s="1014"/>
      <c r="FX93" s="1014"/>
      <c r="FY93" s="1014"/>
      <c r="FZ93" s="1014"/>
      <c r="GA93" s="1014"/>
      <c r="GB93" s="1014"/>
      <c r="GC93" s="1014"/>
      <c r="GD93" s="1014"/>
      <c r="GE93" s="1014"/>
      <c r="GF93" s="1014"/>
      <c r="GG93" s="1014"/>
      <c r="GH93" s="1014"/>
      <c r="GI93" s="1014"/>
      <c r="GJ93" s="1014"/>
      <c r="GK93" s="1014"/>
      <c r="GL93" s="1014"/>
      <c r="GM93" s="1014"/>
      <c r="GN93" s="1014"/>
      <c r="GO93" s="1014"/>
      <c r="GP93" s="1014"/>
      <c r="GQ93" s="1014"/>
      <c r="GR93" s="1014"/>
      <c r="GS93" s="1014"/>
      <c r="GT93" s="1014"/>
      <c r="GU93" s="1014"/>
      <c r="GV93" s="1014"/>
      <c r="GW93" s="1014"/>
      <c r="GX93" s="1014"/>
      <c r="GY93" s="1014"/>
      <c r="GZ93" s="1014"/>
      <c r="HA93" s="1014"/>
      <c r="HB93" s="1014"/>
      <c r="HC93" s="1014"/>
      <c r="HD93" s="1014"/>
      <c r="HE93" s="1014"/>
      <c r="HF93" s="1014"/>
      <c r="HG93" s="1014"/>
      <c r="HH93" s="1014"/>
      <c r="HI93" s="1014"/>
      <c r="HJ93" s="1014"/>
      <c r="HK93" s="1014"/>
      <c r="HL93" s="1014"/>
      <c r="HM93" s="1014"/>
      <c r="HN93" s="1014"/>
      <c r="HO93" s="1014"/>
      <c r="HP93" s="1014"/>
      <c r="HQ93" s="1014"/>
      <c r="HR93" s="1014"/>
      <c r="HS93" s="1014"/>
      <c r="HT93" s="1014"/>
      <c r="HU93" s="1014"/>
      <c r="HV93" s="1014"/>
    </row>
    <row r="94" spans="1:230" s="470" customFormat="1" ht="15" customHeight="1" outlineLevel="1" x14ac:dyDescent="0.25">
      <c r="A94" s="1043">
        <v>40543</v>
      </c>
      <c r="B94" s="1031"/>
      <c r="C94" s="471"/>
      <c r="D94" s="471"/>
      <c r="H94" s="1006"/>
      <c r="I94" s="37"/>
      <c r="J94" s="1006"/>
      <c r="K94" s="37"/>
      <c r="L94" s="1006"/>
      <c r="M94" s="37"/>
      <c r="N94" s="1006"/>
      <c r="O94" s="37"/>
      <c r="P94" s="1006"/>
      <c r="Q94" s="37"/>
      <c r="R94" s="1006"/>
      <c r="S94" s="37"/>
      <c r="T94" s="37"/>
      <c r="U94" s="37"/>
      <c r="V94" s="1006"/>
      <c r="W94" s="37"/>
      <c r="X94" s="1006"/>
      <c r="Y94" s="37"/>
      <c r="Z94" s="1006"/>
      <c r="AA94" s="37"/>
      <c r="AB94" s="1006"/>
      <c r="AC94" s="37"/>
      <c r="AD94" s="1006"/>
      <c r="AE94" s="37"/>
      <c r="AF94" s="1006"/>
      <c r="AG94" s="37"/>
      <c r="AH94" s="37"/>
      <c r="AI94" s="37"/>
      <c r="AJ94" s="1006"/>
      <c r="AK94" s="37"/>
      <c r="AL94" s="1006"/>
      <c r="AM94" s="37"/>
      <c r="AN94" s="1006"/>
      <c r="AO94" s="37"/>
      <c r="AP94" s="1006"/>
      <c r="AQ94" s="37"/>
      <c r="AR94" s="37"/>
      <c r="AS94" s="37"/>
      <c r="AT94" s="37"/>
      <c r="AU94" s="37"/>
      <c r="AV94" s="37"/>
      <c r="AW94" s="37"/>
      <c r="AX94" s="1006"/>
      <c r="AY94" s="37"/>
      <c r="AZ94" s="1006"/>
      <c r="BA94" s="37"/>
      <c r="BB94" s="1006"/>
      <c r="BC94" s="37"/>
      <c r="BD94" s="1006"/>
      <c r="BE94" s="37"/>
      <c r="BF94" s="1006"/>
      <c r="BG94" s="37"/>
      <c r="BH94" s="37"/>
      <c r="BI94" s="37"/>
      <c r="BJ94" s="37"/>
      <c r="BK94" s="37"/>
      <c r="BL94" s="1006"/>
      <c r="BM94" s="37"/>
      <c r="BN94" s="1006"/>
      <c r="BO94" s="37"/>
      <c r="BP94" s="1006"/>
      <c r="BQ94" s="37"/>
      <c r="BR94" s="1006"/>
      <c r="BS94" s="37"/>
      <c r="BT94" s="1006"/>
      <c r="BU94" s="1006"/>
      <c r="BV94" s="1006"/>
      <c r="BW94" s="1006"/>
      <c r="BX94" s="37"/>
      <c r="BY94" s="37"/>
      <c r="BZ94" s="1006"/>
      <c r="CA94" s="37"/>
      <c r="CB94" s="1006"/>
      <c r="CC94" s="37"/>
      <c r="CD94" s="1006"/>
      <c r="CE94" s="37"/>
      <c r="CF94" s="1006"/>
      <c r="CG94" s="37"/>
      <c r="CH94" s="1006"/>
      <c r="CI94" s="1006"/>
      <c r="CJ94" s="1006"/>
      <c r="CK94" s="1006"/>
      <c r="CL94" s="37"/>
      <c r="CM94" s="37"/>
      <c r="CO94" s="1011"/>
      <c r="CQ94" s="1012"/>
      <c r="CS94" s="1012"/>
      <c r="CU94" s="1012"/>
      <c r="CW94" s="1012"/>
      <c r="CY94" s="1012"/>
      <c r="DA94" s="1012"/>
      <c r="DC94" s="1012"/>
      <c r="DE94" s="1012"/>
      <c r="DG94" s="1012"/>
      <c r="DI94" s="1012"/>
      <c r="DK94" s="1012"/>
      <c r="DM94" s="1012"/>
      <c r="DO94" s="1012"/>
      <c r="DQ94" s="1012"/>
      <c r="DS94" s="1012"/>
      <c r="DU94" s="1012"/>
      <c r="DW94" s="1012"/>
      <c r="DY94" s="1012"/>
      <c r="EA94" s="1012"/>
      <c r="EC94" s="1012"/>
      <c r="EE94" s="1012"/>
      <c r="EG94" s="1012"/>
      <c r="EI94" s="1012"/>
      <c r="EK94" s="1012"/>
      <c r="EM94" s="1012"/>
      <c r="EO94" s="1012"/>
      <c r="EQ94" s="1012"/>
      <c r="ES94" s="1012"/>
      <c r="EU94" s="1012"/>
      <c r="EW94" s="1012"/>
      <c r="EY94" s="1012"/>
      <c r="FA94" s="1012"/>
      <c r="FC94" s="1012"/>
      <c r="FE94" s="1012"/>
      <c r="FG94" s="1012"/>
      <c r="FH94" s="37"/>
      <c r="FI94" s="37"/>
      <c r="FK94" s="1013"/>
      <c r="FL94" s="1012"/>
      <c r="FM94" s="1012"/>
      <c r="FN94" s="1012"/>
      <c r="FP94" s="1014"/>
      <c r="FQ94" s="1014"/>
      <c r="FR94" s="1014"/>
      <c r="FS94" s="1014"/>
      <c r="FT94" s="1014"/>
      <c r="FU94" s="1014"/>
      <c r="FV94" s="1014"/>
      <c r="FW94" s="1014"/>
      <c r="FX94" s="1014"/>
      <c r="FY94" s="1014"/>
      <c r="FZ94" s="1014"/>
      <c r="GA94" s="1014"/>
      <c r="GB94" s="1014"/>
      <c r="GC94" s="1014"/>
      <c r="GD94" s="1014"/>
      <c r="GE94" s="1014"/>
      <c r="GF94" s="1014"/>
      <c r="GG94" s="1014"/>
      <c r="GH94" s="1014"/>
      <c r="GI94" s="1014"/>
      <c r="GJ94" s="1014"/>
      <c r="GK94" s="1014"/>
      <c r="GL94" s="1014"/>
      <c r="GM94" s="1014"/>
      <c r="GN94" s="1014"/>
      <c r="GO94" s="1014"/>
      <c r="GP94" s="1014"/>
      <c r="GQ94" s="1014"/>
      <c r="GR94" s="1014"/>
      <c r="GS94" s="1014"/>
      <c r="GT94" s="1014"/>
      <c r="GU94" s="1014"/>
      <c r="GV94" s="1014"/>
      <c r="GW94" s="1014"/>
      <c r="GX94" s="1014"/>
      <c r="GY94" s="1014"/>
      <c r="GZ94" s="1014"/>
      <c r="HA94" s="1014"/>
      <c r="HB94" s="1014"/>
      <c r="HC94" s="1014"/>
      <c r="HD94" s="1014"/>
      <c r="HE94" s="1014"/>
      <c r="HF94" s="1014"/>
      <c r="HG94" s="1014"/>
      <c r="HH94" s="1014"/>
      <c r="HI94" s="1014"/>
      <c r="HJ94" s="1014"/>
      <c r="HK94" s="1014"/>
      <c r="HL94" s="1014"/>
      <c r="HM94" s="1014"/>
      <c r="HN94" s="1014"/>
      <c r="HO94" s="1014"/>
      <c r="HP94" s="1014"/>
      <c r="HQ94" s="1014"/>
      <c r="HR94" s="1014"/>
      <c r="HS94" s="1014"/>
      <c r="HT94" s="1014"/>
      <c r="HU94" s="1014"/>
      <c r="HV94" s="1014"/>
    </row>
    <row r="95" spans="1:230" s="470" customFormat="1" ht="15" customHeight="1" outlineLevel="1" x14ac:dyDescent="0.25">
      <c r="A95" s="1031">
        <v>40560</v>
      </c>
      <c r="B95" s="1031"/>
      <c r="C95" s="471"/>
      <c r="D95" s="471"/>
      <c r="H95" s="1006"/>
      <c r="I95" s="37"/>
      <c r="J95" s="1006"/>
      <c r="K95" s="37"/>
      <c r="L95" s="1006"/>
      <c r="M95" s="37"/>
      <c r="N95" s="1006"/>
      <c r="O95" s="37"/>
      <c r="P95" s="1006"/>
      <c r="Q95" s="37"/>
      <c r="R95" s="1006"/>
      <c r="S95" s="37"/>
      <c r="T95" s="37"/>
      <c r="U95" s="37"/>
      <c r="V95" s="1006"/>
      <c r="W95" s="37"/>
      <c r="X95" s="1006"/>
      <c r="Y95" s="37"/>
      <c r="Z95" s="1006"/>
      <c r="AA95" s="37"/>
      <c r="AB95" s="1006"/>
      <c r="AC95" s="37"/>
      <c r="AD95" s="1006"/>
      <c r="AE95" s="37"/>
      <c r="AF95" s="1006"/>
      <c r="AG95" s="37"/>
      <c r="AH95" s="37"/>
      <c r="AI95" s="37"/>
      <c r="AJ95" s="1006"/>
      <c r="AK95" s="37"/>
      <c r="AL95" s="1006"/>
      <c r="AM95" s="37"/>
      <c r="AN95" s="1006"/>
      <c r="AO95" s="37"/>
      <c r="AP95" s="1006"/>
      <c r="AQ95" s="37"/>
      <c r="AR95" s="37"/>
      <c r="AS95" s="37"/>
      <c r="AT95" s="37"/>
      <c r="AU95" s="37"/>
      <c r="AV95" s="37"/>
      <c r="AW95" s="37"/>
      <c r="AX95" s="1006"/>
      <c r="AY95" s="37"/>
      <c r="AZ95" s="1006"/>
      <c r="BA95" s="37"/>
      <c r="BB95" s="1006"/>
      <c r="BC95" s="37"/>
      <c r="BD95" s="1006"/>
      <c r="BE95" s="37"/>
      <c r="BF95" s="1006"/>
      <c r="BG95" s="37"/>
      <c r="BH95" s="37"/>
      <c r="BI95" s="37"/>
      <c r="BJ95" s="37"/>
      <c r="BK95" s="37"/>
      <c r="BL95" s="1006"/>
      <c r="BM95" s="37"/>
      <c r="BN95" s="1006"/>
      <c r="BO95" s="37"/>
      <c r="BP95" s="1006"/>
      <c r="BQ95" s="37"/>
      <c r="BR95" s="1006"/>
      <c r="BS95" s="37"/>
      <c r="BT95" s="1006"/>
      <c r="BU95" s="1006"/>
      <c r="BV95" s="1006"/>
      <c r="BW95" s="1006"/>
      <c r="BX95" s="37"/>
      <c r="BY95" s="37"/>
      <c r="BZ95" s="1006"/>
      <c r="CA95" s="37"/>
      <c r="CB95" s="1006"/>
      <c r="CC95" s="37"/>
      <c r="CD95" s="1006"/>
      <c r="CE95" s="37"/>
      <c r="CF95" s="1006"/>
      <c r="CG95" s="37"/>
      <c r="CH95" s="1006"/>
      <c r="CI95" s="1006"/>
      <c r="CJ95" s="1006"/>
      <c r="CK95" s="1006"/>
      <c r="CL95" s="37"/>
      <c r="CM95" s="37"/>
      <c r="CO95" s="1011"/>
      <c r="CQ95" s="1012"/>
      <c r="CS95" s="1012"/>
      <c r="CU95" s="1012"/>
      <c r="CW95" s="1012"/>
      <c r="CY95" s="1012"/>
      <c r="DA95" s="1012"/>
      <c r="DC95" s="1012"/>
      <c r="DE95" s="1012"/>
      <c r="DG95" s="1012"/>
      <c r="DI95" s="1012"/>
      <c r="DK95" s="1012"/>
      <c r="DM95" s="1012"/>
      <c r="DO95" s="1012"/>
      <c r="DQ95" s="1012"/>
      <c r="DS95" s="1012"/>
      <c r="DU95" s="1012"/>
      <c r="DW95" s="1012"/>
      <c r="DY95" s="1012"/>
      <c r="EA95" s="1012"/>
      <c r="EC95" s="1012"/>
      <c r="EE95" s="1012"/>
      <c r="EG95" s="1012"/>
      <c r="EI95" s="1012"/>
      <c r="EK95" s="1012"/>
      <c r="EM95" s="1012"/>
      <c r="EO95" s="1012"/>
      <c r="EQ95" s="1012"/>
      <c r="ES95" s="1012"/>
      <c r="EU95" s="1012"/>
      <c r="EW95" s="1012"/>
      <c r="EY95" s="1012"/>
      <c r="FA95" s="1012"/>
      <c r="FC95" s="1012"/>
      <c r="FE95" s="1012"/>
      <c r="FG95" s="1012"/>
      <c r="FH95" s="37"/>
      <c r="FI95" s="37"/>
      <c r="FK95" s="1013"/>
      <c r="FL95" s="1012"/>
      <c r="FM95" s="1012"/>
      <c r="FN95" s="1012"/>
      <c r="FP95" s="1014"/>
      <c r="FQ95" s="1014"/>
      <c r="FR95" s="1014"/>
      <c r="FS95" s="1014"/>
      <c r="FT95" s="1014"/>
      <c r="FU95" s="1014"/>
      <c r="FV95" s="1014"/>
      <c r="FW95" s="1014"/>
      <c r="FX95" s="1014"/>
      <c r="FY95" s="1014"/>
      <c r="FZ95" s="1014"/>
      <c r="GA95" s="1014"/>
      <c r="GB95" s="1014"/>
      <c r="GC95" s="1014"/>
      <c r="GD95" s="1014"/>
      <c r="GE95" s="1014"/>
      <c r="GF95" s="1014"/>
      <c r="GG95" s="1014"/>
      <c r="GH95" s="1014"/>
      <c r="GI95" s="1014"/>
      <c r="GJ95" s="1014"/>
      <c r="GK95" s="1014"/>
      <c r="GL95" s="1014"/>
      <c r="GM95" s="1014"/>
      <c r="GN95" s="1014"/>
      <c r="GO95" s="1014"/>
      <c r="GP95" s="1014"/>
      <c r="GQ95" s="1014"/>
      <c r="GR95" s="1014"/>
      <c r="GS95" s="1014"/>
      <c r="GT95" s="1014"/>
      <c r="GU95" s="1014"/>
      <c r="GV95" s="1014"/>
      <c r="GW95" s="1014"/>
      <c r="GX95" s="1014"/>
      <c r="GY95" s="1014"/>
      <c r="GZ95" s="1014"/>
      <c r="HA95" s="1014"/>
      <c r="HB95" s="1014"/>
      <c r="HC95" s="1014"/>
      <c r="HD95" s="1014"/>
      <c r="HE95" s="1014"/>
      <c r="HF95" s="1014"/>
      <c r="HG95" s="1014"/>
      <c r="HH95" s="1014"/>
      <c r="HI95" s="1014"/>
      <c r="HJ95" s="1014"/>
      <c r="HK95" s="1014"/>
      <c r="HL95" s="1014"/>
      <c r="HM95" s="1014"/>
      <c r="HN95" s="1014"/>
      <c r="HO95" s="1014"/>
      <c r="HP95" s="1014"/>
      <c r="HQ95" s="1014"/>
      <c r="HR95" s="1014"/>
      <c r="HS95" s="1014"/>
      <c r="HT95" s="1014"/>
      <c r="HU95" s="1014"/>
      <c r="HV95" s="1014"/>
    </row>
    <row r="96" spans="1:230" s="470" customFormat="1" ht="15" customHeight="1" outlineLevel="1" x14ac:dyDescent="0.25">
      <c r="A96" s="1031">
        <v>40655</v>
      </c>
      <c r="B96" s="1031"/>
      <c r="C96" s="471"/>
      <c r="D96" s="471"/>
      <c r="H96" s="1006"/>
      <c r="I96" s="37"/>
      <c r="J96" s="1006"/>
      <c r="K96" s="37"/>
      <c r="L96" s="1006"/>
      <c r="M96" s="37"/>
      <c r="N96" s="1006"/>
      <c r="O96" s="37"/>
      <c r="P96" s="1006"/>
      <c r="Q96" s="37"/>
      <c r="R96" s="1006"/>
      <c r="S96" s="37"/>
      <c r="T96" s="37"/>
      <c r="U96" s="37"/>
      <c r="V96" s="1006"/>
      <c r="W96" s="37"/>
      <c r="X96" s="1006"/>
      <c r="Y96" s="37"/>
      <c r="Z96" s="1006"/>
      <c r="AA96" s="37"/>
      <c r="AB96" s="1006"/>
      <c r="AC96" s="37"/>
      <c r="AD96" s="1006"/>
      <c r="AE96" s="37"/>
      <c r="AF96" s="1006"/>
      <c r="AG96" s="37"/>
      <c r="AH96" s="37"/>
      <c r="AI96" s="37"/>
      <c r="AJ96" s="1006"/>
      <c r="AK96" s="37"/>
      <c r="AL96" s="1006"/>
      <c r="AM96" s="37"/>
      <c r="AN96" s="1006"/>
      <c r="AO96" s="37"/>
      <c r="AP96" s="1006"/>
      <c r="AQ96" s="37"/>
      <c r="AR96" s="37"/>
      <c r="AS96" s="37"/>
      <c r="AT96" s="37"/>
      <c r="AU96" s="37"/>
      <c r="AV96" s="37"/>
      <c r="AW96" s="37"/>
      <c r="AX96" s="1006"/>
      <c r="AY96" s="37"/>
      <c r="AZ96" s="1006"/>
      <c r="BA96" s="37"/>
      <c r="BB96" s="1006"/>
      <c r="BC96" s="37"/>
      <c r="BD96" s="1006"/>
      <c r="BE96" s="37"/>
      <c r="BF96" s="1006"/>
      <c r="BG96" s="37"/>
      <c r="BH96" s="37"/>
      <c r="BI96" s="37"/>
      <c r="BJ96" s="37"/>
      <c r="BK96" s="37"/>
      <c r="BL96" s="1006"/>
      <c r="BM96" s="37"/>
      <c r="BN96" s="1006"/>
      <c r="BO96" s="37"/>
      <c r="BP96" s="1006"/>
      <c r="BQ96" s="37"/>
      <c r="BR96" s="1006"/>
      <c r="BS96" s="37"/>
      <c r="BT96" s="1006"/>
      <c r="BU96" s="1006"/>
      <c r="BV96" s="1006"/>
      <c r="BW96" s="1006"/>
      <c r="BX96" s="37"/>
      <c r="BY96" s="37"/>
      <c r="BZ96" s="1006"/>
      <c r="CA96" s="37"/>
      <c r="CB96" s="1006"/>
      <c r="CC96" s="37"/>
      <c r="CD96" s="1006"/>
      <c r="CE96" s="37"/>
      <c r="CF96" s="1006"/>
      <c r="CG96" s="37"/>
      <c r="CH96" s="1006"/>
      <c r="CI96" s="1006"/>
      <c r="CJ96" s="1006"/>
      <c r="CK96" s="1006"/>
      <c r="CL96" s="37"/>
      <c r="CM96" s="37"/>
      <c r="CO96" s="1011"/>
      <c r="CQ96" s="1012"/>
      <c r="CS96" s="1012"/>
      <c r="CU96" s="1012"/>
      <c r="CW96" s="1012"/>
      <c r="CY96" s="1012"/>
      <c r="DA96" s="1012"/>
      <c r="DC96" s="1012"/>
      <c r="DE96" s="1012"/>
      <c r="DG96" s="1012"/>
      <c r="DI96" s="1012"/>
      <c r="DK96" s="1012"/>
      <c r="DM96" s="1012"/>
      <c r="DO96" s="1012"/>
      <c r="DQ96" s="1012"/>
      <c r="DS96" s="1012"/>
      <c r="DU96" s="1012"/>
      <c r="DW96" s="1012"/>
      <c r="DY96" s="1012"/>
      <c r="EA96" s="1012"/>
      <c r="EC96" s="1012"/>
      <c r="EE96" s="1012"/>
      <c r="EG96" s="1012"/>
      <c r="EI96" s="1012"/>
      <c r="EK96" s="1012"/>
      <c r="EM96" s="1012"/>
      <c r="EO96" s="1012"/>
      <c r="EQ96" s="1012"/>
      <c r="ES96" s="1012"/>
      <c r="EU96" s="1012"/>
      <c r="EW96" s="1012"/>
      <c r="EY96" s="1012"/>
      <c r="FA96" s="1012"/>
      <c r="FC96" s="1012"/>
      <c r="FE96" s="1012"/>
      <c r="FG96" s="1012"/>
      <c r="FH96" s="37"/>
      <c r="FI96" s="37"/>
      <c r="FK96" s="1013"/>
      <c r="FL96" s="1012"/>
      <c r="FM96" s="1012"/>
      <c r="FN96" s="1012"/>
      <c r="FP96" s="1014"/>
      <c r="FQ96" s="1014"/>
      <c r="FR96" s="1014"/>
      <c r="FS96" s="1014"/>
      <c r="FT96" s="1014"/>
      <c r="FU96" s="1014"/>
      <c r="FV96" s="1014"/>
      <c r="FW96" s="1014"/>
      <c r="FX96" s="1014"/>
      <c r="FY96" s="1014"/>
      <c r="FZ96" s="1014"/>
      <c r="GA96" s="1014"/>
      <c r="GB96" s="1014"/>
      <c r="GC96" s="1014"/>
      <c r="GD96" s="1014"/>
      <c r="GE96" s="1014"/>
      <c r="GF96" s="1014"/>
      <c r="GG96" s="1014"/>
      <c r="GH96" s="1014"/>
      <c r="GI96" s="1014"/>
      <c r="GJ96" s="1014"/>
      <c r="GK96" s="1014"/>
      <c r="GL96" s="1014"/>
      <c r="GM96" s="1014"/>
      <c r="GN96" s="1014"/>
      <c r="GO96" s="1014"/>
      <c r="GP96" s="1014"/>
      <c r="GQ96" s="1014"/>
      <c r="GR96" s="1014"/>
      <c r="GS96" s="1014"/>
      <c r="GT96" s="1014"/>
      <c r="GU96" s="1014"/>
      <c r="GV96" s="1014"/>
      <c r="GW96" s="1014"/>
      <c r="GX96" s="1014"/>
      <c r="GY96" s="1014"/>
      <c r="GZ96" s="1014"/>
      <c r="HA96" s="1014"/>
      <c r="HB96" s="1014"/>
      <c r="HC96" s="1014"/>
      <c r="HD96" s="1014"/>
      <c r="HE96" s="1014"/>
      <c r="HF96" s="1014"/>
      <c r="HG96" s="1014"/>
      <c r="HH96" s="1014"/>
      <c r="HI96" s="1014"/>
      <c r="HJ96" s="1014"/>
      <c r="HK96" s="1014"/>
      <c r="HL96" s="1014"/>
      <c r="HM96" s="1014"/>
      <c r="HN96" s="1014"/>
      <c r="HO96" s="1014"/>
      <c r="HP96" s="1014"/>
      <c r="HQ96" s="1014"/>
      <c r="HR96" s="1014"/>
      <c r="HS96" s="1014"/>
      <c r="HT96" s="1014"/>
      <c r="HU96" s="1014"/>
      <c r="HV96" s="1014"/>
    </row>
    <row r="97" spans="1:230" s="470" customFormat="1" ht="15" customHeight="1" outlineLevel="1" x14ac:dyDescent="0.25">
      <c r="A97" s="1031">
        <v>40693</v>
      </c>
      <c r="B97" s="1031"/>
      <c r="C97" s="471"/>
      <c r="D97" s="471"/>
      <c r="H97" s="1006"/>
      <c r="I97" s="37"/>
      <c r="J97" s="1006"/>
      <c r="K97" s="37"/>
      <c r="L97" s="1006"/>
      <c r="M97" s="37"/>
      <c r="N97" s="1006"/>
      <c r="O97" s="37"/>
      <c r="P97" s="1006"/>
      <c r="Q97" s="37"/>
      <c r="R97" s="1006"/>
      <c r="S97" s="37"/>
      <c r="T97" s="37"/>
      <c r="U97" s="37"/>
      <c r="V97" s="1006"/>
      <c r="W97" s="37"/>
      <c r="X97" s="1006"/>
      <c r="Y97" s="37"/>
      <c r="Z97" s="1006"/>
      <c r="AA97" s="37"/>
      <c r="AB97" s="1006"/>
      <c r="AC97" s="37"/>
      <c r="AD97" s="1006"/>
      <c r="AE97" s="37"/>
      <c r="AF97" s="1006"/>
      <c r="AG97" s="37"/>
      <c r="AH97" s="37"/>
      <c r="AI97" s="37"/>
      <c r="AJ97" s="1006"/>
      <c r="AK97" s="37"/>
      <c r="AL97" s="1006"/>
      <c r="AM97" s="37"/>
      <c r="AN97" s="1006"/>
      <c r="AO97" s="37"/>
      <c r="AP97" s="1006"/>
      <c r="AQ97" s="37"/>
      <c r="AR97" s="37"/>
      <c r="AS97" s="37"/>
      <c r="AT97" s="37"/>
      <c r="AU97" s="37"/>
      <c r="AV97" s="37"/>
      <c r="AW97" s="37"/>
      <c r="AX97" s="1006"/>
      <c r="AY97" s="37"/>
      <c r="AZ97" s="1006"/>
      <c r="BA97" s="37"/>
      <c r="BB97" s="1006"/>
      <c r="BC97" s="37"/>
      <c r="BD97" s="1006"/>
      <c r="BE97" s="37"/>
      <c r="BF97" s="1006"/>
      <c r="BG97" s="37"/>
      <c r="BH97" s="37"/>
      <c r="BI97" s="37"/>
      <c r="BJ97" s="37"/>
      <c r="BK97" s="37"/>
      <c r="BL97" s="1006"/>
      <c r="BM97" s="37"/>
      <c r="BN97" s="1006"/>
      <c r="BO97" s="37"/>
      <c r="BP97" s="1006"/>
      <c r="BQ97" s="37"/>
      <c r="BR97" s="1006"/>
      <c r="BS97" s="37"/>
      <c r="BT97" s="1006"/>
      <c r="BU97" s="1006"/>
      <c r="BV97" s="1006"/>
      <c r="BW97" s="1006"/>
      <c r="BX97" s="37"/>
      <c r="BY97" s="37"/>
      <c r="BZ97" s="1006"/>
      <c r="CA97" s="37"/>
      <c r="CB97" s="1006"/>
      <c r="CC97" s="37"/>
      <c r="CD97" s="1006"/>
      <c r="CE97" s="37"/>
      <c r="CF97" s="1006"/>
      <c r="CG97" s="37"/>
      <c r="CH97" s="1006"/>
      <c r="CI97" s="1006"/>
      <c r="CJ97" s="1006"/>
      <c r="CK97" s="1006"/>
      <c r="CL97" s="37"/>
      <c r="CM97" s="37"/>
      <c r="CO97" s="1011"/>
      <c r="CQ97" s="1012"/>
      <c r="CS97" s="1012"/>
      <c r="CU97" s="1012"/>
      <c r="CW97" s="1012"/>
      <c r="CY97" s="1012"/>
      <c r="DA97" s="1012"/>
      <c r="DC97" s="1012"/>
      <c r="DE97" s="1012"/>
      <c r="DG97" s="1012"/>
      <c r="DI97" s="1012"/>
      <c r="DK97" s="1012"/>
      <c r="DM97" s="1012"/>
      <c r="DO97" s="1012"/>
      <c r="DQ97" s="1012"/>
      <c r="DS97" s="1012"/>
      <c r="DU97" s="1012"/>
      <c r="DW97" s="1012"/>
      <c r="DY97" s="1012"/>
      <c r="EA97" s="1012"/>
      <c r="EC97" s="1012"/>
      <c r="EE97" s="1012"/>
      <c r="EG97" s="1012"/>
      <c r="EI97" s="1012"/>
      <c r="EK97" s="1012"/>
      <c r="EM97" s="1012"/>
      <c r="EO97" s="1012"/>
      <c r="EQ97" s="1012"/>
      <c r="ES97" s="1012"/>
      <c r="EU97" s="1012"/>
      <c r="EW97" s="1012"/>
      <c r="EY97" s="1012"/>
      <c r="FA97" s="1012"/>
      <c r="FC97" s="1012"/>
      <c r="FE97" s="1012"/>
      <c r="FG97" s="1012"/>
      <c r="FH97" s="37"/>
      <c r="FI97" s="37"/>
      <c r="FK97" s="1013"/>
      <c r="FL97" s="1012"/>
      <c r="FM97" s="1012"/>
      <c r="FN97" s="1012"/>
      <c r="FP97" s="1014"/>
      <c r="FQ97" s="1014"/>
      <c r="FR97" s="1014"/>
      <c r="FS97" s="1014"/>
      <c r="FT97" s="1014"/>
      <c r="FU97" s="1014"/>
      <c r="FV97" s="1014"/>
      <c r="FW97" s="1014"/>
      <c r="FX97" s="1014"/>
      <c r="FY97" s="1014"/>
      <c r="FZ97" s="1014"/>
      <c r="GA97" s="1014"/>
      <c r="GB97" s="1014"/>
      <c r="GC97" s="1014"/>
      <c r="GD97" s="1014"/>
      <c r="GE97" s="1014"/>
      <c r="GF97" s="1014"/>
      <c r="GG97" s="1014"/>
      <c r="GH97" s="1014"/>
      <c r="GI97" s="1014"/>
      <c r="GJ97" s="1014"/>
      <c r="GK97" s="1014"/>
      <c r="GL97" s="1014"/>
      <c r="GM97" s="1014"/>
      <c r="GN97" s="1014"/>
      <c r="GO97" s="1014"/>
      <c r="GP97" s="1014"/>
      <c r="GQ97" s="1014"/>
      <c r="GR97" s="1014"/>
      <c r="GS97" s="1014"/>
      <c r="GT97" s="1014"/>
      <c r="GU97" s="1014"/>
      <c r="GV97" s="1014"/>
      <c r="GW97" s="1014"/>
      <c r="GX97" s="1014"/>
      <c r="GY97" s="1014"/>
      <c r="GZ97" s="1014"/>
      <c r="HA97" s="1014"/>
      <c r="HB97" s="1014"/>
      <c r="HC97" s="1014"/>
      <c r="HD97" s="1014"/>
      <c r="HE97" s="1014"/>
      <c r="HF97" s="1014"/>
      <c r="HG97" s="1014"/>
      <c r="HH97" s="1014"/>
      <c r="HI97" s="1014"/>
      <c r="HJ97" s="1014"/>
      <c r="HK97" s="1014"/>
      <c r="HL97" s="1014"/>
      <c r="HM97" s="1014"/>
      <c r="HN97" s="1014"/>
      <c r="HO97" s="1014"/>
      <c r="HP97" s="1014"/>
      <c r="HQ97" s="1014"/>
      <c r="HR97" s="1014"/>
      <c r="HS97" s="1014"/>
      <c r="HT97" s="1014"/>
      <c r="HU97" s="1014"/>
      <c r="HV97" s="1014"/>
    </row>
    <row r="98" spans="1:230" s="470" customFormat="1" ht="15" customHeight="1" outlineLevel="1" x14ac:dyDescent="0.25">
      <c r="A98" s="1031">
        <v>40728</v>
      </c>
      <c r="B98" s="1031"/>
      <c r="C98" s="471"/>
      <c r="D98" s="471"/>
      <c r="H98" s="1006"/>
      <c r="I98" s="37"/>
      <c r="J98" s="1006"/>
      <c r="K98" s="37"/>
      <c r="L98" s="1006"/>
      <c r="M98" s="37"/>
      <c r="N98" s="1006"/>
      <c r="O98" s="37"/>
      <c r="P98" s="1006"/>
      <c r="Q98" s="37"/>
      <c r="R98" s="1006"/>
      <c r="S98" s="37"/>
      <c r="T98" s="37"/>
      <c r="U98" s="37"/>
      <c r="V98" s="1006"/>
      <c r="W98" s="37"/>
      <c r="X98" s="1006"/>
      <c r="Y98" s="37"/>
      <c r="Z98" s="1006"/>
      <c r="AA98" s="37"/>
      <c r="AB98" s="1006"/>
      <c r="AC98" s="37"/>
      <c r="AD98" s="1006"/>
      <c r="AE98" s="37"/>
      <c r="AF98" s="1006"/>
      <c r="AG98" s="37"/>
      <c r="AH98" s="37"/>
      <c r="AI98" s="37"/>
      <c r="AJ98" s="1006"/>
      <c r="AK98" s="37"/>
      <c r="AL98" s="1006"/>
      <c r="AM98" s="37"/>
      <c r="AN98" s="1006"/>
      <c r="AO98" s="37"/>
      <c r="AP98" s="1006"/>
      <c r="AQ98" s="37"/>
      <c r="AR98" s="37"/>
      <c r="AS98" s="37"/>
      <c r="AT98" s="37"/>
      <c r="AU98" s="37"/>
      <c r="AV98" s="37"/>
      <c r="AW98" s="37"/>
      <c r="AX98" s="1006"/>
      <c r="AY98" s="37"/>
      <c r="AZ98" s="1006"/>
      <c r="BA98" s="37"/>
      <c r="BB98" s="1006"/>
      <c r="BC98" s="37"/>
      <c r="BD98" s="1006"/>
      <c r="BE98" s="37"/>
      <c r="BF98" s="1006"/>
      <c r="BG98" s="37"/>
      <c r="BH98" s="37"/>
      <c r="BI98" s="37"/>
      <c r="BJ98" s="37"/>
      <c r="BK98" s="37"/>
      <c r="BL98" s="1006"/>
      <c r="BM98" s="37"/>
      <c r="BN98" s="1006"/>
      <c r="BO98" s="37"/>
      <c r="BP98" s="1006"/>
      <c r="BQ98" s="37"/>
      <c r="BR98" s="1006"/>
      <c r="BS98" s="37"/>
      <c r="BT98" s="1006"/>
      <c r="BU98" s="1006"/>
      <c r="BV98" s="1006"/>
      <c r="BW98" s="1006"/>
      <c r="BX98" s="37"/>
      <c r="BY98" s="37"/>
      <c r="BZ98" s="1006"/>
      <c r="CA98" s="37"/>
      <c r="CB98" s="1006"/>
      <c r="CC98" s="37"/>
      <c r="CD98" s="1006"/>
      <c r="CE98" s="37"/>
      <c r="CF98" s="1006"/>
      <c r="CG98" s="37"/>
      <c r="CH98" s="1006"/>
      <c r="CI98" s="1006"/>
      <c r="CJ98" s="1006"/>
      <c r="CK98" s="1006"/>
      <c r="CL98" s="37"/>
      <c r="CM98" s="37"/>
      <c r="CO98" s="1011"/>
      <c r="CQ98" s="1012"/>
      <c r="CS98" s="1012"/>
      <c r="CU98" s="1012"/>
      <c r="CW98" s="1012"/>
      <c r="CY98" s="1012"/>
      <c r="DA98" s="1012"/>
      <c r="DC98" s="1012"/>
      <c r="DE98" s="1012"/>
      <c r="DG98" s="1012"/>
      <c r="DI98" s="1012"/>
      <c r="DK98" s="1012"/>
      <c r="DM98" s="1012"/>
      <c r="DO98" s="1012"/>
      <c r="DQ98" s="1012"/>
      <c r="DS98" s="1012"/>
      <c r="DU98" s="1012"/>
      <c r="DW98" s="1012"/>
      <c r="DY98" s="1012"/>
      <c r="EA98" s="1012"/>
      <c r="EC98" s="1012"/>
      <c r="EE98" s="1012"/>
      <c r="EG98" s="1012"/>
      <c r="EI98" s="1012"/>
      <c r="EK98" s="1012"/>
      <c r="EM98" s="1012"/>
      <c r="EO98" s="1012"/>
      <c r="EQ98" s="1012"/>
      <c r="ES98" s="1012"/>
      <c r="EU98" s="1012"/>
      <c r="EW98" s="1012"/>
      <c r="EY98" s="1012"/>
      <c r="FA98" s="1012"/>
      <c r="FC98" s="1012"/>
      <c r="FE98" s="1012"/>
      <c r="FG98" s="1012"/>
      <c r="FH98" s="37"/>
      <c r="FI98" s="37"/>
      <c r="FK98" s="1013"/>
      <c r="FL98" s="1012"/>
      <c r="FM98" s="1012"/>
      <c r="FN98" s="1012"/>
      <c r="FP98" s="1014"/>
      <c r="FQ98" s="1014"/>
      <c r="FR98" s="1014"/>
      <c r="FS98" s="1014"/>
      <c r="FT98" s="1014"/>
      <c r="FU98" s="1014"/>
      <c r="FV98" s="1014"/>
      <c r="FW98" s="1014"/>
      <c r="FX98" s="1014"/>
      <c r="FY98" s="1014"/>
      <c r="FZ98" s="1014"/>
      <c r="GA98" s="1014"/>
      <c r="GB98" s="1014"/>
      <c r="GC98" s="1014"/>
      <c r="GD98" s="1014"/>
      <c r="GE98" s="1014"/>
      <c r="GF98" s="1014"/>
      <c r="GG98" s="1014"/>
      <c r="GH98" s="1014"/>
      <c r="GI98" s="1014"/>
      <c r="GJ98" s="1014"/>
      <c r="GK98" s="1014"/>
      <c r="GL98" s="1014"/>
      <c r="GM98" s="1014"/>
      <c r="GN98" s="1014"/>
      <c r="GO98" s="1014"/>
      <c r="GP98" s="1014"/>
      <c r="GQ98" s="1014"/>
      <c r="GR98" s="1014"/>
      <c r="GS98" s="1014"/>
      <c r="GT98" s="1014"/>
      <c r="GU98" s="1014"/>
      <c r="GV98" s="1014"/>
      <c r="GW98" s="1014"/>
      <c r="GX98" s="1014"/>
      <c r="GY98" s="1014"/>
      <c r="GZ98" s="1014"/>
      <c r="HA98" s="1014"/>
      <c r="HB98" s="1014"/>
      <c r="HC98" s="1014"/>
      <c r="HD98" s="1014"/>
      <c r="HE98" s="1014"/>
      <c r="HF98" s="1014"/>
      <c r="HG98" s="1014"/>
      <c r="HH98" s="1014"/>
      <c r="HI98" s="1014"/>
      <c r="HJ98" s="1014"/>
      <c r="HK98" s="1014"/>
      <c r="HL98" s="1014"/>
      <c r="HM98" s="1014"/>
      <c r="HN98" s="1014"/>
      <c r="HO98" s="1014"/>
      <c r="HP98" s="1014"/>
      <c r="HQ98" s="1014"/>
      <c r="HR98" s="1014"/>
      <c r="HS98" s="1014"/>
      <c r="HT98" s="1014"/>
      <c r="HU98" s="1014"/>
      <c r="HV98" s="1014"/>
    </row>
    <row r="99" spans="1:230" s="470" customFormat="1" ht="15" customHeight="1" outlineLevel="1" x14ac:dyDescent="0.25">
      <c r="A99" s="1031">
        <v>40791</v>
      </c>
      <c r="B99" s="1031"/>
      <c r="C99" s="471"/>
      <c r="D99" s="471"/>
      <c r="H99" s="1006"/>
      <c r="I99" s="37"/>
      <c r="J99" s="1006"/>
      <c r="K99" s="37"/>
      <c r="L99" s="1006"/>
      <c r="M99" s="37"/>
      <c r="N99" s="1006"/>
      <c r="O99" s="37"/>
      <c r="P99" s="1006"/>
      <c r="Q99" s="37"/>
      <c r="R99" s="1006"/>
      <c r="S99" s="37"/>
      <c r="T99" s="37"/>
      <c r="U99" s="37"/>
      <c r="V99" s="1006"/>
      <c r="W99" s="37"/>
      <c r="X99" s="1006"/>
      <c r="Y99" s="37"/>
      <c r="Z99" s="1006"/>
      <c r="AA99" s="37"/>
      <c r="AB99" s="1006"/>
      <c r="AC99" s="37"/>
      <c r="AD99" s="1006"/>
      <c r="AE99" s="37"/>
      <c r="AF99" s="1006"/>
      <c r="AG99" s="37"/>
      <c r="AH99" s="37"/>
      <c r="AI99" s="37"/>
      <c r="AJ99" s="1006"/>
      <c r="AK99" s="37"/>
      <c r="AL99" s="1006"/>
      <c r="AM99" s="37"/>
      <c r="AN99" s="1006"/>
      <c r="AO99" s="37"/>
      <c r="AP99" s="1006"/>
      <c r="AQ99" s="37"/>
      <c r="AR99" s="37"/>
      <c r="AS99" s="37"/>
      <c r="AT99" s="37"/>
      <c r="AU99" s="37"/>
      <c r="AV99" s="37"/>
      <c r="AW99" s="37"/>
      <c r="AX99" s="1006"/>
      <c r="AY99" s="37"/>
      <c r="AZ99" s="1006"/>
      <c r="BA99" s="37"/>
      <c r="BB99" s="1006"/>
      <c r="BC99" s="37"/>
      <c r="BD99" s="1006"/>
      <c r="BE99" s="37"/>
      <c r="BF99" s="1006"/>
      <c r="BG99" s="37"/>
      <c r="BH99" s="37"/>
      <c r="BI99" s="37"/>
      <c r="BJ99" s="37"/>
      <c r="BK99" s="37"/>
      <c r="BL99" s="1006"/>
      <c r="BM99" s="37"/>
      <c r="BN99" s="1006"/>
      <c r="BO99" s="37"/>
      <c r="BP99" s="1006"/>
      <c r="BQ99" s="37"/>
      <c r="BR99" s="1006"/>
      <c r="BS99" s="37"/>
      <c r="BT99" s="1006"/>
      <c r="BU99" s="1006"/>
      <c r="BV99" s="1006"/>
      <c r="BW99" s="1006"/>
      <c r="BX99" s="37"/>
      <c r="BY99" s="37"/>
      <c r="BZ99" s="1006"/>
      <c r="CA99" s="37"/>
      <c r="CB99" s="1006"/>
      <c r="CC99" s="37"/>
      <c r="CD99" s="1006"/>
      <c r="CE99" s="37"/>
      <c r="CF99" s="1006"/>
      <c r="CG99" s="37"/>
      <c r="CH99" s="1006"/>
      <c r="CI99" s="1006"/>
      <c r="CJ99" s="1006"/>
      <c r="CK99" s="1006"/>
      <c r="CL99" s="37"/>
      <c r="CM99" s="37"/>
      <c r="CO99" s="1011"/>
      <c r="CQ99" s="1012"/>
      <c r="CS99" s="1012"/>
      <c r="CU99" s="1012"/>
      <c r="CW99" s="1012"/>
      <c r="CY99" s="1012"/>
      <c r="DA99" s="1012"/>
      <c r="DC99" s="1012"/>
      <c r="DE99" s="1012"/>
      <c r="DG99" s="1012"/>
      <c r="DI99" s="1012"/>
      <c r="DK99" s="1012"/>
      <c r="DM99" s="1012"/>
      <c r="DO99" s="1012"/>
      <c r="DQ99" s="1012"/>
      <c r="DS99" s="1012"/>
      <c r="DU99" s="1012"/>
      <c r="DW99" s="1012"/>
      <c r="DY99" s="1012"/>
      <c r="EA99" s="1012"/>
      <c r="EC99" s="1012"/>
      <c r="EE99" s="1012"/>
      <c r="EG99" s="1012"/>
      <c r="EI99" s="1012"/>
      <c r="EK99" s="1012"/>
      <c r="EM99" s="1012"/>
      <c r="EO99" s="1012"/>
      <c r="EQ99" s="1012"/>
      <c r="ES99" s="1012"/>
      <c r="EU99" s="1012"/>
      <c r="EW99" s="1012"/>
      <c r="EY99" s="1012"/>
      <c r="FA99" s="1012"/>
      <c r="FC99" s="1012"/>
      <c r="FE99" s="1012"/>
      <c r="FG99" s="1012"/>
      <c r="FH99" s="37"/>
      <c r="FI99" s="37"/>
      <c r="FK99" s="1013"/>
      <c r="FL99" s="1012"/>
      <c r="FM99" s="1012"/>
      <c r="FN99" s="1012"/>
      <c r="FP99" s="1014"/>
      <c r="FQ99" s="1014"/>
      <c r="FR99" s="1014"/>
      <c r="FS99" s="1014"/>
      <c r="FT99" s="1014"/>
      <c r="FU99" s="1014"/>
      <c r="FV99" s="1014"/>
      <c r="FW99" s="1014"/>
      <c r="FX99" s="1014"/>
      <c r="FY99" s="1014"/>
      <c r="FZ99" s="1014"/>
      <c r="GA99" s="1014"/>
      <c r="GB99" s="1014"/>
      <c r="GC99" s="1014"/>
      <c r="GD99" s="1014"/>
      <c r="GE99" s="1014"/>
      <c r="GF99" s="1014"/>
      <c r="GG99" s="1014"/>
      <c r="GH99" s="1014"/>
      <c r="GI99" s="1014"/>
      <c r="GJ99" s="1014"/>
      <c r="GK99" s="1014"/>
      <c r="GL99" s="1014"/>
      <c r="GM99" s="1014"/>
      <c r="GN99" s="1014"/>
      <c r="GO99" s="1014"/>
      <c r="GP99" s="1014"/>
      <c r="GQ99" s="1014"/>
      <c r="GR99" s="1014"/>
      <c r="GS99" s="1014"/>
      <c r="GT99" s="1014"/>
      <c r="GU99" s="1014"/>
      <c r="GV99" s="1014"/>
      <c r="GW99" s="1014"/>
      <c r="GX99" s="1014"/>
      <c r="GY99" s="1014"/>
      <c r="GZ99" s="1014"/>
      <c r="HA99" s="1014"/>
      <c r="HB99" s="1014"/>
      <c r="HC99" s="1014"/>
      <c r="HD99" s="1014"/>
      <c r="HE99" s="1014"/>
      <c r="HF99" s="1014"/>
      <c r="HG99" s="1014"/>
      <c r="HH99" s="1014"/>
      <c r="HI99" s="1014"/>
      <c r="HJ99" s="1014"/>
      <c r="HK99" s="1014"/>
      <c r="HL99" s="1014"/>
      <c r="HM99" s="1014"/>
      <c r="HN99" s="1014"/>
      <c r="HO99" s="1014"/>
      <c r="HP99" s="1014"/>
      <c r="HQ99" s="1014"/>
      <c r="HR99" s="1014"/>
      <c r="HS99" s="1014"/>
      <c r="HT99" s="1014"/>
      <c r="HU99" s="1014"/>
      <c r="HV99" s="1014"/>
    </row>
    <row r="100" spans="1:230" s="470" customFormat="1" ht="15" customHeight="1" outlineLevel="1" x14ac:dyDescent="0.25">
      <c r="A100" s="1031">
        <v>40858</v>
      </c>
      <c r="B100" s="1031"/>
      <c r="C100" s="471"/>
      <c r="D100" s="471"/>
      <c r="H100" s="1006"/>
      <c r="I100" s="37"/>
      <c r="J100" s="1006"/>
      <c r="K100" s="37"/>
      <c r="L100" s="1006"/>
      <c r="M100" s="37"/>
      <c r="N100" s="1006"/>
      <c r="O100" s="37"/>
      <c r="P100" s="1006"/>
      <c r="Q100" s="37"/>
      <c r="R100" s="1006"/>
      <c r="S100" s="37"/>
      <c r="T100" s="37"/>
      <c r="U100" s="37"/>
      <c r="V100" s="1006"/>
      <c r="W100" s="37"/>
      <c r="X100" s="1006"/>
      <c r="Y100" s="37"/>
      <c r="Z100" s="1006"/>
      <c r="AA100" s="37"/>
      <c r="AB100" s="1006"/>
      <c r="AC100" s="37"/>
      <c r="AD100" s="1006"/>
      <c r="AE100" s="37"/>
      <c r="AF100" s="1006"/>
      <c r="AG100" s="37"/>
      <c r="AH100" s="37"/>
      <c r="AI100" s="37"/>
      <c r="AJ100" s="1006"/>
      <c r="AK100" s="37"/>
      <c r="AL100" s="1006"/>
      <c r="AM100" s="37"/>
      <c r="AN100" s="1006"/>
      <c r="AO100" s="37"/>
      <c r="AP100" s="1006"/>
      <c r="AQ100" s="37"/>
      <c r="AR100" s="37"/>
      <c r="AS100" s="37"/>
      <c r="AT100" s="37"/>
      <c r="AU100" s="37"/>
      <c r="AV100" s="37"/>
      <c r="AW100" s="37"/>
      <c r="AX100" s="1006"/>
      <c r="AY100" s="37"/>
      <c r="AZ100" s="1006"/>
      <c r="BA100" s="37"/>
      <c r="BB100" s="1006"/>
      <c r="BC100" s="37"/>
      <c r="BD100" s="1006"/>
      <c r="BE100" s="37"/>
      <c r="BF100" s="1006"/>
      <c r="BG100" s="37"/>
      <c r="BH100" s="37"/>
      <c r="BI100" s="37"/>
      <c r="BJ100" s="37"/>
      <c r="BK100" s="37"/>
      <c r="BL100" s="1006"/>
      <c r="BM100" s="37"/>
      <c r="BN100" s="1006"/>
      <c r="BO100" s="37"/>
      <c r="BP100" s="1006"/>
      <c r="BQ100" s="37"/>
      <c r="BR100" s="1006"/>
      <c r="BS100" s="37"/>
      <c r="BT100" s="1006"/>
      <c r="BU100" s="1006"/>
      <c r="BV100" s="1006"/>
      <c r="BW100" s="1006"/>
      <c r="BX100" s="37"/>
      <c r="BY100" s="37"/>
      <c r="BZ100" s="1006"/>
      <c r="CA100" s="37"/>
      <c r="CB100" s="1006"/>
      <c r="CC100" s="37"/>
      <c r="CD100" s="1006"/>
      <c r="CE100" s="37"/>
      <c r="CF100" s="1006"/>
      <c r="CG100" s="37"/>
      <c r="CH100" s="1006"/>
      <c r="CI100" s="1006"/>
      <c r="CJ100" s="1006"/>
      <c r="CK100" s="1006"/>
      <c r="CL100" s="37"/>
      <c r="CM100" s="37"/>
      <c r="CO100" s="1011"/>
      <c r="CQ100" s="1012"/>
      <c r="CS100" s="1012"/>
      <c r="CU100" s="1012"/>
      <c r="CW100" s="1012"/>
      <c r="CY100" s="1012"/>
      <c r="DA100" s="1012"/>
      <c r="DC100" s="1012"/>
      <c r="DE100" s="1012"/>
      <c r="DG100" s="1012"/>
      <c r="DI100" s="1012"/>
      <c r="DK100" s="1012"/>
      <c r="DM100" s="1012"/>
      <c r="DO100" s="1012"/>
      <c r="DQ100" s="1012"/>
      <c r="DS100" s="1012"/>
      <c r="DU100" s="1012"/>
      <c r="DW100" s="1012"/>
      <c r="DY100" s="1012"/>
      <c r="EA100" s="1012"/>
      <c r="EC100" s="1012"/>
      <c r="EE100" s="1012"/>
      <c r="EG100" s="1012"/>
      <c r="EI100" s="1012"/>
      <c r="EK100" s="1012"/>
      <c r="EM100" s="1012"/>
      <c r="EO100" s="1012"/>
      <c r="EQ100" s="1012"/>
      <c r="ES100" s="1012"/>
      <c r="EU100" s="1012"/>
      <c r="EW100" s="1012"/>
      <c r="EY100" s="1012"/>
      <c r="FA100" s="1012"/>
      <c r="FC100" s="1012"/>
      <c r="FE100" s="1012"/>
      <c r="FG100" s="1012"/>
      <c r="FH100" s="37"/>
      <c r="FI100" s="37"/>
      <c r="FK100" s="1013"/>
      <c r="FL100" s="1012"/>
      <c r="FM100" s="1012"/>
      <c r="FN100" s="1012"/>
      <c r="FP100" s="1014"/>
      <c r="FQ100" s="1014"/>
      <c r="FR100" s="1014"/>
      <c r="FS100" s="1014"/>
      <c r="FT100" s="1014"/>
      <c r="FU100" s="1014"/>
      <c r="FV100" s="1014"/>
      <c r="FW100" s="1014"/>
      <c r="FX100" s="1014"/>
      <c r="FY100" s="1014"/>
      <c r="FZ100" s="1014"/>
      <c r="GA100" s="1014"/>
      <c r="GB100" s="1014"/>
      <c r="GC100" s="1014"/>
      <c r="GD100" s="1014"/>
      <c r="GE100" s="1014"/>
      <c r="GF100" s="1014"/>
      <c r="GG100" s="1014"/>
      <c r="GH100" s="1014"/>
      <c r="GI100" s="1014"/>
      <c r="GJ100" s="1014"/>
      <c r="GK100" s="1014"/>
      <c r="GL100" s="1014"/>
      <c r="GM100" s="1014"/>
      <c r="GN100" s="1014"/>
      <c r="GO100" s="1014"/>
      <c r="GP100" s="1014"/>
      <c r="GQ100" s="1014"/>
      <c r="GR100" s="1014"/>
      <c r="GS100" s="1014"/>
      <c r="GT100" s="1014"/>
      <c r="GU100" s="1014"/>
      <c r="GV100" s="1014"/>
      <c r="GW100" s="1014"/>
      <c r="GX100" s="1014"/>
      <c r="GY100" s="1014"/>
      <c r="GZ100" s="1014"/>
      <c r="HA100" s="1014"/>
      <c r="HB100" s="1014"/>
      <c r="HC100" s="1014"/>
      <c r="HD100" s="1014"/>
      <c r="HE100" s="1014"/>
      <c r="HF100" s="1014"/>
      <c r="HG100" s="1014"/>
      <c r="HH100" s="1014"/>
      <c r="HI100" s="1014"/>
      <c r="HJ100" s="1014"/>
      <c r="HK100" s="1014"/>
      <c r="HL100" s="1014"/>
      <c r="HM100" s="1014"/>
      <c r="HN100" s="1014"/>
      <c r="HO100" s="1014"/>
      <c r="HP100" s="1014"/>
      <c r="HQ100" s="1014"/>
      <c r="HR100" s="1014"/>
      <c r="HS100" s="1014"/>
      <c r="HT100" s="1014"/>
      <c r="HU100" s="1014"/>
      <c r="HV100" s="1014"/>
    </row>
    <row r="101" spans="1:230" s="470" customFormat="1" ht="15" customHeight="1" outlineLevel="1" x14ac:dyDescent="0.25">
      <c r="A101" s="1031">
        <v>40871</v>
      </c>
      <c r="B101" s="1031"/>
      <c r="C101" s="471"/>
      <c r="D101" s="471"/>
      <c r="H101" s="1006"/>
      <c r="I101" s="37"/>
      <c r="J101" s="1006"/>
      <c r="K101" s="37"/>
      <c r="L101" s="1006"/>
      <c r="M101" s="37"/>
      <c r="N101" s="1006"/>
      <c r="O101" s="37"/>
      <c r="P101" s="1006"/>
      <c r="Q101" s="37"/>
      <c r="R101" s="1006"/>
      <c r="S101" s="37"/>
      <c r="T101" s="37"/>
      <c r="U101" s="37"/>
      <c r="V101" s="1006"/>
      <c r="W101" s="37"/>
      <c r="X101" s="1006"/>
      <c r="Y101" s="37"/>
      <c r="Z101" s="1006"/>
      <c r="AA101" s="37"/>
      <c r="AB101" s="1006"/>
      <c r="AC101" s="37"/>
      <c r="AD101" s="1006"/>
      <c r="AE101" s="37"/>
      <c r="AF101" s="1006"/>
      <c r="AG101" s="37"/>
      <c r="AH101" s="37"/>
      <c r="AI101" s="37"/>
      <c r="AJ101" s="1006"/>
      <c r="AK101" s="37"/>
      <c r="AL101" s="1006"/>
      <c r="AM101" s="37"/>
      <c r="AN101" s="1006"/>
      <c r="AO101" s="37"/>
      <c r="AP101" s="1006"/>
      <c r="AQ101" s="37"/>
      <c r="AR101" s="37"/>
      <c r="AS101" s="37"/>
      <c r="AT101" s="37"/>
      <c r="AU101" s="37"/>
      <c r="AV101" s="37"/>
      <c r="AW101" s="37"/>
      <c r="AX101" s="1006"/>
      <c r="AY101" s="37"/>
      <c r="AZ101" s="1006"/>
      <c r="BA101" s="37"/>
      <c r="BB101" s="1006"/>
      <c r="BC101" s="37"/>
      <c r="BD101" s="1006"/>
      <c r="BE101" s="37"/>
      <c r="BF101" s="1006"/>
      <c r="BG101" s="37"/>
      <c r="BH101" s="37"/>
      <c r="BI101" s="37"/>
      <c r="BJ101" s="37"/>
      <c r="BK101" s="37"/>
      <c r="BL101" s="1006"/>
      <c r="BM101" s="37"/>
      <c r="BN101" s="1006"/>
      <c r="BO101" s="37"/>
      <c r="BP101" s="1006"/>
      <c r="BQ101" s="37"/>
      <c r="BR101" s="1006"/>
      <c r="BS101" s="37"/>
      <c r="BT101" s="1006"/>
      <c r="BU101" s="1006"/>
      <c r="BV101" s="1006"/>
      <c r="BW101" s="1006"/>
      <c r="BX101" s="37"/>
      <c r="BY101" s="37"/>
      <c r="BZ101" s="1006"/>
      <c r="CA101" s="37"/>
      <c r="CB101" s="1006"/>
      <c r="CC101" s="37"/>
      <c r="CD101" s="1006"/>
      <c r="CE101" s="37"/>
      <c r="CF101" s="1006"/>
      <c r="CG101" s="37"/>
      <c r="CH101" s="1006"/>
      <c r="CI101" s="1006"/>
      <c r="CJ101" s="1006"/>
      <c r="CK101" s="1006"/>
      <c r="CL101" s="37"/>
      <c r="CM101" s="37"/>
      <c r="CO101" s="1011"/>
      <c r="CQ101" s="1012"/>
      <c r="CS101" s="1012"/>
      <c r="CU101" s="1012"/>
      <c r="CW101" s="1012"/>
      <c r="CY101" s="1012"/>
      <c r="DA101" s="1012"/>
      <c r="DC101" s="1012"/>
      <c r="DE101" s="1012"/>
      <c r="DG101" s="1012"/>
      <c r="DI101" s="1012"/>
      <c r="DK101" s="1012"/>
      <c r="DM101" s="1012"/>
      <c r="DO101" s="1012"/>
      <c r="DQ101" s="1012"/>
      <c r="DS101" s="1012"/>
      <c r="DU101" s="1012"/>
      <c r="DW101" s="1012"/>
      <c r="DY101" s="1012"/>
      <c r="EA101" s="1012"/>
      <c r="EC101" s="1012"/>
      <c r="EE101" s="1012"/>
      <c r="EG101" s="1012"/>
      <c r="EI101" s="1012"/>
      <c r="EK101" s="1012"/>
      <c r="EM101" s="1012"/>
      <c r="EO101" s="1012"/>
      <c r="EQ101" s="1012"/>
      <c r="ES101" s="1012"/>
      <c r="EU101" s="1012"/>
      <c r="EW101" s="1012"/>
      <c r="EY101" s="1012"/>
      <c r="FA101" s="1012"/>
      <c r="FC101" s="1012"/>
      <c r="FE101" s="1012"/>
      <c r="FG101" s="1012"/>
      <c r="FH101" s="37"/>
      <c r="FI101" s="37"/>
      <c r="FK101" s="1013"/>
      <c r="FL101" s="1012"/>
      <c r="FM101" s="1012"/>
      <c r="FN101" s="1012"/>
      <c r="FP101" s="1014"/>
      <c r="FQ101" s="1014"/>
      <c r="FR101" s="1014"/>
      <c r="FS101" s="1014"/>
      <c r="FT101" s="1014"/>
      <c r="FU101" s="1014"/>
      <c r="FV101" s="1014"/>
      <c r="FW101" s="1014"/>
      <c r="FX101" s="1014"/>
      <c r="FY101" s="1014"/>
      <c r="FZ101" s="1014"/>
      <c r="GA101" s="1014"/>
      <c r="GB101" s="1014"/>
      <c r="GC101" s="1014"/>
      <c r="GD101" s="1014"/>
      <c r="GE101" s="1014"/>
      <c r="GF101" s="1014"/>
      <c r="GG101" s="1014"/>
      <c r="GH101" s="1014"/>
      <c r="GI101" s="1014"/>
      <c r="GJ101" s="1014"/>
      <c r="GK101" s="1014"/>
      <c r="GL101" s="1014"/>
      <c r="GM101" s="1014"/>
      <c r="GN101" s="1014"/>
      <c r="GO101" s="1014"/>
      <c r="GP101" s="1014"/>
      <c r="GQ101" s="1014"/>
      <c r="GR101" s="1014"/>
      <c r="GS101" s="1014"/>
      <c r="GT101" s="1014"/>
      <c r="GU101" s="1014"/>
      <c r="GV101" s="1014"/>
      <c r="GW101" s="1014"/>
      <c r="GX101" s="1014"/>
      <c r="GY101" s="1014"/>
      <c r="GZ101" s="1014"/>
      <c r="HA101" s="1014"/>
      <c r="HB101" s="1014"/>
      <c r="HC101" s="1014"/>
      <c r="HD101" s="1014"/>
      <c r="HE101" s="1014"/>
      <c r="HF101" s="1014"/>
      <c r="HG101" s="1014"/>
      <c r="HH101" s="1014"/>
      <c r="HI101" s="1014"/>
      <c r="HJ101" s="1014"/>
      <c r="HK101" s="1014"/>
      <c r="HL101" s="1014"/>
      <c r="HM101" s="1014"/>
      <c r="HN101" s="1014"/>
      <c r="HO101" s="1014"/>
      <c r="HP101" s="1014"/>
      <c r="HQ101" s="1014"/>
      <c r="HR101" s="1014"/>
      <c r="HS101" s="1014"/>
      <c r="HT101" s="1014"/>
      <c r="HU101" s="1014"/>
      <c r="HV101" s="1014"/>
    </row>
    <row r="102" spans="1:230" s="470" customFormat="1" ht="15" customHeight="1" outlineLevel="1" x14ac:dyDescent="0.25">
      <c r="A102" s="1031">
        <v>40872</v>
      </c>
      <c r="B102" s="1031"/>
      <c r="C102" s="471"/>
      <c r="D102" s="471"/>
      <c r="H102" s="1006"/>
      <c r="I102" s="37"/>
      <c r="J102" s="1006"/>
      <c r="K102" s="37"/>
      <c r="L102" s="1006"/>
      <c r="M102" s="37"/>
      <c r="N102" s="1006"/>
      <c r="O102" s="37"/>
      <c r="P102" s="1006"/>
      <c r="Q102" s="37"/>
      <c r="R102" s="1006"/>
      <c r="S102" s="37"/>
      <c r="T102" s="37"/>
      <c r="U102" s="37"/>
      <c r="V102" s="1006"/>
      <c r="W102" s="37"/>
      <c r="X102" s="1006"/>
      <c r="Y102" s="37"/>
      <c r="Z102" s="1006"/>
      <c r="AA102" s="37"/>
      <c r="AB102" s="1006"/>
      <c r="AC102" s="37"/>
      <c r="AD102" s="1006"/>
      <c r="AE102" s="37"/>
      <c r="AF102" s="1006"/>
      <c r="AG102" s="37"/>
      <c r="AH102" s="37"/>
      <c r="AI102" s="37"/>
      <c r="AJ102" s="1006"/>
      <c r="AK102" s="37"/>
      <c r="AL102" s="1006"/>
      <c r="AM102" s="37"/>
      <c r="AN102" s="1006"/>
      <c r="AO102" s="37"/>
      <c r="AP102" s="1006"/>
      <c r="AQ102" s="37"/>
      <c r="AR102" s="37"/>
      <c r="AS102" s="37"/>
      <c r="AT102" s="37"/>
      <c r="AU102" s="37"/>
      <c r="AV102" s="37"/>
      <c r="AW102" s="37"/>
      <c r="AX102" s="1006"/>
      <c r="AY102" s="37"/>
      <c r="AZ102" s="1006"/>
      <c r="BA102" s="37"/>
      <c r="BB102" s="1006"/>
      <c r="BC102" s="37"/>
      <c r="BD102" s="1006"/>
      <c r="BE102" s="37"/>
      <c r="BF102" s="1006"/>
      <c r="BG102" s="37"/>
      <c r="BH102" s="37"/>
      <c r="BI102" s="37"/>
      <c r="BJ102" s="37"/>
      <c r="BK102" s="37"/>
      <c r="BL102" s="1006"/>
      <c r="BM102" s="37"/>
      <c r="BN102" s="1006"/>
      <c r="BO102" s="37"/>
      <c r="BP102" s="1006"/>
      <c r="BQ102" s="37"/>
      <c r="BR102" s="1006"/>
      <c r="BS102" s="37"/>
      <c r="BT102" s="1006"/>
      <c r="BU102" s="1006"/>
      <c r="BV102" s="1006"/>
      <c r="BW102" s="1006"/>
      <c r="BX102" s="37"/>
      <c r="BY102" s="37"/>
      <c r="BZ102" s="1006"/>
      <c r="CA102" s="37"/>
      <c r="CB102" s="1006"/>
      <c r="CC102" s="37"/>
      <c r="CD102" s="1006"/>
      <c r="CE102" s="37"/>
      <c r="CF102" s="1006"/>
      <c r="CG102" s="37"/>
      <c r="CH102" s="1006"/>
      <c r="CI102" s="1006"/>
      <c r="CJ102" s="1006"/>
      <c r="CK102" s="1006"/>
      <c r="CL102" s="37"/>
      <c r="CM102" s="37"/>
      <c r="CO102" s="1011"/>
      <c r="CQ102" s="1012"/>
      <c r="CS102" s="1012"/>
      <c r="CU102" s="1012"/>
      <c r="CW102" s="1012"/>
      <c r="CY102" s="1012"/>
      <c r="DA102" s="1012"/>
      <c r="DC102" s="1012"/>
      <c r="DE102" s="1012"/>
      <c r="DG102" s="1012"/>
      <c r="DI102" s="1012"/>
      <c r="DK102" s="1012"/>
      <c r="DM102" s="1012"/>
      <c r="DO102" s="1012"/>
      <c r="DQ102" s="1012"/>
      <c r="DS102" s="1012"/>
      <c r="DU102" s="1012"/>
      <c r="DW102" s="1012"/>
      <c r="DY102" s="1012"/>
      <c r="EA102" s="1012"/>
      <c r="EC102" s="1012"/>
      <c r="EE102" s="1012"/>
      <c r="EG102" s="1012"/>
      <c r="EI102" s="1012"/>
      <c r="EK102" s="1012"/>
      <c r="EM102" s="1012"/>
      <c r="EO102" s="1012"/>
      <c r="EQ102" s="1012"/>
      <c r="ES102" s="1012"/>
      <c r="EU102" s="1012"/>
      <c r="EW102" s="1012"/>
      <c r="EY102" s="1012"/>
      <c r="FA102" s="1012"/>
      <c r="FC102" s="1012"/>
      <c r="FE102" s="1012"/>
      <c r="FG102" s="1012"/>
      <c r="FH102" s="37"/>
      <c r="FI102" s="37"/>
      <c r="FK102" s="1013"/>
      <c r="FL102" s="1012"/>
      <c r="FM102" s="1012"/>
      <c r="FN102" s="1012"/>
      <c r="FP102" s="1014"/>
      <c r="FQ102" s="1014"/>
      <c r="FR102" s="1014"/>
      <c r="FS102" s="1014"/>
      <c r="FT102" s="1014"/>
      <c r="FU102" s="1014"/>
      <c r="FV102" s="1014"/>
      <c r="FW102" s="1014"/>
      <c r="FX102" s="1014"/>
      <c r="FY102" s="1014"/>
      <c r="FZ102" s="1014"/>
      <c r="GA102" s="1014"/>
      <c r="GB102" s="1014"/>
      <c r="GC102" s="1014"/>
      <c r="GD102" s="1014"/>
      <c r="GE102" s="1014"/>
      <c r="GF102" s="1014"/>
      <c r="GG102" s="1014"/>
      <c r="GH102" s="1014"/>
      <c r="GI102" s="1014"/>
      <c r="GJ102" s="1014"/>
      <c r="GK102" s="1014"/>
      <c r="GL102" s="1014"/>
      <c r="GM102" s="1014"/>
      <c r="GN102" s="1014"/>
      <c r="GO102" s="1014"/>
      <c r="GP102" s="1014"/>
      <c r="GQ102" s="1014"/>
      <c r="GR102" s="1014"/>
      <c r="GS102" s="1014"/>
      <c r="GT102" s="1014"/>
      <c r="GU102" s="1014"/>
      <c r="GV102" s="1014"/>
      <c r="GW102" s="1014"/>
      <c r="GX102" s="1014"/>
      <c r="GY102" s="1014"/>
      <c r="GZ102" s="1014"/>
      <c r="HA102" s="1014"/>
      <c r="HB102" s="1014"/>
      <c r="HC102" s="1014"/>
      <c r="HD102" s="1014"/>
      <c r="HE102" s="1014"/>
      <c r="HF102" s="1014"/>
      <c r="HG102" s="1014"/>
      <c r="HH102" s="1014"/>
      <c r="HI102" s="1014"/>
      <c r="HJ102" s="1014"/>
      <c r="HK102" s="1014"/>
      <c r="HL102" s="1014"/>
      <c r="HM102" s="1014"/>
      <c r="HN102" s="1014"/>
      <c r="HO102" s="1014"/>
      <c r="HP102" s="1014"/>
      <c r="HQ102" s="1014"/>
      <c r="HR102" s="1014"/>
      <c r="HS102" s="1014"/>
      <c r="HT102" s="1014"/>
      <c r="HU102" s="1014"/>
      <c r="HV102" s="1014"/>
    </row>
    <row r="103" spans="1:230" s="470" customFormat="1" ht="15" customHeight="1" outlineLevel="1" x14ac:dyDescent="0.25">
      <c r="A103" s="1043">
        <v>40903</v>
      </c>
      <c r="B103" s="1031"/>
      <c r="C103" s="471"/>
      <c r="D103" s="471"/>
      <c r="H103" s="1006"/>
      <c r="I103" s="37"/>
      <c r="J103" s="1006"/>
      <c r="K103" s="37"/>
      <c r="L103" s="1006"/>
      <c r="M103" s="37"/>
      <c r="N103" s="1006"/>
      <c r="O103" s="37"/>
      <c r="P103" s="1006"/>
      <c r="Q103" s="37"/>
      <c r="R103" s="1006"/>
      <c r="S103" s="37"/>
      <c r="T103" s="37"/>
      <c r="U103" s="37"/>
      <c r="V103" s="1006"/>
      <c r="W103" s="37"/>
      <c r="X103" s="1006"/>
      <c r="Y103" s="37"/>
      <c r="Z103" s="1006"/>
      <c r="AA103" s="37"/>
      <c r="AB103" s="1006"/>
      <c r="AC103" s="37"/>
      <c r="AD103" s="1006"/>
      <c r="AE103" s="37"/>
      <c r="AF103" s="1006"/>
      <c r="AG103" s="37"/>
      <c r="AH103" s="37"/>
      <c r="AI103" s="37"/>
      <c r="AJ103" s="1006"/>
      <c r="AK103" s="37"/>
      <c r="AL103" s="1006"/>
      <c r="AM103" s="37"/>
      <c r="AN103" s="1006"/>
      <c r="AO103" s="37"/>
      <c r="AP103" s="1006"/>
      <c r="AQ103" s="37"/>
      <c r="AR103" s="37"/>
      <c r="AS103" s="37"/>
      <c r="AT103" s="37"/>
      <c r="AU103" s="37"/>
      <c r="AV103" s="37"/>
      <c r="AW103" s="37"/>
      <c r="AX103" s="1006"/>
      <c r="AY103" s="37"/>
      <c r="AZ103" s="1006"/>
      <c r="BA103" s="37"/>
      <c r="BB103" s="1006"/>
      <c r="BC103" s="37"/>
      <c r="BD103" s="1006"/>
      <c r="BE103" s="37"/>
      <c r="BF103" s="1006"/>
      <c r="BG103" s="37"/>
      <c r="BH103" s="37"/>
      <c r="BI103" s="37"/>
      <c r="BJ103" s="37"/>
      <c r="BK103" s="37"/>
      <c r="BL103" s="1006"/>
      <c r="BM103" s="37"/>
      <c r="BN103" s="1006"/>
      <c r="BO103" s="37"/>
      <c r="BP103" s="1006"/>
      <c r="BQ103" s="37"/>
      <c r="BR103" s="1006"/>
      <c r="BS103" s="37"/>
      <c r="BT103" s="1006"/>
      <c r="BU103" s="1006"/>
      <c r="BV103" s="1006"/>
      <c r="BW103" s="1006"/>
      <c r="BX103" s="37"/>
      <c r="BY103" s="37"/>
      <c r="BZ103" s="1006"/>
      <c r="CA103" s="37"/>
      <c r="CB103" s="1006"/>
      <c r="CC103" s="37"/>
      <c r="CD103" s="1006"/>
      <c r="CE103" s="37"/>
      <c r="CF103" s="1006"/>
      <c r="CG103" s="37"/>
      <c r="CH103" s="1006"/>
      <c r="CI103" s="1006"/>
      <c r="CJ103" s="1006"/>
      <c r="CK103" s="1006"/>
      <c r="CL103" s="37"/>
      <c r="CM103" s="37"/>
      <c r="CO103" s="1011"/>
      <c r="CQ103" s="1012"/>
      <c r="CS103" s="1012"/>
      <c r="CU103" s="1012"/>
      <c r="CW103" s="1012"/>
      <c r="CY103" s="1012"/>
      <c r="DA103" s="1012"/>
      <c r="DC103" s="1012"/>
      <c r="DE103" s="1012"/>
      <c r="DG103" s="1012"/>
      <c r="DI103" s="1012"/>
      <c r="DK103" s="1012"/>
      <c r="DM103" s="1012"/>
      <c r="DO103" s="1012"/>
      <c r="DQ103" s="1012"/>
      <c r="DS103" s="1012"/>
      <c r="DU103" s="1012"/>
      <c r="DW103" s="1012"/>
      <c r="DY103" s="1012"/>
      <c r="EA103" s="1012"/>
      <c r="EC103" s="1012"/>
      <c r="EE103" s="1012"/>
      <c r="EG103" s="1012"/>
      <c r="EI103" s="1012"/>
      <c r="EK103" s="1012"/>
      <c r="EM103" s="1012"/>
      <c r="EO103" s="1012"/>
      <c r="EQ103" s="1012"/>
      <c r="ES103" s="1012"/>
      <c r="EU103" s="1012"/>
      <c r="EW103" s="1012"/>
      <c r="EY103" s="1012"/>
      <c r="FA103" s="1012"/>
      <c r="FC103" s="1012"/>
      <c r="FE103" s="1012"/>
      <c r="FG103" s="1012"/>
      <c r="FH103" s="37"/>
      <c r="FI103" s="37"/>
      <c r="FK103" s="1013"/>
      <c r="FL103" s="1012"/>
      <c r="FM103" s="1012"/>
      <c r="FN103" s="1012"/>
      <c r="FP103" s="1014"/>
      <c r="FQ103" s="1014"/>
      <c r="FR103" s="1014"/>
      <c r="FS103" s="1014"/>
      <c r="FT103" s="1014"/>
      <c r="FU103" s="1014"/>
      <c r="FV103" s="1014"/>
      <c r="FW103" s="1014"/>
      <c r="FX103" s="1014"/>
      <c r="FY103" s="1014"/>
      <c r="FZ103" s="1014"/>
      <c r="GA103" s="1014"/>
      <c r="GB103" s="1014"/>
      <c r="GC103" s="1014"/>
      <c r="GD103" s="1014"/>
      <c r="GE103" s="1014"/>
      <c r="GF103" s="1014"/>
      <c r="GG103" s="1014"/>
      <c r="GH103" s="1014"/>
      <c r="GI103" s="1014"/>
      <c r="GJ103" s="1014"/>
      <c r="GK103" s="1014"/>
      <c r="GL103" s="1014"/>
      <c r="GM103" s="1014"/>
      <c r="GN103" s="1014"/>
      <c r="GO103" s="1014"/>
      <c r="GP103" s="1014"/>
      <c r="GQ103" s="1014"/>
      <c r="GR103" s="1014"/>
      <c r="GS103" s="1014"/>
      <c r="GT103" s="1014"/>
      <c r="GU103" s="1014"/>
      <c r="GV103" s="1014"/>
      <c r="GW103" s="1014"/>
      <c r="GX103" s="1014"/>
      <c r="GY103" s="1014"/>
      <c r="GZ103" s="1014"/>
      <c r="HA103" s="1014"/>
      <c r="HB103" s="1014"/>
      <c r="HC103" s="1014"/>
      <c r="HD103" s="1014"/>
      <c r="HE103" s="1014"/>
      <c r="HF103" s="1014"/>
      <c r="HG103" s="1014"/>
      <c r="HH103" s="1014"/>
      <c r="HI103" s="1014"/>
      <c r="HJ103" s="1014"/>
      <c r="HK103" s="1014"/>
      <c r="HL103" s="1014"/>
      <c r="HM103" s="1014"/>
      <c r="HN103" s="1014"/>
      <c r="HO103" s="1014"/>
      <c r="HP103" s="1014"/>
      <c r="HQ103" s="1014"/>
      <c r="HR103" s="1014"/>
      <c r="HS103" s="1014"/>
      <c r="HT103" s="1014"/>
      <c r="HU103" s="1014"/>
      <c r="HV103" s="1014"/>
    </row>
    <row r="104" spans="1:230" s="470" customFormat="1" ht="15" customHeight="1" outlineLevel="1" x14ac:dyDescent="0.25">
      <c r="A104" s="1031">
        <v>40904</v>
      </c>
      <c r="B104" s="1031"/>
      <c r="C104" s="471"/>
      <c r="D104" s="471"/>
      <c r="H104" s="1006"/>
      <c r="I104" s="37"/>
      <c r="J104" s="1006"/>
      <c r="K104" s="37"/>
      <c r="L104" s="1006"/>
      <c r="M104" s="37"/>
      <c r="N104" s="1006"/>
      <c r="O104" s="37"/>
      <c r="P104" s="1006"/>
      <c r="Q104" s="37"/>
      <c r="R104" s="1006"/>
      <c r="S104" s="37"/>
      <c r="T104" s="37"/>
      <c r="U104" s="37"/>
      <c r="V104" s="1006"/>
      <c r="W104" s="37"/>
      <c r="X104" s="1006"/>
      <c r="Y104" s="37"/>
      <c r="Z104" s="1006"/>
      <c r="AA104" s="37"/>
      <c r="AB104" s="1006"/>
      <c r="AC104" s="37"/>
      <c r="AD104" s="1006"/>
      <c r="AE104" s="37"/>
      <c r="AF104" s="1006"/>
      <c r="AG104" s="37"/>
      <c r="AH104" s="37"/>
      <c r="AI104" s="37"/>
      <c r="AJ104" s="1006"/>
      <c r="AK104" s="37"/>
      <c r="AL104" s="1006"/>
      <c r="AM104" s="37"/>
      <c r="AN104" s="1006"/>
      <c r="AO104" s="37"/>
      <c r="AP104" s="1006"/>
      <c r="AQ104" s="37"/>
      <c r="AR104" s="37"/>
      <c r="AS104" s="37"/>
      <c r="AT104" s="37"/>
      <c r="AU104" s="37"/>
      <c r="AV104" s="37"/>
      <c r="AW104" s="37"/>
      <c r="AX104" s="1006"/>
      <c r="AY104" s="37"/>
      <c r="AZ104" s="1006"/>
      <c r="BA104" s="37"/>
      <c r="BB104" s="1006"/>
      <c r="BC104" s="37"/>
      <c r="BD104" s="1006"/>
      <c r="BE104" s="37"/>
      <c r="BF104" s="1006"/>
      <c r="BG104" s="37"/>
      <c r="BH104" s="37"/>
      <c r="BI104" s="37"/>
      <c r="BJ104" s="37"/>
      <c r="BK104" s="37"/>
      <c r="BL104" s="1006"/>
      <c r="BM104" s="37"/>
      <c r="BN104" s="1006"/>
      <c r="BO104" s="37"/>
      <c r="BP104" s="1006"/>
      <c r="BQ104" s="37"/>
      <c r="BR104" s="1006"/>
      <c r="BS104" s="37"/>
      <c r="BT104" s="1006"/>
      <c r="BU104" s="1006"/>
      <c r="BV104" s="1006"/>
      <c r="BW104" s="1006"/>
      <c r="BX104" s="37"/>
      <c r="BY104" s="37"/>
      <c r="BZ104" s="1006"/>
      <c r="CA104" s="37"/>
      <c r="CB104" s="1006"/>
      <c r="CC104" s="37"/>
      <c r="CD104" s="1006"/>
      <c r="CE104" s="37"/>
      <c r="CF104" s="1006"/>
      <c r="CG104" s="37"/>
      <c r="CH104" s="1006"/>
      <c r="CI104" s="1006"/>
      <c r="CJ104" s="1006"/>
      <c r="CK104" s="1006"/>
      <c r="CL104" s="37"/>
      <c r="CM104" s="37"/>
      <c r="CO104" s="1011"/>
      <c r="CQ104" s="1012"/>
      <c r="CS104" s="1012"/>
      <c r="CU104" s="1012"/>
      <c r="CW104" s="1012"/>
      <c r="CY104" s="1012"/>
      <c r="DA104" s="1012"/>
      <c r="DC104" s="1012"/>
      <c r="DE104" s="1012"/>
      <c r="DG104" s="1012"/>
      <c r="DI104" s="1012"/>
      <c r="DK104" s="1012"/>
      <c r="DM104" s="1012"/>
      <c r="DO104" s="1012"/>
      <c r="DQ104" s="1012"/>
      <c r="DS104" s="1012"/>
      <c r="DU104" s="1012"/>
      <c r="DW104" s="1012"/>
      <c r="DY104" s="1012"/>
      <c r="EA104" s="1012"/>
      <c r="EC104" s="1012"/>
      <c r="EE104" s="1012"/>
      <c r="EG104" s="1012"/>
      <c r="EI104" s="1012"/>
      <c r="EK104" s="1012"/>
      <c r="EM104" s="1012"/>
      <c r="EO104" s="1012"/>
      <c r="EQ104" s="1012"/>
      <c r="ES104" s="1012"/>
      <c r="EU104" s="1012"/>
      <c r="EW104" s="1012"/>
      <c r="EY104" s="1012"/>
      <c r="FA104" s="1012"/>
      <c r="FC104" s="1012"/>
      <c r="FE104" s="1012"/>
      <c r="FG104" s="1012"/>
      <c r="FH104" s="37"/>
      <c r="FI104" s="37"/>
      <c r="FK104" s="1013"/>
      <c r="FL104" s="1012"/>
      <c r="FM104" s="1012"/>
      <c r="FN104" s="1012"/>
      <c r="FP104" s="1014"/>
      <c r="FQ104" s="1014"/>
      <c r="FR104" s="1014"/>
      <c r="FS104" s="1014"/>
      <c r="FT104" s="1014"/>
      <c r="FU104" s="1014"/>
      <c r="FV104" s="1014"/>
      <c r="FW104" s="1014"/>
      <c r="FX104" s="1014"/>
      <c r="FY104" s="1014"/>
      <c r="FZ104" s="1014"/>
      <c r="GA104" s="1014"/>
      <c r="GB104" s="1014"/>
      <c r="GC104" s="1014"/>
      <c r="GD104" s="1014"/>
      <c r="GE104" s="1014"/>
      <c r="GF104" s="1014"/>
      <c r="GG104" s="1014"/>
      <c r="GH104" s="1014"/>
      <c r="GI104" s="1014"/>
      <c r="GJ104" s="1014"/>
      <c r="GK104" s="1014"/>
      <c r="GL104" s="1014"/>
      <c r="GM104" s="1014"/>
      <c r="GN104" s="1014"/>
      <c r="GO104" s="1014"/>
      <c r="GP104" s="1014"/>
      <c r="GQ104" s="1014"/>
      <c r="GR104" s="1014"/>
      <c r="GS104" s="1014"/>
      <c r="GT104" s="1014"/>
      <c r="GU104" s="1014"/>
      <c r="GV104" s="1014"/>
      <c r="GW104" s="1014"/>
      <c r="GX104" s="1014"/>
      <c r="GY104" s="1014"/>
      <c r="GZ104" s="1014"/>
      <c r="HA104" s="1014"/>
      <c r="HB104" s="1014"/>
      <c r="HC104" s="1014"/>
      <c r="HD104" s="1014"/>
      <c r="HE104" s="1014"/>
      <c r="HF104" s="1014"/>
      <c r="HG104" s="1014"/>
      <c r="HH104" s="1014"/>
      <c r="HI104" s="1014"/>
      <c r="HJ104" s="1014"/>
      <c r="HK104" s="1014"/>
      <c r="HL104" s="1014"/>
      <c r="HM104" s="1014"/>
      <c r="HN104" s="1014"/>
      <c r="HO104" s="1014"/>
      <c r="HP104" s="1014"/>
      <c r="HQ104" s="1014"/>
      <c r="HR104" s="1014"/>
      <c r="HS104" s="1014"/>
      <c r="HT104" s="1014"/>
      <c r="HU104" s="1014"/>
      <c r="HV104" s="1014"/>
    </row>
    <row r="105" spans="1:230" s="470" customFormat="1" ht="15" customHeight="1" outlineLevel="1" x14ac:dyDescent="0.25">
      <c r="A105" s="1031">
        <v>40910</v>
      </c>
      <c r="B105" s="1031"/>
      <c r="C105" s="471"/>
      <c r="D105" s="471"/>
      <c r="H105" s="1006"/>
      <c r="I105" s="37"/>
      <c r="J105" s="1006"/>
      <c r="K105" s="37"/>
      <c r="L105" s="1006"/>
      <c r="M105" s="37"/>
      <c r="N105" s="1006"/>
      <c r="O105" s="37"/>
      <c r="P105" s="1006"/>
      <c r="Q105" s="37"/>
      <c r="R105" s="1006"/>
      <c r="S105" s="37"/>
      <c r="T105" s="37"/>
      <c r="U105" s="37"/>
      <c r="V105" s="1006"/>
      <c r="W105" s="37"/>
      <c r="X105" s="1006"/>
      <c r="Y105" s="37"/>
      <c r="Z105" s="1006"/>
      <c r="AA105" s="37"/>
      <c r="AB105" s="1006"/>
      <c r="AC105" s="37"/>
      <c r="AD105" s="1006"/>
      <c r="AE105" s="37"/>
      <c r="AF105" s="1006"/>
      <c r="AG105" s="37"/>
      <c r="AH105" s="37"/>
      <c r="AI105" s="37"/>
      <c r="AJ105" s="1006"/>
      <c r="AK105" s="37"/>
      <c r="AL105" s="1006"/>
      <c r="AM105" s="37"/>
      <c r="AN105" s="1006"/>
      <c r="AO105" s="37"/>
      <c r="AP105" s="1006"/>
      <c r="AQ105" s="37"/>
      <c r="AR105" s="37"/>
      <c r="AS105" s="37"/>
      <c r="AT105" s="37"/>
      <c r="AU105" s="37"/>
      <c r="AV105" s="37"/>
      <c r="AW105" s="37"/>
      <c r="AX105" s="1006"/>
      <c r="AY105" s="37"/>
      <c r="AZ105" s="1006"/>
      <c r="BA105" s="37"/>
      <c r="BB105" s="1006"/>
      <c r="BC105" s="37"/>
      <c r="BD105" s="1006"/>
      <c r="BE105" s="37"/>
      <c r="BF105" s="1006"/>
      <c r="BG105" s="37"/>
      <c r="BH105" s="37"/>
      <c r="BI105" s="37"/>
      <c r="BJ105" s="37"/>
      <c r="BK105" s="37"/>
      <c r="BL105" s="1006"/>
      <c r="BM105" s="37"/>
      <c r="BN105" s="1006"/>
      <c r="BO105" s="37"/>
      <c r="BP105" s="1006"/>
      <c r="BQ105" s="37"/>
      <c r="BR105" s="1006"/>
      <c r="BS105" s="37"/>
      <c r="BT105" s="1006"/>
      <c r="BU105" s="1006"/>
      <c r="BV105" s="1006"/>
      <c r="BW105" s="1006"/>
      <c r="BX105" s="37"/>
      <c r="BY105" s="37"/>
      <c r="BZ105" s="1006"/>
      <c r="CA105" s="37"/>
      <c r="CB105" s="1006"/>
      <c r="CC105" s="37"/>
      <c r="CD105" s="1006"/>
      <c r="CE105" s="37"/>
      <c r="CF105" s="1006"/>
      <c r="CG105" s="37"/>
      <c r="CH105" s="1006"/>
      <c r="CI105" s="1006"/>
      <c r="CJ105" s="1006"/>
      <c r="CK105" s="1006"/>
      <c r="CL105" s="37"/>
      <c r="CM105" s="37"/>
      <c r="CO105" s="1011"/>
      <c r="CQ105" s="1012"/>
      <c r="CS105" s="1012"/>
      <c r="CU105" s="1012"/>
      <c r="CW105" s="1012"/>
      <c r="CY105" s="1012"/>
      <c r="DA105" s="1012"/>
      <c r="DC105" s="1012"/>
      <c r="DE105" s="1012"/>
      <c r="DG105" s="1012"/>
      <c r="DI105" s="1012"/>
      <c r="DK105" s="1012"/>
      <c r="DM105" s="1012"/>
      <c r="DO105" s="1012"/>
      <c r="DQ105" s="1012"/>
      <c r="DS105" s="1012"/>
      <c r="DU105" s="1012"/>
      <c r="DW105" s="1012"/>
      <c r="DY105" s="1012"/>
      <c r="EA105" s="1012"/>
      <c r="EC105" s="1012"/>
      <c r="EE105" s="1012"/>
      <c r="EG105" s="1012"/>
      <c r="EI105" s="1012"/>
      <c r="EK105" s="1012"/>
      <c r="EM105" s="1012"/>
      <c r="EO105" s="1012"/>
      <c r="EQ105" s="1012"/>
      <c r="ES105" s="1012"/>
      <c r="EU105" s="1012"/>
      <c r="EW105" s="1012"/>
      <c r="EY105" s="1012"/>
      <c r="FA105" s="1012"/>
      <c r="FC105" s="1012"/>
      <c r="FE105" s="1012"/>
      <c r="FG105" s="1012"/>
      <c r="FH105" s="37"/>
      <c r="FI105" s="37"/>
      <c r="FK105" s="1013"/>
      <c r="FL105" s="1012"/>
      <c r="FM105" s="1012"/>
      <c r="FN105" s="1012"/>
      <c r="FP105" s="1014"/>
      <c r="FQ105" s="1014"/>
      <c r="FR105" s="1014"/>
      <c r="FS105" s="1014"/>
      <c r="FT105" s="1014"/>
      <c r="FU105" s="1014"/>
      <c r="FV105" s="1014"/>
      <c r="FW105" s="1014"/>
      <c r="FX105" s="1014"/>
      <c r="FY105" s="1014"/>
      <c r="FZ105" s="1014"/>
      <c r="GA105" s="1014"/>
      <c r="GB105" s="1014"/>
      <c r="GC105" s="1014"/>
      <c r="GD105" s="1014"/>
      <c r="GE105" s="1014"/>
      <c r="GF105" s="1014"/>
      <c r="GG105" s="1014"/>
      <c r="GH105" s="1014"/>
      <c r="GI105" s="1014"/>
      <c r="GJ105" s="1014"/>
      <c r="GK105" s="1014"/>
      <c r="GL105" s="1014"/>
      <c r="GM105" s="1014"/>
      <c r="GN105" s="1014"/>
      <c r="GO105" s="1014"/>
      <c r="GP105" s="1014"/>
      <c r="GQ105" s="1014"/>
      <c r="GR105" s="1014"/>
      <c r="GS105" s="1014"/>
      <c r="GT105" s="1014"/>
      <c r="GU105" s="1014"/>
      <c r="GV105" s="1014"/>
      <c r="GW105" s="1014"/>
      <c r="GX105" s="1014"/>
      <c r="GY105" s="1014"/>
      <c r="GZ105" s="1014"/>
      <c r="HA105" s="1014"/>
      <c r="HB105" s="1014"/>
      <c r="HC105" s="1014"/>
      <c r="HD105" s="1014"/>
      <c r="HE105" s="1014"/>
      <c r="HF105" s="1014"/>
      <c r="HG105" s="1014"/>
      <c r="HH105" s="1014"/>
      <c r="HI105" s="1014"/>
      <c r="HJ105" s="1014"/>
      <c r="HK105" s="1014"/>
      <c r="HL105" s="1014"/>
      <c r="HM105" s="1014"/>
      <c r="HN105" s="1014"/>
      <c r="HO105" s="1014"/>
      <c r="HP105" s="1014"/>
      <c r="HQ105" s="1014"/>
      <c r="HR105" s="1014"/>
      <c r="HS105" s="1014"/>
      <c r="HT105" s="1014"/>
      <c r="HU105" s="1014"/>
      <c r="HV105" s="1014"/>
    </row>
    <row r="106" spans="1:230" s="470" customFormat="1" ht="15" customHeight="1" outlineLevel="1" x14ac:dyDescent="0.25">
      <c r="A106" s="1031">
        <v>40924</v>
      </c>
      <c r="B106" s="1031"/>
      <c r="C106" s="471"/>
      <c r="D106" s="471"/>
      <c r="H106" s="1006"/>
      <c r="I106" s="37"/>
      <c r="J106" s="1006"/>
      <c r="K106" s="37"/>
      <c r="L106" s="1006"/>
      <c r="M106" s="37"/>
      <c r="N106" s="1006"/>
      <c r="O106" s="37"/>
      <c r="P106" s="1006"/>
      <c r="Q106" s="37"/>
      <c r="R106" s="1006"/>
      <c r="S106" s="37"/>
      <c r="T106" s="37"/>
      <c r="U106" s="37"/>
      <c r="V106" s="1006"/>
      <c r="W106" s="37"/>
      <c r="X106" s="1006"/>
      <c r="Y106" s="37"/>
      <c r="Z106" s="1006"/>
      <c r="AA106" s="37"/>
      <c r="AB106" s="1006"/>
      <c r="AC106" s="37"/>
      <c r="AD106" s="1006"/>
      <c r="AE106" s="37"/>
      <c r="AF106" s="1006"/>
      <c r="AG106" s="37"/>
      <c r="AH106" s="37"/>
      <c r="AI106" s="37"/>
      <c r="AJ106" s="1006"/>
      <c r="AK106" s="37"/>
      <c r="AL106" s="1006"/>
      <c r="AM106" s="37"/>
      <c r="AN106" s="1006"/>
      <c r="AO106" s="37"/>
      <c r="AP106" s="1006"/>
      <c r="AQ106" s="37"/>
      <c r="AR106" s="37"/>
      <c r="AS106" s="37"/>
      <c r="AT106" s="37"/>
      <c r="AU106" s="37"/>
      <c r="AV106" s="37"/>
      <c r="AW106" s="37"/>
      <c r="AX106" s="1006"/>
      <c r="AY106" s="37"/>
      <c r="AZ106" s="1006"/>
      <c r="BA106" s="37"/>
      <c r="BB106" s="1006"/>
      <c r="BC106" s="37"/>
      <c r="BD106" s="1006"/>
      <c r="BE106" s="37"/>
      <c r="BF106" s="1006"/>
      <c r="BG106" s="37"/>
      <c r="BH106" s="37"/>
      <c r="BI106" s="37"/>
      <c r="BJ106" s="37"/>
      <c r="BK106" s="37"/>
      <c r="BL106" s="1006"/>
      <c r="BM106" s="37"/>
      <c r="BN106" s="1006"/>
      <c r="BO106" s="37"/>
      <c r="BP106" s="1006"/>
      <c r="BQ106" s="37"/>
      <c r="BR106" s="1006"/>
      <c r="BS106" s="37"/>
      <c r="BT106" s="1006"/>
      <c r="BU106" s="1006"/>
      <c r="BV106" s="1006"/>
      <c r="BW106" s="1006"/>
      <c r="BX106" s="37"/>
      <c r="BY106" s="37"/>
      <c r="BZ106" s="1006"/>
      <c r="CA106" s="37"/>
      <c r="CB106" s="1006"/>
      <c r="CC106" s="37"/>
      <c r="CD106" s="1006"/>
      <c r="CE106" s="37"/>
      <c r="CF106" s="1006"/>
      <c r="CG106" s="37"/>
      <c r="CH106" s="1006"/>
      <c r="CI106" s="1006"/>
      <c r="CJ106" s="1006"/>
      <c r="CK106" s="1006"/>
      <c r="CL106" s="37"/>
      <c r="CM106" s="37"/>
      <c r="CO106" s="1011"/>
      <c r="CQ106" s="1012"/>
      <c r="CS106" s="1012"/>
      <c r="CU106" s="1012"/>
      <c r="CW106" s="1012"/>
      <c r="CY106" s="1012"/>
      <c r="DA106" s="1012"/>
      <c r="DC106" s="1012"/>
      <c r="DE106" s="1012"/>
      <c r="DG106" s="1012"/>
      <c r="DI106" s="1012"/>
      <c r="DK106" s="1012"/>
      <c r="DM106" s="1012"/>
      <c r="DO106" s="1012"/>
      <c r="DQ106" s="1012"/>
      <c r="DS106" s="1012"/>
      <c r="DU106" s="1012"/>
      <c r="DW106" s="1012"/>
      <c r="DY106" s="1012"/>
      <c r="EA106" s="1012"/>
      <c r="EC106" s="1012"/>
      <c r="EE106" s="1012"/>
      <c r="EG106" s="1012"/>
      <c r="EI106" s="1012"/>
      <c r="EK106" s="1012"/>
      <c r="EM106" s="1012"/>
      <c r="EO106" s="1012"/>
      <c r="EQ106" s="1012"/>
      <c r="ES106" s="1012"/>
      <c r="EU106" s="1012"/>
      <c r="EW106" s="1012"/>
      <c r="EY106" s="1012"/>
      <c r="FA106" s="1012"/>
      <c r="FC106" s="1012"/>
      <c r="FE106" s="1012"/>
      <c r="FG106" s="1012"/>
      <c r="FH106" s="37"/>
      <c r="FI106" s="37"/>
      <c r="FK106" s="1013"/>
      <c r="FL106" s="1012"/>
      <c r="FM106" s="1012"/>
      <c r="FN106" s="1012"/>
      <c r="FP106" s="1014"/>
      <c r="FQ106" s="1014"/>
      <c r="FR106" s="1014"/>
      <c r="FS106" s="1014"/>
      <c r="FT106" s="1014"/>
      <c r="FU106" s="1014"/>
      <c r="FV106" s="1014"/>
      <c r="FW106" s="1014"/>
      <c r="FX106" s="1014"/>
      <c r="FY106" s="1014"/>
      <c r="FZ106" s="1014"/>
      <c r="GA106" s="1014"/>
      <c r="GB106" s="1014"/>
      <c r="GC106" s="1014"/>
      <c r="GD106" s="1014"/>
      <c r="GE106" s="1014"/>
      <c r="GF106" s="1014"/>
      <c r="GG106" s="1014"/>
      <c r="GH106" s="1014"/>
      <c r="GI106" s="1014"/>
      <c r="GJ106" s="1014"/>
      <c r="GK106" s="1014"/>
      <c r="GL106" s="1014"/>
      <c r="GM106" s="1014"/>
      <c r="GN106" s="1014"/>
      <c r="GO106" s="1014"/>
      <c r="GP106" s="1014"/>
      <c r="GQ106" s="1014"/>
      <c r="GR106" s="1014"/>
      <c r="GS106" s="1014"/>
      <c r="GT106" s="1014"/>
      <c r="GU106" s="1014"/>
      <c r="GV106" s="1014"/>
      <c r="GW106" s="1014"/>
      <c r="GX106" s="1014"/>
      <c r="GY106" s="1014"/>
      <c r="GZ106" s="1014"/>
      <c r="HA106" s="1014"/>
      <c r="HB106" s="1014"/>
      <c r="HC106" s="1014"/>
      <c r="HD106" s="1014"/>
      <c r="HE106" s="1014"/>
      <c r="HF106" s="1014"/>
      <c r="HG106" s="1014"/>
      <c r="HH106" s="1014"/>
      <c r="HI106" s="1014"/>
      <c r="HJ106" s="1014"/>
      <c r="HK106" s="1014"/>
      <c r="HL106" s="1014"/>
      <c r="HM106" s="1014"/>
      <c r="HN106" s="1014"/>
      <c r="HO106" s="1014"/>
      <c r="HP106" s="1014"/>
      <c r="HQ106" s="1014"/>
      <c r="HR106" s="1014"/>
      <c r="HS106" s="1014"/>
      <c r="HT106" s="1014"/>
      <c r="HU106" s="1014"/>
      <c r="HV106" s="1014"/>
    </row>
    <row r="107" spans="1:230" s="470" customFormat="1" ht="15" customHeight="1" outlineLevel="1" x14ac:dyDescent="0.25">
      <c r="A107" s="1031">
        <v>41005</v>
      </c>
      <c r="B107" s="1031"/>
      <c r="C107" s="471"/>
      <c r="D107" s="471"/>
      <c r="H107" s="1006"/>
      <c r="I107" s="37"/>
      <c r="J107" s="1006"/>
      <c r="K107" s="37"/>
      <c r="L107" s="1006"/>
      <c r="M107" s="37"/>
      <c r="N107" s="1006"/>
      <c r="O107" s="37"/>
      <c r="P107" s="1006"/>
      <c r="Q107" s="37"/>
      <c r="R107" s="1006"/>
      <c r="S107" s="37"/>
      <c r="T107" s="37"/>
      <c r="U107" s="37"/>
      <c r="V107" s="1006"/>
      <c r="W107" s="37"/>
      <c r="X107" s="1006"/>
      <c r="Y107" s="37"/>
      <c r="Z107" s="1006"/>
      <c r="AA107" s="37"/>
      <c r="AB107" s="1006"/>
      <c r="AC107" s="37"/>
      <c r="AD107" s="1006"/>
      <c r="AE107" s="37"/>
      <c r="AF107" s="1006"/>
      <c r="AG107" s="37"/>
      <c r="AH107" s="37"/>
      <c r="AI107" s="37"/>
      <c r="AJ107" s="1006"/>
      <c r="AK107" s="37"/>
      <c r="AL107" s="1006"/>
      <c r="AM107" s="37"/>
      <c r="AN107" s="1006"/>
      <c r="AO107" s="37"/>
      <c r="AP107" s="1006"/>
      <c r="AQ107" s="37"/>
      <c r="AR107" s="37"/>
      <c r="AS107" s="37"/>
      <c r="AT107" s="37"/>
      <c r="AU107" s="37"/>
      <c r="AV107" s="37"/>
      <c r="AW107" s="37"/>
      <c r="AX107" s="1006"/>
      <c r="AY107" s="37"/>
      <c r="AZ107" s="1006"/>
      <c r="BA107" s="37"/>
      <c r="BB107" s="1006"/>
      <c r="BC107" s="37"/>
      <c r="BD107" s="1006"/>
      <c r="BE107" s="37"/>
      <c r="BF107" s="1006"/>
      <c r="BG107" s="37"/>
      <c r="BH107" s="37"/>
      <c r="BI107" s="37"/>
      <c r="BJ107" s="37"/>
      <c r="BK107" s="37"/>
      <c r="BL107" s="1006"/>
      <c r="BM107" s="37"/>
      <c r="BN107" s="1006"/>
      <c r="BO107" s="37"/>
      <c r="BP107" s="1006"/>
      <c r="BQ107" s="37"/>
      <c r="BR107" s="1006"/>
      <c r="BS107" s="37"/>
      <c r="BT107" s="1006"/>
      <c r="BU107" s="1006"/>
      <c r="BV107" s="1006"/>
      <c r="BW107" s="1006"/>
      <c r="BX107" s="37"/>
      <c r="BY107" s="37"/>
      <c r="BZ107" s="1006"/>
      <c r="CA107" s="37"/>
      <c r="CB107" s="1006"/>
      <c r="CC107" s="37"/>
      <c r="CD107" s="1006"/>
      <c r="CE107" s="37"/>
      <c r="CF107" s="1006"/>
      <c r="CG107" s="37"/>
      <c r="CH107" s="1006"/>
      <c r="CI107" s="1006"/>
      <c r="CJ107" s="1006"/>
      <c r="CK107" s="1006"/>
      <c r="CL107" s="37"/>
      <c r="CM107" s="37"/>
      <c r="CO107" s="1011"/>
      <c r="CQ107" s="1012"/>
      <c r="CS107" s="1012"/>
      <c r="CU107" s="1012"/>
      <c r="CW107" s="1012"/>
      <c r="CY107" s="1012"/>
      <c r="DA107" s="1012"/>
      <c r="DC107" s="1012"/>
      <c r="DE107" s="1012"/>
      <c r="DG107" s="1012"/>
      <c r="DI107" s="1012"/>
      <c r="DK107" s="1012"/>
      <c r="DM107" s="1012"/>
      <c r="DO107" s="1012"/>
      <c r="DQ107" s="1012"/>
      <c r="DS107" s="1012"/>
      <c r="DU107" s="1012"/>
      <c r="DW107" s="1012"/>
      <c r="DY107" s="1012"/>
      <c r="EA107" s="1012"/>
      <c r="EC107" s="1012"/>
      <c r="EE107" s="1012"/>
      <c r="EG107" s="1012"/>
      <c r="EI107" s="1012"/>
      <c r="EK107" s="1012"/>
      <c r="EM107" s="1012"/>
      <c r="EO107" s="1012"/>
      <c r="EQ107" s="1012"/>
      <c r="ES107" s="1012"/>
      <c r="EU107" s="1012"/>
      <c r="EW107" s="1012"/>
      <c r="EY107" s="1012"/>
      <c r="FA107" s="1012"/>
      <c r="FC107" s="1012"/>
      <c r="FE107" s="1012"/>
      <c r="FG107" s="1012"/>
      <c r="FH107" s="37"/>
      <c r="FI107" s="37"/>
      <c r="FK107" s="1013"/>
      <c r="FL107" s="1012"/>
      <c r="FM107" s="1012"/>
      <c r="FN107" s="1012"/>
      <c r="FP107" s="1014"/>
      <c r="FQ107" s="1014"/>
      <c r="FR107" s="1014"/>
      <c r="FS107" s="1014"/>
      <c r="FT107" s="1014"/>
      <c r="FU107" s="1014"/>
      <c r="FV107" s="1014"/>
      <c r="FW107" s="1014"/>
      <c r="FX107" s="1014"/>
      <c r="FY107" s="1014"/>
      <c r="FZ107" s="1014"/>
      <c r="GA107" s="1014"/>
      <c r="GB107" s="1014"/>
      <c r="GC107" s="1014"/>
      <c r="GD107" s="1014"/>
      <c r="GE107" s="1014"/>
      <c r="GF107" s="1014"/>
      <c r="GG107" s="1014"/>
      <c r="GH107" s="1014"/>
      <c r="GI107" s="1014"/>
      <c r="GJ107" s="1014"/>
      <c r="GK107" s="1014"/>
      <c r="GL107" s="1014"/>
      <c r="GM107" s="1014"/>
      <c r="GN107" s="1014"/>
      <c r="GO107" s="1014"/>
      <c r="GP107" s="1014"/>
      <c r="GQ107" s="1014"/>
      <c r="GR107" s="1014"/>
      <c r="GS107" s="1014"/>
      <c r="GT107" s="1014"/>
      <c r="GU107" s="1014"/>
      <c r="GV107" s="1014"/>
      <c r="GW107" s="1014"/>
      <c r="GX107" s="1014"/>
      <c r="GY107" s="1014"/>
      <c r="GZ107" s="1014"/>
      <c r="HA107" s="1014"/>
      <c r="HB107" s="1014"/>
      <c r="HC107" s="1014"/>
      <c r="HD107" s="1014"/>
      <c r="HE107" s="1014"/>
      <c r="HF107" s="1014"/>
      <c r="HG107" s="1014"/>
      <c r="HH107" s="1014"/>
      <c r="HI107" s="1014"/>
      <c r="HJ107" s="1014"/>
      <c r="HK107" s="1014"/>
      <c r="HL107" s="1014"/>
      <c r="HM107" s="1014"/>
      <c r="HN107" s="1014"/>
      <c r="HO107" s="1014"/>
      <c r="HP107" s="1014"/>
      <c r="HQ107" s="1014"/>
      <c r="HR107" s="1014"/>
      <c r="HS107" s="1014"/>
      <c r="HT107" s="1014"/>
      <c r="HU107" s="1014"/>
      <c r="HV107" s="1014"/>
    </row>
    <row r="108" spans="1:230" s="470" customFormat="1" ht="15" customHeight="1" outlineLevel="1" x14ac:dyDescent="0.25">
      <c r="A108" s="1031">
        <v>41057</v>
      </c>
      <c r="B108" s="1031"/>
      <c r="C108" s="471"/>
      <c r="D108" s="471"/>
      <c r="H108" s="1006"/>
      <c r="I108" s="37"/>
      <c r="J108" s="1006"/>
      <c r="K108" s="37"/>
      <c r="L108" s="1006"/>
      <c r="M108" s="37"/>
      <c r="N108" s="1006"/>
      <c r="O108" s="37"/>
      <c r="P108" s="1006"/>
      <c r="Q108" s="37"/>
      <c r="R108" s="1006"/>
      <c r="S108" s="37"/>
      <c r="T108" s="37"/>
      <c r="U108" s="37"/>
      <c r="V108" s="1006"/>
      <c r="W108" s="37"/>
      <c r="X108" s="1006"/>
      <c r="Y108" s="37"/>
      <c r="Z108" s="1006"/>
      <c r="AA108" s="37"/>
      <c r="AB108" s="1006"/>
      <c r="AC108" s="37"/>
      <c r="AD108" s="1006"/>
      <c r="AE108" s="37"/>
      <c r="AF108" s="1006"/>
      <c r="AG108" s="37"/>
      <c r="AH108" s="37"/>
      <c r="AI108" s="37"/>
      <c r="AJ108" s="1006"/>
      <c r="AK108" s="37"/>
      <c r="AL108" s="1006"/>
      <c r="AM108" s="37"/>
      <c r="AN108" s="1006"/>
      <c r="AO108" s="37"/>
      <c r="AP108" s="1006"/>
      <c r="AQ108" s="37"/>
      <c r="AR108" s="37"/>
      <c r="AS108" s="37"/>
      <c r="AT108" s="37"/>
      <c r="AU108" s="37"/>
      <c r="AV108" s="37"/>
      <c r="AW108" s="37"/>
      <c r="AX108" s="1006"/>
      <c r="AY108" s="37"/>
      <c r="AZ108" s="1006"/>
      <c r="BA108" s="37"/>
      <c r="BB108" s="1006"/>
      <c r="BC108" s="37"/>
      <c r="BD108" s="1006"/>
      <c r="BE108" s="37"/>
      <c r="BF108" s="1006"/>
      <c r="BG108" s="37"/>
      <c r="BH108" s="37"/>
      <c r="BI108" s="37"/>
      <c r="BJ108" s="37"/>
      <c r="BK108" s="37"/>
      <c r="BL108" s="1006"/>
      <c r="BM108" s="37"/>
      <c r="BN108" s="1006"/>
      <c r="BO108" s="37"/>
      <c r="BP108" s="1006"/>
      <c r="BQ108" s="37"/>
      <c r="BR108" s="1006"/>
      <c r="BS108" s="37"/>
      <c r="BT108" s="1006"/>
      <c r="BU108" s="1006"/>
      <c r="BV108" s="1006"/>
      <c r="BW108" s="1006"/>
      <c r="BX108" s="37"/>
      <c r="BY108" s="37"/>
      <c r="BZ108" s="1006"/>
      <c r="CA108" s="37"/>
      <c r="CB108" s="1006"/>
      <c r="CC108" s="37"/>
      <c r="CD108" s="1006"/>
      <c r="CE108" s="37"/>
      <c r="CF108" s="1006"/>
      <c r="CG108" s="37"/>
      <c r="CH108" s="1006"/>
      <c r="CI108" s="1006"/>
      <c r="CJ108" s="1006"/>
      <c r="CK108" s="1006"/>
      <c r="CL108" s="37"/>
      <c r="CM108" s="37"/>
      <c r="CO108" s="1011"/>
      <c r="CQ108" s="1012"/>
      <c r="CS108" s="1012"/>
      <c r="CU108" s="1012"/>
      <c r="CW108" s="1012"/>
      <c r="CY108" s="1012"/>
      <c r="DA108" s="1012"/>
      <c r="DC108" s="1012"/>
      <c r="DE108" s="1012"/>
      <c r="DG108" s="1012"/>
      <c r="DI108" s="1012"/>
      <c r="DK108" s="1012"/>
      <c r="DM108" s="1012"/>
      <c r="DO108" s="1012"/>
      <c r="DQ108" s="1012"/>
      <c r="DS108" s="1012"/>
      <c r="DU108" s="1012"/>
      <c r="DW108" s="1012"/>
      <c r="DY108" s="1012"/>
      <c r="EA108" s="1012"/>
      <c r="EC108" s="1012"/>
      <c r="EE108" s="1012"/>
      <c r="EG108" s="1012"/>
      <c r="EI108" s="1012"/>
      <c r="EK108" s="1012"/>
      <c r="EM108" s="1012"/>
      <c r="EO108" s="1012"/>
      <c r="EQ108" s="1012"/>
      <c r="ES108" s="1012"/>
      <c r="EU108" s="1012"/>
      <c r="EW108" s="1012"/>
      <c r="EY108" s="1012"/>
      <c r="FA108" s="1012"/>
      <c r="FC108" s="1012"/>
      <c r="FE108" s="1012"/>
      <c r="FG108" s="1012"/>
      <c r="FH108" s="37"/>
      <c r="FI108" s="37"/>
      <c r="FK108" s="1013"/>
      <c r="FL108" s="1012"/>
      <c r="FM108" s="1012"/>
      <c r="FN108" s="1012"/>
      <c r="FP108" s="1014"/>
      <c r="FQ108" s="1014"/>
      <c r="FR108" s="1014"/>
      <c r="FS108" s="1014"/>
      <c r="FT108" s="1014"/>
      <c r="FU108" s="1014"/>
      <c r="FV108" s="1014"/>
      <c r="FW108" s="1014"/>
      <c r="FX108" s="1014"/>
      <c r="FY108" s="1014"/>
      <c r="FZ108" s="1014"/>
      <c r="GA108" s="1014"/>
      <c r="GB108" s="1014"/>
      <c r="GC108" s="1014"/>
      <c r="GD108" s="1014"/>
      <c r="GE108" s="1014"/>
      <c r="GF108" s="1014"/>
      <c r="GG108" s="1014"/>
      <c r="GH108" s="1014"/>
      <c r="GI108" s="1014"/>
      <c r="GJ108" s="1014"/>
      <c r="GK108" s="1014"/>
      <c r="GL108" s="1014"/>
      <c r="GM108" s="1014"/>
      <c r="GN108" s="1014"/>
      <c r="GO108" s="1014"/>
      <c r="GP108" s="1014"/>
      <c r="GQ108" s="1014"/>
      <c r="GR108" s="1014"/>
      <c r="GS108" s="1014"/>
      <c r="GT108" s="1014"/>
      <c r="GU108" s="1014"/>
      <c r="GV108" s="1014"/>
      <c r="GW108" s="1014"/>
      <c r="GX108" s="1014"/>
      <c r="GY108" s="1014"/>
      <c r="GZ108" s="1014"/>
      <c r="HA108" s="1014"/>
      <c r="HB108" s="1014"/>
      <c r="HC108" s="1014"/>
      <c r="HD108" s="1014"/>
      <c r="HE108" s="1014"/>
      <c r="HF108" s="1014"/>
      <c r="HG108" s="1014"/>
      <c r="HH108" s="1014"/>
      <c r="HI108" s="1014"/>
      <c r="HJ108" s="1014"/>
      <c r="HK108" s="1014"/>
      <c r="HL108" s="1014"/>
      <c r="HM108" s="1014"/>
      <c r="HN108" s="1014"/>
      <c r="HO108" s="1014"/>
      <c r="HP108" s="1014"/>
      <c r="HQ108" s="1014"/>
      <c r="HR108" s="1014"/>
      <c r="HS108" s="1014"/>
      <c r="HT108" s="1014"/>
      <c r="HU108" s="1014"/>
      <c r="HV108" s="1014"/>
    </row>
    <row r="109" spans="1:230" s="470" customFormat="1" ht="15" customHeight="1" outlineLevel="1" x14ac:dyDescent="0.25">
      <c r="A109" s="1031">
        <v>41094</v>
      </c>
      <c r="B109" s="1031"/>
      <c r="C109" s="471"/>
      <c r="D109" s="471"/>
      <c r="H109" s="1006"/>
      <c r="I109" s="37"/>
      <c r="J109" s="1006"/>
      <c r="K109" s="37"/>
      <c r="L109" s="1006"/>
      <c r="M109" s="37"/>
      <c r="N109" s="1006"/>
      <c r="O109" s="37"/>
      <c r="P109" s="1006"/>
      <c r="Q109" s="37"/>
      <c r="R109" s="1006"/>
      <c r="S109" s="37"/>
      <c r="T109" s="37"/>
      <c r="U109" s="37"/>
      <c r="V109" s="1006"/>
      <c r="W109" s="37"/>
      <c r="X109" s="1006"/>
      <c r="Y109" s="37"/>
      <c r="Z109" s="1006"/>
      <c r="AA109" s="37"/>
      <c r="AB109" s="1006"/>
      <c r="AC109" s="37"/>
      <c r="AD109" s="1006"/>
      <c r="AE109" s="37"/>
      <c r="AF109" s="1006"/>
      <c r="AG109" s="37"/>
      <c r="AH109" s="37"/>
      <c r="AI109" s="37"/>
      <c r="AJ109" s="1006"/>
      <c r="AK109" s="37"/>
      <c r="AL109" s="1006"/>
      <c r="AM109" s="37"/>
      <c r="AN109" s="1006"/>
      <c r="AO109" s="37"/>
      <c r="AP109" s="1006"/>
      <c r="AQ109" s="37"/>
      <c r="AR109" s="37"/>
      <c r="AS109" s="37"/>
      <c r="AT109" s="37"/>
      <c r="AU109" s="37"/>
      <c r="AV109" s="37"/>
      <c r="AW109" s="37"/>
      <c r="AX109" s="1006"/>
      <c r="AY109" s="37"/>
      <c r="AZ109" s="1006"/>
      <c r="BA109" s="37"/>
      <c r="BB109" s="1006"/>
      <c r="BC109" s="37"/>
      <c r="BD109" s="1006"/>
      <c r="BE109" s="37"/>
      <c r="BF109" s="1006"/>
      <c r="BG109" s="37"/>
      <c r="BH109" s="37"/>
      <c r="BI109" s="37"/>
      <c r="BJ109" s="37"/>
      <c r="BK109" s="37"/>
      <c r="BL109" s="1006"/>
      <c r="BM109" s="37"/>
      <c r="BN109" s="1006"/>
      <c r="BO109" s="37"/>
      <c r="BP109" s="1006"/>
      <c r="BQ109" s="37"/>
      <c r="BR109" s="1006"/>
      <c r="BS109" s="37"/>
      <c r="BT109" s="1006"/>
      <c r="BU109" s="1006"/>
      <c r="BV109" s="1006"/>
      <c r="BW109" s="1006"/>
      <c r="BX109" s="37"/>
      <c r="BY109" s="37"/>
      <c r="BZ109" s="1006"/>
      <c r="CA109" s="37"/>
      <c r="CB109" s="1006"/>
      <c r="CC109" s="37"/>
      <c r="CD109" s="1006"/>
      <c r="CE109" s="37"/>
      <c r="CF109" s="1006"/>
      <c r="CG109" s="37"/>
      <c r="CH109" s="1006"/>
      <c r="CI109" s="1006"/>
      <c r="CJ109" s="1006"/>
      <c r="CK109" s="1006"/>
      <c r="CL109" s="37"/>
      <c r="CM109" s="37"/>
      <c r="CO109" s="1011"/>
      <c r="CQ109" s="1012"/>
      <c r="CS109" s="1012"/>
      <c r="CU109" s="1012"/>
      <c r="CW109" s="1012"/>
      <c r="CY109" s="1012"/>
      <c r="DA109" s="1012"/>
      <c r="DC109" s="1012"/>
      <c r="DE109" s="1012"/>
      <c r="DG109" s="1012"/>
      <c r="DI109" s="1012"/>
      <c r="DK109" s="1012"/>
      <c r="DM109" s="1012"/>
      <c r="DO109" s="1012"/>
      <c r="DQ109" s="1012"/>
      <c r="DS109" s="1012"/>
      <c r="DU109" s="1012"/>
      <c r="DW109" s="1012"/>
      <c r="DY109" s="1012"/>
      <c r="EA109" s="1012"/>
      <c r="EC109" s="1012"/>
      <c r="EE109" s="1012"/>
      <c r="EG109" s="1012"/>
      <c r="EI109" s="1012"/>
      <c r="EK109" s="1012"/>
      <c r="EM109" s="1012"/>
      <c r="EO109" s="1012"/>
      <c r="EQ109" s="1012"/>
      <c r="ES109" s="1012"/>
      <c r="EU109" s="1012"/>
      <c r="EW109" s="1012"/>
      <c r="EY109" s="1012"/>
      <c r="FA109" s="1012"/>
      <c r="FC109" s="1012"/>
      <c r="FE109" s="1012"/>
      <c r="FG109" s="1012"/>
      <c r="FH109" s="37"/>
      <c r="FI109" s="37"/>
      <c r="FK109" s="1013"/>
      <c r="FL109" s="1012"/>
      <c r="FM109" s="1012"/>
      <c r="FN109" s="1012"/>
      <c r="FP109" s="1014"/>
      <c r="FQ109" s="1014"/>
      <c r="FR109" s="1014"/>
      <c r="FS109" s="1014"/>
      <c r="FT109" s="1014"/>
      <c r="FU109" s="1014"/>
      <c r="FV109" s="1014"/>
      <c r="FW109" s="1014"/>
      <c r="FX109" s="1014"/>
      <c r="FY109" s="1014"/>
      <c r="FZ109" s="1014"/>
      <c r="GA109" s="1014"/>
      <c r="GB109" s="1014"/>
      <c r="GC109" s="1014"/>
      <c r="GD109" s="1014"/>
      <c r="GE109" s="1014"/>
      <c r="GF109" s="1014"/>
      <c r="GG109" s="1014"/>
      <c r="GH109" s="1014"/>
      <c r="GI109" s="1014"/>
      <c r="GJ109" s="1014"/>
      <c r="GK109" s="1014"/>
      <c r="GL109" s="1014"/>
      <c r="GM109" s="1014"/>
      <c r="GN109" s="1014"/>
      <c r="GO109" s="1014"/>
      <c r="GP109" s="1014"/>
      <c r="GQ109" s="1014"/>
      <c r="GR109" s="1014"/>
      <c r="GS109" s="1014"/>
      <c r="GT109" s="1014"/>
      <c r="GU109" s="1014"/>
      <c r="GV109" s="1014"/>
      <c r="GW109" s="1014"/>
      <c r="GX109" s="1014"/>
      <c r="GY109" s="1014"/>
      <c r="GZ109" s="1014"/>
      <c r="HA109" s="1014"/>
      <c r="HB109" s="1014"/>
      <c r="HC109" s="1014"/>
      <c r="HD109" s="1014"/>
      <c r="HE109" s="1014"/>
      <c r="HF109" s="1014"/>
      <c r="HG109" s="1014"/>
      <c r="HH109" s="1014"/>
      <c r="HI109" s="1014"/>
      <c r="HJ109" s="1014"/>
      <c r="HK109" s="1014"/>
      <c r="HL109" s="1014"/>
      <c r="HM109" s="1014"/>
      <c r="HN109" s="1014"/>
      <c r="HO109" s="1014"/>
      <c r="HP109" s="1014"/>
      <c r="HQ109" s="1014"/>
      <c r="HR109" s="1014"/>
      <c r="HS109" s="1014"/>
      <c r="HT109" s="1014"/>
      <c r="HU109" s="1014"/>
      <c r="HV109" s="1014"/>
    </row>
    <row r="110" spans="1:230" s="470" customFormat="1" ht="15" customHeight="1" outlineLevel="1" x14ac:dyDescent="0.25">
      <c r="A110" s="1031">
        <v>41155</v>
      </c>
      <c r="B110" s="1031"/>
      <c r="C110" s="471"/>
      <c r="D110" s="471"/>
      <c r="H110" s="1006"/>
      <c r="I110" s="37"/>
      <c r="J110" s="1006"/>
      <c r="K110" s="37"/>
      <c r="L110" s="1006"/>
      <c r="M110" s="37"/>
      <c r="N110" s="1006"/>
      <c r="O110" s="37"/>
      <c r="P110" s="1006"/>
      <c r="Q110" s="37"/>
      <c r="R110" s="1006"/>
      <c r="S110" s="37"/>
      <c r="T110" s="37"/>
      <c r="U110" s="37"/>
      <c r="V110" s="1006"/>
      <c r="W110" s="37"/>
      <c r="X110" s="1006"/>
      <c r="Y110" s="37"/>
      <c r="Z110" s="1006"/>
      <c r="AA110" s="37"/>
      <c r="AB110" s="1006"/>
      <c r="AC110" s="37"/>
      <c r="AD110" s="1006"/>
      <c r="AE110" s="37"/>
      <c r="AF110" s="1006"/>
      <c r="AG110" s="37"/>
      <c r="AH110" s="37"/>
      <c r="AI110" s="37"/>
      <c r="AJ110" s="1006"/>
      <c r="AK110" s="37"/>
      <c r="AL110" s="1006"/>
      <c r="AM110" s="37"/>
      <c r="AN110" s="1006"/>
      <c r="AO110" s="37"/>
      <c r="AP110" s="1006"/>
      <c r="AQ110" s="37"/>
      <c r="AR110" s="37"/>
      <c r="AS110" s="37"/>
      <c r="AT110" s="37"/>
      <c r="AU110" s="37"/>
      <c r="AV110" s="37"/>
      <c r="AW110" s="37"/>
      <c r="AX110" s="1006"/>
      <c r="AY110" s="37"/>
      <c r="AZ110" s="1006"/>
      <c r="BA110" s="37"/>
      <c r="BB110" s="1006"/>
      <c r="BC110" s="37"/>
      <c r="BD110" s="1006"/>
      <c r="BE110" s="37"/>
      <c r="BF110" s="1006"/>
      <c r="BG110" s="37"/>
      <c r="BH110" s="37"/>
      <c r="BI110" s="37"/>
      <c r="BJ110" s="37"/>
      <c r="BK110" s="37"/>
      <c r="BL110" s="1006"/>
      <c r="BM110" s="37"/>
      <c r="BN110" s="1006"/>
      <c r="BO110" s="37"/>
      <c r="BP110" s="1006"/>
      <c r="BQ110" s="37"/>
      <c r="BR110" s="1006"/>
      <c r="BS110" s="37"/>
      <c r="BT110" s="1006"/>
      <c r="BU110" s="1006"/>
      <c r="BV110" s="1006"/>
      <c r="BW110" s="1006"/>
      <c r="BX110" s="37"/>
      <c r="BY110" s="37"/>
      <c r="BZ110" s="1006"/>
      <c r="CA110" s="37"/>
      <c r="CB110" s="1006"/>
      <c r="CC110" s="37"/>
      <c r="CD110" s="1006"/>
      <c r="CE110" s="37"/>
      <c r="CF110" s="1006"/>
      <c r="CG110" s="37"/>
      <c r="CH110" s="1006"/>
      <c r="CI110" s="1006"/>
      <c r="CJ110" s="1006"/>
      <c r="CK110" s="1006"/>
      <c r="CL110" s="37"/>
      <c r="CM110" s="37"/>
      <c r="CO110" s="1011"/>
      <c r="CQ110" s="1012"/>
      <c r="CS110" s="1012"/>
      <c r="CU110" s="1012"/>
      <c r="CW110" s="1012"/>
      <c r="CY110" s="1012"/>
      <c r="DA110" s="1012"/>
      <c r="DC110" s="1012"/>
      <c r="DE110" s="1012"/>
      <c r="DG110" s="1012"/>
      <c r="DI110" s="1012"/>
      <c r="DK110" s="1012"/>
      <c r="DM110" s="1012"/>
      <c r="DO110" s="1012"/>
      <c r="DQ110" s="1012"/>
      <c r="DS110" s="1012"/>
      <c r="DU110" s="1012"/>
      <c r="DW110" s="1012"/>
      <c r="DY110" s="1012"/>
      <c r="EA110" s="1012"/>
      <c r="EC110" s="1012"/>
      <c r="EE110" s="1012"/>
      <c r="EG110" s="1012"/>
      <c r="EI110" s="1012"/>
      <c r="EK110" s="1012"/>
      <c r="EM110" s="1012"/>
      <c r="EO110" s="1012"/>
      <c r="EQ110" s="1012"/>
      <c r="ES110" s="1012"/>
      <c r="EU110" s="1012"/>
      <c r="EW110" s="1012"/>
      <c r="EY110" s="1012"/>
      <c r="FA110" s="1012"/>
      <c r="FC110" s="1012"/>
      <c r="FE110" s="1012"/>
      <c r="FG110" s="1012"/>
      <c r="FH110" s="37"/>
      <c r="FI110" s="37"/>
      <c r="FK110" s="1013"/>
      <c r="FL110" s="1012"/>
      <c r="FM110" s="1012"/>
      <c r="FN110" s="1012"/>
      <c r="FP110" s="1014"/>
      <c r="FQ110" s="1014"/>
      <c r="FR110" s="1014"/>
      <c r="FS110" s="1014"/>
      <c r="FT110" s="1014"/>
      <c r="FU110" s="1014"/>
      <c r="FV110" s="1014"/>
      <c r="FW110" s="1014"/>
      <c r="FX110" s="1014"/>
      <c r="FY110" s="1014"/>
      <c r="FZ110" s="1014"/>
      <c r="GA110" s="1014"/>
      <c r="GB110" s="1014"/>
      <c r="GC110" s="1014"/>
      <c r="GD110" s="1014"/>
      <c r="GE110" s="1014"/>
      <c r="GF110" s="1014"/>
      <c r="GG110" s="1014"/>
      <c r="GH110" s="1014"/>
      <c r="GI110" s="1014"/>
      <c r="GJ110" s="1014"/>
      <c r="GK110" s="1014"/>
      <c r="GL110" s="1014"/>
      <c r="GM110" s="1014"/>
      <c r="GN110" s="1014"/>
      <c r="GO110" s="1014"/>
      <c r="GP110" s="1014"/>
      <c r="GQ110" s="1014"/>
      <c r="GR110" s="1014"/>
      <c r="GS110" s="1014"/>
      <c r="GT110" s="1014"/>
      <c r="GU110" s="1014"/>
      <c r="GV110" s="1014"/>
      <c r="GW110" s="1014"/>
      <c r="GX110" s="1014"/>
      <c r="GY110" s="1014"/>
      <c r="GZ110" s="1014"/>
      <c r="HA110" s="1014"/>
      <c r="HB110" s="1014"/>
      <c r="HC110" s="1014"/>
      <c r="HD110" s="1014"/>
      <c r="HE110" s="1014"/>
      <c r="HF110" s="1014"/>
      <c r="HG110" s="1014"/>
      <c r="HH110" s="1014"/>
      <c r="HI110" s="1014"/>
      <c r="HJ110" s="1014"/>
      <c r="HK110" s="1014"/>
      <c r="HL110" s="1014"/>
      <c r="HM110" s="1014"/>
      <c r="HN110" s="1014"/>
      <c r="HO110" s="1014"/>
      <c r="HP110" s="1014"/>
      <c r="HQ110" s="1014"/>
      <c r="HR110" s="1014"/>
      <c r="HS110" s="1014"/>
      <c r="HT110" s="1014"/>
      <c r="HU110" s="1014"/>
      <c r="HV110" s="1014"/>
    </row>
    <row r="111" spans="1:230" s="470" customFormat="1" ht="15" customHeight="1" outlineLevel="1" x14ac:dyDescent="0.25">
      <c r="A111" s="1031">
        <v>41225</v>
      </c>
      <c r="B111" s="1031"/>
      <c r="C111" s="471"/>
      <c r="D111" s="471"/>
      <c r="H111" s="1006"/>
      <c r="I111" s="37"/>
      <c r="J111" s="1006"/>
      <c r="K111" s="37"/>
      <c r="L111" s="1006"/>
      <c r="M111" s="37"/>
      <c r="N111" s="1006"/>
      <c r="O111" s="37"/>
      <c r="P111" s="1006"/>
      <c r="Q111" s="37"/>
      <c r="R111" s="1006"/>
      <c r="S111" s="37"/>
      <c r="T111" s="37"/>
      <c r="U111" s="37"/>
      <c r="V111" s="1006"/>
      <c r="W111" s="37"/>
      <c r="X111" s="1006"/>
      <c r="Y111" s="37"/>
      <c r="Z111" s="1006"/>
      <c r="AA111" s="37"/>
      <c r="AB111" s="1006"/>
      <c r="AC111" s="37"/>
      <c r="AD111" s="1006"/>
      <c r="AE111" s="37"/>
      <c r="AF111" s="1006"/>
      <c r="AG111" s="37"/>
      <c r="AH111" s="37"/>
      <c r="AI111" s="37"/>
      <c r="AJ111" s="1006"/>
      <c r="AK111" s="37"/>
      <c r="AL111" s="1006"/>
      <c r="AM111" s="37"/>
      <c r="AN111" s="1006"/>
      <c r="AO111" s="37"/>
      <c r="AP111" s="1006"/>
      <c r="AQ111" s="37"/>
      <c r="AR111" s="37"/>
      <c r="AS111" s="37"/>
      <c r="AT111" s="37"/>
      <c r="AU111" s="37"/>
      <c r="AV111" s="37"/>
      <c r="AW111" s="37"/>
      <c r="AX111" s="1006"/>
      <c r="AY111" s="37"/>
      <c r="AZ111" s="1006"/>
      <c r="BA111" s="37"/>
      <c r="BB111" s="1006"/>
      <c r="BC111" s="37"/>
      <c r="BD111" s="1006"/>
      <c r="BE111" s="37"/>
      <c r="BF111" s="1006"/>
      <c r="BG111" s="37"/>
      <c r="BH111" s="37"/>
      <c r="BI111" s="37"/>
      <c r="BJ111" s="37"/>
      <c r="BK111" s="37"/>
      <c r="BL111" s="1006"/>
      <c r="BM111" s="37"/>
      <c r="BN111" s="1006"/>
      <c r="BO111" s="37"/>
      <c r="BP111" s="1006"/>
      <c r="BQ111" s="37"/>
      <c r="BR111" s="1006"/>
      <c r="BS111" s="37"/>
      <c r="BT111" s="1006"/>
      <c r="BU111" s="1006"/>
      <c r="BV111" s="1006"/>
      <c r="BW111" s="1006"/>
      <c r="BX111" s="37"/>
      <c r="BY111" s="37"/>
      <c r="BZ111" s="1006"/>
      <c r="CA111" s="37"/>
      <c r="CB111" s="1006"/>
      <c r="CC111" s="37"/>
      <c r="CD111" s="1006"/>
      <c r="CE111" s="37"/>
      <c r="CF111" s="1006"/>
      <c r="CG111" s="37"/>
      <c r="CH111" s="1006"/>
      <c r="CI111" s="1006"/>
      <c r="CJ111" s="1006"/>
      <c r="CK111" s="1006"/>
      <c r="CL111" s="37"/>
      <c r="CM111" s="37"/>
      <c r="CO111" s="1011"/>
      <c r="CQ111" s="1012"/>
      <c r="CS111" s="1012"/>
      <c r="CU111" s="1012"/>
      <c r="CW111" s="1012"/>
      <c r="CY111" s="1012"/>
      <c r="DA111" s="1012"/>
      <c r="DC111" s="1012"/>
      <c r="DE111" s="1012"/>
      <c r="DG111" s="1012"/>
      <c r="DI111" s="1012"/>
      <c r="DK111" s="1012"/>
      <c r="DM111" s="1012"/>
      <c r="DO111" s="1012"/>
      <c r="DQ111" s="1012"/>
      <c r="DS111" s="1012"/>
      <c r="DU111" s="1012"/>
      <c r="DW111" s="1012"/>
      <c r="DY111" s="1012"/>
      <c r="EA111" s="1012"/>
      <c r="EC111" s="1012"/>
      <c r="EE111" s="1012"/>
      <c r="EG111" s="1012"/>
      <c r="EI111" s="1012"/>
      <c r="EK111" s="1012"/>
      <c r="EM111" s="1012"/>
      <c r="EO111" s="1012"/>
      <c r="EQ111" s="1012"/>
      <c r="ES111" s="1012"/>
      <c r="EU111" s="1012"/>
      <c r="EW111" s="1012"/>
      <c r="EY111" s="1012"/>
      <c r="FA111" s="1012"/>
      <c r="FC111" s="1012"/>
      <c r="FE111" s="1012"/>
      <c r="FG111" s="1012"/>
      <c r="FH111" s="37"/>
      <c r="FI111" s="37"/>
      <c r="FK111" s="1013"/>
      <c r="FL111" s="1012"/>
      <c r="FM111" s="1012"/>
      <c r="FN111" s="1012"/>
      <c r="FP111" s="1014"/>
      <c r="FQ111" s="1014"/>
      <c r="FR111" s="1014"/>
      <c r="FS111" s="1014"/>
      <c r="FT111" s="1014"/>
      <c r="FU111" s="1014"/>
      <c r="FV111" s="1014"/>
      <c r="FW111" s="1014"/>
      <c r="FX111" s="1014"/>
      <c r="FY111" s="1014"/>
      <c r="FZ111" s="1014"/>
      <c r="GA111" s="1014"/>
      <c r="GB111" s="1014"/>
      <c r="GC111" s="1014"/>
      <c r="GD111" s="1014"/>
      <c r="GE111" s="1014"/>
      <c r="GF111" s="1014"/>
      <c r="GG111" s="1014"/>
      <c r="GH111" s="1014"/>
      <c r="GI111" s="1014"/>
      <c r="GJ111" s="1014"/>
      <c r="GK111" s="1014"/>
      <c r="GL111" s="1014"/>
      <c r="GM111" s="1014"/>
      <c r="GN111" s="1014"/>
      <c r="GO111" s="1014"/>
      <c r="GP111" s="1014"/>
      <c r="GQ111" s="1014"/>
      <c r="GR111" s="1014"/>
      <c r="GS111" s="1014"/>
      <c r="GT111" s="1014"/>
      <c r="GU111" s="1014"/>
      <c r="GV111" s="1014"/>
      <c r="GW111" s="1014"/>
      <c r="GX111" s="1014"/>
      <c r="GY111" s="1014"/>
      <c r="GZ111" s="1014"/>
      <c r="HA111" s="1014"/>
      <c r="HB111" s="1014"/>
      <c r="HC111" s="1014"/>
      <c r="HD111" s="1014"/>
      <c r="HE111" s="1014"/>
      <c r="HF111" s="1014"/>
      <c r="HG111" s="1014"/>
      <c r="HH111" s="1014"/>
      <c r="HI111" s="1014"/>
      <c r="HJ111" s="1014"/>
      <c r="HK111" s="1014"/>
      <c r="HL111" s="1014"/>
      <c r="HM111" s="1014"/>
      <c r="HN111" s="1014"/>
      <c r="HO111" s="1014"/>
      <c r="HP111" s="1014"/>
      <c r="HQ111" s="1014"/>
      <c r="HR111" s="1014"/>
      <c r="HS111" s="1014"/>
      <c r="HT111" s="1014"/>
      <c r="HU111" s="1014"/>
      <c r="HV111" s="1014"/>
    </row>
    <row r="112" spans="1:230" s="470" customFormat="1" ht="15" customHeight="1" outlineLevel="1" x14ac:dyDescent="0.25">
      <c r="A112" s="1031">
        <v>41235</v>
      </c>
      <c r="B112" s="1031"/>
      <c r="C112" s="471"/>
      <c r="D112" s="471"/>
      <c r="H112" s="1006"/>
      <c r="I112" s="37"/>
      <c r="J112" s="1006"/>
      <c r="K112" s="37"/>
      <c r="L112" s="1006"/>
      <c r="M112" s="37"/>
      <c r="N112" s="1006"/>
      <c r="O112" s="37"/>
      <c r="P112" s="1006"/>
      <c r="Q112" s="37"/>
      <c r="R112" s="1006"/>
      <c r="S112" s="37"/>
      <c r="T112" s="37"/>
      <c r="U112" s="37"/>
      <c r="V112" s="1006"/>
      <c r="W112" s="37"/>
      <c r="X112" s="1006"/>
      <c r="Y112" s="37"/>
      <c r="Z112" s="1006"/>
      <c r="AA112" s="37"/>
      <c r="AB112" s="1006"/>
      <c r="AC112" s="37"/>
      <c r="AD112" s="1006"/>
      <c r="AE112" s="37"/>
      <c r="AF112" s="1006"/>
      <c r="AG112" s="37"/>
      <c r="AH112" s="37"/>
      <c r="AI112" s="37"/>
      <c r="AJ112" s="1006"/>
      <c r="AK112" s="37"/>
      <c r="AL112" s="1006"/>
      <c r="AM112" s="37"/>
      <c r="AN112" s="1006"/>
      <c r="AO112" s="37"/>
      <c r="AP112" s="1006"/>
      <c r="AQ112" s="37"/>
      <c r="AR112" s="37"/>
      <c r="AS112" s="37"/>
      <c r="AT112" s="37"/>
      <c r="AU112" s="37"/>
      <c r="AV112" s="37"/>
      <c r="AW112" s="37"/>
      <c r="AX112" s="1006"/>
      <c r="AY112" s="37"/>
      <c r="AZ112" s="1006"/>
      <c r="BA112" s="37"/>
      <c r="BB112" s="1006"/>
      <c r="BC112" s="37"/>
      <c r="BD112" s="1006"/>
      <c r="BE112" s="37"/>
      <c r="BF112" s="1006"/>
      <c r="BG112" s="37"/>
      <c r="BH112" s="37"/>
      <c r="BI112" s="37"/>
      <c r="BJ112" s="37"/>
      <c r="BK112" s="37"/>
      <c r="BL112" s="1006"/>
      <c r="BM112" s="37"/>
      <c r="BN112" s="1006"/>
      <c r="BO112" s="37"/>
      <c r="BP112" s="1006"/>
      <c r="BQ112" s="37"/>
      <c r="BR112" s="1006"/>
      <c r="BS112" s="37"/>
      <c r="BT112" s="1006"/>
      <c r="BU112" s="1006"/>
      <c r="BV112" s="1006"/>
      <c r="BW112" s="1006"/>
      <c r="BX112" s="37"/>
      <c r="BY112" s="37"/>
      <c r="BZ112" s="1006"/>
      <c r="CA112" s="37"/>
      <c r="CB112" s="1006"/>
      <c r="CC112" s="37"/>
      <c r="CD112" s="1006"/>
      <c r="CE112" s="37"/>
      <c r="CF112" s="1006"/>
      <c r="CG112" s="37"/>
      <c r="CH112" s="1006"/>
      <c r="CI112" s="1006"/>
      <c r="CJ112" s="1006"/>
      <c r="CK112" s="1006"/>
      <c r="CL112" s="37"/>
      <c r="CM112" s="37"/>
      <c r="CO112" s="1011"/>
      <c r="CQ112" s="1012"/>
      <c r="CS112" s="1012"/>
      <c r="CU112" s="1012"/>
      <c r="CW112" s="1012"/>
      <c r="CY112" s="1012"/>
      <c r="DA112" s="1012"/>
      <c r="DC112" s="1012"/>
      <c r="DE112" s="1012"/>
      <c r="DG112" s="1012"/>
      <c r="DI112" s="1012"/>
      <c r="DK112" s="1012"/>
      <c r="DM112" s="1012"/>
      <c r="DO112" s="1012"/>
      <c r="DQ112" s="1012"/>
      <c r="DS112" s="1012"/>
      <c r="DU112" s="1012"/>
      <c r="DW112" s="1012"/>
      <c r="DY112" s="1012"/>
      <c r="EA112" s="1012"/>
      <c r="EC112" s="1012"/>
      <c r="EE112" s="1012"/>
      <c r="EG112" s="1012"/>
      <c r="EI112" s="1012"/>
      <c r="EK112" s="1012"/>
      <c r="EM112" s="1012"/>
      <c r="EO112" s="1012"/>
      <c r="EQ112" s="1012"/>
      <c r="ES112" s="1012"/>
      <c r="EU112" s="1012"/>
      <c r="EW112" s="1012"/>
      <c r="EY112" s="1012"/>
      <c r="FA112" s="1012"/>
      <c r="FC112" s="1012"/>
      <c r="FE112" s="1012"/>
      <c r="FG112" s="1012"/>
      <c r="FH112" s="37"/>
      <c r="FI112" s="37"/>
      <c r="FK112" s="1013"/>
      <c r="FL112" s="1012"/>
      <c r="FM112" s="1012"/>
      <c r="FN112" s="1012"/>
      <c r="FP112" s="1014"/>
      <c r="FQ112" s="1014"/>
      <c r="FR112" s="1014"/>
      <c r="FS112" s="1014"/>
      <c r="FT112" s="1014"/>
      <c r="FU112" s="1014"/>
      <c r="FV112" s="1014"/>
      <c r="FW112" s="1014"/>
      <c r="FX112" s="1014"/>
      <c r="FY112" s="1014"/>
      <c r="FZ112" s="1014"/>
      <c r="GA112" s="1014"/>
      <c r="GB112" s="1014"/>
      <c r="GC112" s="1014"/>
      <c r="GD112" s="1014"/>
      <c r="GE112" s="1014"/>
      <c r="GF112" s="1014"/>
      <c r="GG112" s="1014"/>
      <c r="GH112" s="1014"/>
      <c r="GI112" s="1014"/>
      <c r="GJ112" s="1014"/>
      <c r="GK112" s="1014"/>
      <c r="GL112" s="1014"/>
      <c r="GM112" s="1014"/>
      <c r="GN112" s="1014"/>
      <c r="GO112" s="1014"/>
      <c r="GP112" s="1014"/>
      <c r="GQ112" s="1014"/>
      <c r="GR112" s="1014"/>
      <c r="GS112" s="1014"/>
      <c r="GT112" s="1014"/>
      <c r="GU112" s="1014"/>
      <c r="GV112" s="1014"/>
      <c r="GW112" s="1014"/>
      <c r="GX112" s="1014"/>
      <c r="GY112" s="1014"/>
      <c r="GZ112" s="1014"/>
      <c r="HA112" s="1014"/>
      <c r="HB112" s="1014"/>
      <c r="HC112" s="1014"/>
      <c r="HD112" s="1014"/>
      <c r="HE112" s="1014"/>
      <c r="HF112" s="1014"/>
      <c r="HG112" s="1014"/>
      <c r="HH112" s="1014"/>
      <c r="HI112" s="1014"/>
      <c r="HJ112" s="1014"/>
      <c r="HK112" s="1014"/>
      <c r="HL112" s="1014"/>
      <c r="HM112" s="1014"/>
      <c r="HN112" s="1014"/>
      <c r="HO112" s="1014"/>
      <c r="HP112" s="1014"/>
      <c r="HQ112" s="1014"/>
      <c r="HR112" s="1014"/>
      <c r="HS112" s="1014"/>
      <c r="HT112" s="1014"/>
      <c r="HU112" s="1014"/>
      <c r="HV112" s="1014"/>
    </row>
    <row r="113" spans="1:230" s="470" customFormat="1" ht="15" customHeight="1" outlineLevel="1" x14ac:dyDescent="0.25">
      <c r="A113" s="1031">
        <v>41236</v>
      </c>
      <c r="B113" s="1031"/>
      <c r="C113" s="471"/>
      <c r="D113" s="471"/>
      <c r="H113" s="1006"/>
      <c r="I113" s="37"/>
      <c r="J113" s="1006"/>
      <c r="K113" s="37"/>
      <c r="L113" s="1006"/>
      <c r="M113" s="37"/>
      <c r="N113" s="1006"/>
      <c r="O113" s="37"/>
      <c r="P113" s="1006"/>
      <c r="Q113" s="37"/>
      <c r="R113" s="1006"/>
      <c r="S113" s="37"/>
      <c r="T113" s="37"/>
      <c r="U113" s="37"/>
      <c r="V113" s="1006"/>
      <c r="W113" s="37"/>
      <c r="X113" s="1006"/>
      <c r="Y113" s="37"/>
      <c r="Z113" s="1006"/>
      <c r="AA113" s="37"/>
      <c r="AB113" s="1006"/>
      <c r="AC113" s="37"/>
      <c r="AD113" s="1006"/>
      <c r="AE113" s="37"/>
      <c r="AF113" s="1006"/>
      <c r="AG113" s="37"/>
      <c r="AH113" s="37"/>
      <c r="AI113" s="37"/>
      <c r="AJ113" s="1006"/>
      <c r="AK113" s="37"/>
      <c r="AL113" s="1006"/>
      <c r="AM113" s="37"/>
      <c r="AN113" s="1006"/>
      <c r="AO113" s="37"/>
      <c r="AP113" s="1006"/>
      <c r="AQ113" s="37"/>
      <c r="AR113" s="37"/>
      <c r="AS113" s="37"/>
      <c r="AT113" s="37"/>
      <c r="AU113" s="37"/>
      <c r="AV113" s="37"/>
      <c r="AW113" s="37"/>
      <c r="AX113" s="1006"/>
      <c r="AY113" s="37"/>
      <c r="AZ113" s="1006"/>
      <c r="BA113" s="37"/>
      <c r="BB113" s="1006"/>
      <c r="BC113" s="37"/>
      <c r="BD113" s="1006"/>
      <c r="BE113" s="37"/>
      <c r="BF113" s="1006"/>
      <c r="BG113" s="37"/>
      <c r="BH113" s="37"/>
      <c r="BI113" s="37"/>
      <c r="BJ113" s="37"/>
      <c r="BK113" s="37"/>
      <c r="BL113" s="1006"/>
      <c r="BM113" s="37"/>
      <c r="BN113" s="1006"/>
      <c r="BO113" s="37"/>
      <c r="BP113" s="1006"/>
      <c r="BQ113" s="37"/>
      <c r="BR113" s="1006"/>
      <c r="BS113" s="37"/>
      <c r="BT113" s="1006"/>
      <c r="BU113" s="1006"/>
      <c r="BV113" s="1006"/>
      <c r="BW113" s="1006"/>
      <c r="BX113" s="37"/>
      <c r="BY113" s="37"/>
      <c r="BZ113" s="1006"/>
      <c r="CA113" s="37"/>
      <c r="CB113" s="1006"/>
      <c r="CC113" s="37"/>
      <c r="CD113" s="1006"/>
      <c r="CE113" s="37"/>
      <c r="CF113" s="1006"/>
      <c r="CG113" s="37"/>
      <c r="CH113" s="1006"/>
      <c r="CI113" s="1006"/>
      <c r="CJ113" s="1006"/>
      <c r="CK113" s="1006"/>
      <c r="CL113" s="37"/>
      <c r="CM113" s="37"/>
      <c r="CO113" s="1011"/>
      <c r="CQ113" s="1012"/>
      <c r="CS113" s="1012"/>
      <c r="CU113" s="1012"/>
      <c r="CW113" s="1012"/>
      <c r="CY113" s="1012"/>
      <c r="DA113" s="1012"/>
      <c r="DC113" s="1012"/>
      <c r="DE113" s="1012"/>
      <c r="DG113" s="1012"/>
      <c r="DI113" s="1012"/>
      <c r="DK113" s="1012"/>
      <c r="DM113" s="1012"/>
      <c r="DO113" s="1012"/>
      <c r="DQ113" s="1012"/>
      <c r="DS113" s="1012"/>
      <c r="DU113" s="1012"/>
      <c r="DW113" s="1012"/>
      <c r="DY113" s="1012"/>
      <c r="EA113" s="1012"/>
      <c r="EC113" s="1012"/>
      <c r="EE113" s="1012"/>
      <c r="EG113" s="1012"/>
      <c r="EI113" s="1012"/>
      <c r="EK113" s="1012"/>
      <c r="EM113" s="1012"/>
      <c r="EO113" s="1012"/>
      <c r="EQ113" s="1012"/>
      <c r="ES113" s="1012"/>
      <c r="EU113" s="1012"/>
      <c r="EW113" s="1012"/>
      <c r="EY113" s="1012"/>
      <c r="FA113" s="1012"/>
      <c r="FC113" s="1012"/>
      <c r="FE113" s="1012"/>
      <c r="FG113" s="1012"/>
      <c r="FH113" s="37"/>
      <c r="FI113" s="37"/>
      <c r="FK113" s="1013"/>
      <c r="FL113" s="1012"/>
      <c r="FM113" s="1012"/>
      <c r="FN113" s="1012"/>
      <c r="FP113" s="1014"/>
      <c r="FQ113" s="1014"/>
      <c r="FR113" s="1014"/>
      <c r="FS113" s="1014"/>
      <c r="FT113" s="1014"/>
      <c r="FU113" s="1014"/>
      <c r="FV113" s="1014"/>
      <c r="FW113" s="1014"/>
      <c r="FX113" s="1014"/>
      <c r="FY113" s="1014"/>
      <c r="FZ113" s="1014"/>
      <c r="GA113" s="1014"/>
      <c r="GB113" s="1014"/>
      <c r="GC113" s="1014"/>
      <c r="GD113" s="1014"/>
      <c r="GE113" s="1014"/>
      <c r="GF113" s="1014"/>
      <c r="GG113" s="1014"/>
      <c r="GH113" s="1014"/>
      <c r="GI113" s="1014"/>
      <c r="GJ113" s="1014"/>
      <c r="GK113" s="1014"/>
      <c r="GL113" s="1014"/>
      <c r="GM113" s="1014"/>
      <c r="GN113" s="1014"/>
      <c r="GO113" s="1014"/>
      <c r="GP113" s="1014"/>
      <c r="GQ113" s="1014"/>
      <c r="GR113" s="1014"/>
      <c r="GS113" s="1014"/>
      <c r="GT113" s="1014"/>
      <c r="GU113" s="1014"/>
      <c r="GV113" s="1014"/>
      <c r="GW113" s="1014"/>
      <c r="GX113" s="1014"/>
      <c r="GY113" s="1014"/>
      <c r="GZ113" s="1014"/>
      <c r="HA113" s="1014"/>
      <c r="HB113" s="1014"/>
      <c r="HC113" s="1014"/>
      <c r="HD113" s="1014"/>
      <c r="HE113" s="1014"/>
      <c r="HF113" s="1014"/>
      <c r="HG113" s="1014"/>
      <c r="HH113" s="1014"/>
      <c r="HI113" s="1014"/>
      <c r="HJ113" s="1014"/>
      <c r="HK113" s="1014"/>
      <c r="HL113" s="1014"/>
      <c r="HM113" s="1014"/>
      <c r="HN113" s="1014"/>
      <c r="HO113" s="1014"/>
      <c r="HP113" s="1014"/>
      <c r="HQ113" s="1014"/>
      <c r="HR113" s="1014"/>
      <c r="HS113" s="1014"/>
      <c r="HT113" s="1014"/>
      <c r="HU113" s="1014"/>
      <c r="HV113" s="1014"/>
    </row>
    <row r="114" spans="1:230" s="470" customFormat="1" ht="15" customHeight="1" outlineLevel="1" x14ac:dyDescent="0.25">
      <c r="A114" s="1031">
        <v>41267</v>
      </c>
      <c r="B114" s="1031"/>
      <c r="C114" s="471"/>
      <c r="D114" s="471"/>
      <c r="H114" s="1006"/>
      <c r="I114" s="37"/>
      <c r="J114" s="1006"/>
      <c r="K114" s="37"/>
      <c r="L114" s="1006"/>
      <c r="M114" s="37"/>
      <c r="N114" s="1006"/>
      <c r="O114" s="37"/>
      <c r="P114" s="1006"/>
      <c r="Q114" s="37"/>
      <c r="R114" s="1006"/>
      <c r="S114" s="37"/>
      <c r="T114" s="37"/>
      <c r="U114" s="37"/>
      <c r="V114" s="1006"/>
      <c r="W114" s="37"/>
      <c r="X114" s="1006"/>
      <c r="Y114" s="37"/>
      <c r="Z114" s="1006"/>
      <c r="AA114" s="37"/>
      <c r="AB114" s="1006"/>
      <c r="AC114" s="37"/>
      <c r="AD114" s="1006"/>
      <c r="AE114" s="37"/>
      <c r="AF114" s="1006"/>
      <c r="AG114" s="37"/>
      <c r="AH114" s="37"/>
      <c r="AI114" s="37"/>
      <c r="AJ114" s="1006"/>
      <c r="AK114" s="37"/>
      <c r="AL114" s="1006"/>
      <c r="AM114" s="37"/>
      <c r="AN114" s="1006"/>
      <c r="AO114" s="37"/>
      <c r="AP114" s="1006"/>
      <c r="AQ114" s="37"/>
      <c r="AR114" s="37"/>
      <c r="AS114" s="37"/>
      <c r="AT114" s="37"/>
      <c r="AU114" s="37"/>
      <c r="AV114" s="37"/>
      <c r="AW114" s="37"/>
      <c r="AX114" s="1006"/>
      <c r="AY114" s="37"/>
      <c r="AZ114" s="1006"/>
      <c r="BA114" s="37"/>
      <c r="BB114" s="1006"/>
      <c r="BC114" s="37"/>
      <c r="BD114" s="1006"/>
      <c r="BE114" s="37"/>
      <c r="BF114" s="1006"/>
      <c r="BG114" s="37"/>
      <c r="BH114" s="37"/>
      <c r="BI114" s="37"/>
      <c r="BJ114" s="37"/>
      <c r="BK114" s="37"/>
      <c r="BL114" s="1006"/>
      <c r="BM114" s="37"/>
      <c r="BN114" s="1006"/>
      <c r="BO114" s="37"/>
      <c r="BP114" s="1006"/>
      <c r="BQ114" s="37"/>
      <c r="BR114" s="1006"/>
      <c r="BS114" s="37"/>
      <c r="BT114" s="1006"/>
      <c r="BU114" s="1006"/>
      <c r="BV114" s="1006"/>
      <c r="BW114" s="1006"/>
      <c r="BX114" s="37"/>
      <c r="BY114" s="37"/>
      <c r="BZ114" s="1006"/>
      <c r="CA114" s="37"/>
      <c r="CB114" s="1006"/>
      <c r="CC114" s="37"/>
      <c r="CD114" s="1006"/>
      <c r="CE114" s="37"/>
      <c r="CF114" s="1006"/>
      <c r="CG114" s="37"/>
      <c r="CH114" s="1006"/>
      <c r="CI114" s="1006"/>
      <c r="CJ114" s="1006"/>
      <c r="CK114" s="1006"/>
      <c r="CL114" s="37"/>
      <c r="CM114" s="37"/>
      <c r="CO114" s="1011"/>
      <c r="CQ114" s="1012"/>
      <c r="CS114" s="1012"/>
      <c r="CU114" s="1012"/>
      <c r="CW114" s="1012"/>
      <c r="CY114" s="1012"/>
      <c r="DA114" s="1012"/>
      <c r="DC114" s="1012"/>
      <c r="DE114" s="1012"/>
      <c r="DG114" s="1012"/>
      <c r="DI114" s="1012"/>
      <c r="DK114" s="1012"/>
      <c r="DM114" s="1012"/>
      <c r="DO114" s="1012"/>
      <c r="DQ114" s="1012"/>
      <c r="DS114" s="1012"/>
      <c r="DU114" s="1012"/>
      <c r="DW114" s="1012"/>
      <c r="DY114" s="1012"/>
      <c r="EA114" s="1012"/>
      <c r="EC114" s="1012"/>
      <c r="EE114" s="1012"/>
      <c r="EG114" s="1012"/>
      <c r="EI114" s="1012"/>
      <c r="EK114" s="1012"/>
      <c r="EM114" s="1012"/>
      <c r="EO114" s="1012"/>
      <c r="EQ114" s="1012"/>
      <c r="ES114" s="1012"/>
      <c r="EU114" s="1012"/>
      <c r="EW114" s="1012"/>
      <c r="EY114" s="1012"/>
      <c r="FA114" s="1012"/>
      <c r="FC114" s="1012"/>
      <c r="FE114" s="1012"/>
      <c r="FG114" s="1012"/>
      <c r="FH114" s="37"/>
      <c r="FI114" s="37"/>
      <c r="FK114" s="1013"/>
      <c r="FL114" s="1012"/>
      <c r="FM114" s="1012"/>
      <c r="FN114" s="1012"/>
      <c r="FP114" s="1014"/>
      <c r="FQ114" s="1014"/>
      <c r="FR114" s="1014"/>
      <c r="FS114" s="1014"/>
      <c r="FT114" s="1014"/>
      <c r="FU114" s="1014"/>
      <c r="FV114" s="1014"/>
      <c r="FW114" s="1014"/>
      <c r="FX114" s="1014"/>
      <c r="FY114" s="1014"/>
      <c r="FZ114" s="1014"/>
      <c r="GA114" s="1014"/>
      <c r="GB114" s="1014"/>
      <c r="GC114" s="1014"/>
      <c r="GD114" s="1014"/>
      <c r="GE114" s="1014"/>
      <c r="GF114" s="1014"/>
      <c r="GG114" s="1014"/>
      <c r="GH114" s="1014"/>
      <c r="GI114" s="1014"/>
      <c r="GJ114" s="1014"/>
      <c r="GK114" s="1014"/>
      <c r="GL114" s="1014"/>
      <c r="GM114" s="1014"/>
      <c r="GN114" s="1014"/>
      <c r="GO114" s="1014"/>
      <c r="GP114" s="1014"/>
      <c r="GQ114" s="1014"/>
      <c r="GR114" s="1014"/>
      <c r="GS114" s="1014"/>
      <c r="GT114" s="1014"/>
      <c r="GU114" s="1014"/>
      <c r="GV114" s="1014"/>
      <c r="GW114" s="1014"/>
      <c r="GX114" s="1014"/>
      <c r="GY114" s="1014"/>
      <c r="GZ114" s="1014"/>
      <c r="HA114" s="1014"/>
      <c r="HB114" s="1014"/>
      <c r="HC114" s="1014"/>
      <c r="HD114" s="1014"/>
      <c r="HE114" s="1014"/>
      <c r="HF114" s="1014"/>
      <c r="HG114" s="1014"/>
      <c r="HH114" s="1014"/>
      <c r="HI114" s="1014"/>
      <c r="HJ114" s="1014"/>
      <c r="HK114" s="1014"/>
      <c r="HL114" s="1014"/>
      <c r="HM114" s="1014"/>
      <c r="HN114" s="1014"/>
      <c r="HO114" s="1014"/>
      <c r="HP114" s="1014"/>
      <c r="HQ114" s="1014"/>
      <c r="HR114" s="1014"/>
      <c r="HS114" s="1014"/>
      <c r="HT114" s="1014"/>
      <c r="HU114" s="1014"/>
      <c r="HV114" s="1014"/>
    </row>
    <row r="115" spans="1:230" s="470" customFormat="1" ht="15" customHeight="1" outlineLevel="1" x14ac:dyDescent="0.25">
      <c r="A115" s="1031">
        <v>41268</v>
      </c>
      <c r="B115" s="1031"/>
      <c r="C115" s="471"/>
      <c r="D115" s="471"/>
      <c r="H115" s="1006"/>
      <c r="I115" s="37"/>
      <c r="J115" s="1006"/>
      <c r="K115" s="37"/>
      <c r="L115" s="1006"/>
      <c r="M115" s="37"/>
      <c r="N115" s="1006"/>
      <c r="O115" s="37"/>
      <c r="P115" s="1006"/>
      <c r="Q115" s="37"/>
      <c r="R115" s="1006"/>
      <c r="S115" s="37"/>
      <c r="T115" s="37"/>
      <c r="U115" s="37"/>
      <c r="V115" s="1006"/>
      <c r="W115" s="37"/>
      <c r="X115" s="1006"/>
      <c r="Y115" s="37"/>
      <c r="Z115" s="1006"/>
      <c r="AA115" s="37"/>
      <c r="AB115" s="1006"/>
      <c r="AC115" s="37"/>
      <c r="AD115" s="1006"/>
      <c r="AE115" s="37"/>
      <c r="AF115" s="1006"/>
      <c r="AG115" s="37"/>
      <c r="AH115" s="37"/>
      <c r="AI115" s="37"/>
      <c r="AJ115" s="1006"/>
      <c r="AK115" s="37"/>
      <c r="AL115" s="1006"/>
      <c r="AM115" s="37"/>
      <c r="AN115" s="1006"/>
      <c r="AO115" s="37"/>
      <c r="AP115" s="1006"/>
      <c r="AQ115" s="37"/>
      <c r="AR115" s="37"/>
      <c r="AS115" s="37"/>
      <c r="AT115" s="37"/>
      <c r="AU115" s="37"/>
      <c r="AV115" s="37"/>
      <c r="AW115" s="37"/>
      <c r="AX115" s="1006"/>
      <c r="AY115" s="37"/>
      <c r="AZ115" s="1006"/>
      <c r="BA115" s="37"/>
      <c r="BB115" s="1006"/>
      <c r="BC115" s="37"/>
      <c r="BD115" s="1006"/>
      <c r="BE115" s="37"/>
      <c r="BF115" s="1006"/>
      <c r="BG115" s="37"/>
      <c r="BH115" s="37"/>
      <c r="BI115" s="37"/>
      <c r="BJ115" s="37"/>
      <c r="BK115" s="37"/>
      <c r="BL115" s="1006"/>
      <c r="BM115" s="37"/>
      <c r="BN115" s="1006"/>
      <c r="BO115" s="37"/>
      <c r="BP115" s="1006"/>
      <c r="BQ115" s="37"/>
      <c r="BR115" s="1006"/>
      <c r="BS115" s="37"/>
      <c r="BT115" s="1006"/>
      <c r="BU115" s="1006"/>
      <c r="BV115" s="1006"/>
      <c r="BW115" s="1006"/>
      <c r="BX115" s="37"/>
      <c r="BY115" s="37"/>
      <c r="BZ115" s="1006"/>
      <c r="CA115" s="37"/>
      <c r="CB115" s="1006"/>
      <c r="CC115" s="37"/>
      <c r="CD115" s="1006"/>
      <c r="CE115" s="37"/>
      <c r="CF115" s="1006"/>
      <c r="CG115" s="37"/>
      <c r="CH115" s="1006"/>
      <c r="CI115" s="1006"/>
      <c r="CJ115" s="1006"/>
      <c r="CK115" s="1006"/>
      <c r="CL115" s="37"/>
      <c r="CM115" s="37"/>
      <c r="CO115" s="1011"/>
      <c r="CQ115" s="1012"/>
      <c r="CS115" s="1012"/>
      <c r="CU115" s="1012"/>
      <c r="CW115" s="1012"/>
      <c r="CY115" s="1012"/>
      <c r="DA115" s="1012"/>
      <c r="DC115" s="1012"/>
      <c r="DE115" s="1012"/>
      <c r="DG115" s="1012"/>
      <c r="DI115" s="1012"/>
      <c r="DK115" s="1012"/>
      <c r="DM115" s="1012"/>
      <c r="DO115" s="1012"/>
      <c r="DQ115" s="1012"/>
      <c r="DS115" s="1012"/>
      <c r="DU115" s="1012"/>
      <c r="DW115" s="1012"/>
      <c r="DY115" s="1012"/>
      <c r="EA115" s="1012"/>
      <c r="EC115" s="1012"/>
      <c r="EE115" s="1012"/>
      <c r="EG115" s="1012"/>
      <c r="EI115" s="1012"/>
      <c r="EK115" s="1012"/>
      <c r="EM115" s="1012"/>
      <c r="EO115" s="1012"/>
      <c r="EQ115" s="1012"/>
      <c r="ES115" s="1012"/>
      <c r="EU115" s="1012"/>
      <c r="EW115" s="1012"/>
      <c r="EY115" s="1012"/>
      <c r="FA115" s="1012"/>
      <c r="FC115" s="1012"/>
      <c r="FE115" s="1012"/>
      <c r="FG115" s="1012"/>
      <c r="FH115" s="37"/>
      <c r="FI115" s="37"/>
      <c r="FK115" s="1013"/>
      <c r="FL115" s="1012"/>
      <c r="FM115" s="1012"/>
      <c r="FN115" s="1012"/>
      <c r="FP115" s="1014"/>
      <c r="FQ115" s="1014"/>
      <c r="FR115" s="1014"/>
      <c r="FS115" s="1014"/>
      <c r="FT115" s="1014"/>
      <c r="FU115" s="1014"/>
      <c r="FV115" s="1014"/>
      <c r="FW115" s="1014"/>
      <c r="FX115" s="1014"/>
      <c r="FY115" s="1014"/>
      <c r="FZ115" s="1014"/>
      <c r="GA115" s="1014"/>
      <c r="GB115" s="1014"/>
      <c r="GC115" s="1014"/>
      <c r="GD115" s="1014"/>
      <c r="GE115" s="1014"/>
      <c r="GF115" s="1014"/>
      <c r="GG115" s="1014"/>
      <c r="GH115" s="1014"/>
      <c r="GI115" s="1014"/>
      <c r="GJ115" s="1014"/>
      <c r="GK115" s="1014"/>
      <c r="GL115" s="1014"/>
      <c r="GM115" s="1014"/>
      <c r="GN115" s="1014"/>
      <c r="GO115" s="1014"/>
      <c r="GP115" s="1014"/>
      <c r="GQ115" s="1014"/>
      <c r="GR115" s="1014"/>
      <c r="GS115" s="1014"/>
      <c r="GT115" s="1014"/>
      <c r="GU115" s="1014"/>
      <c r="GV115" s="1014"/>
      <c r="GW115" s="1014"/>
      <c r="GX115" s="1014"/>
      <c r="GY115" s="1014"/>
      <c r="GZ115" s="1014"/>
      <c r="HA115" s="1014"/>
      <c r="HB115" s="1014"/>
      <c r="HC115" s="1014"/>
      <c r="HD115" s="1014"/>
      <c r="HE115" s="1014"/>
      <c r="HF115" s="1014"/>
      <c r="HG115" s="1014"/>
      <c r="HH115" s="1014"/>
      <c r="HI115" s="1014"/>
      <c r="HJ115" s="1014"/>
      <c r="HK115" s="1014"/>
      <c r="HL115" s="1014"/>
      <c r="HM115" s="1014"/>
      <c r="HN115" s="1014"/>
      <c r="HO115" s="1014"/>
      <c r="HP115" s="1014"/>
      <c r="HQ115" s="1014"/>
      <c r="HR115" s="1014"/>
      <c r="HS115" s="1014"/>
      <c r="HT115" s="1014"/>
      <c r="HU115" s="1014"/>
      <c r="HV115" s="1014"/>
    </row>
    <row r="116" spans="1:230" s="470" customFormat="1" ht="15" customHeight="1" outlineLevel="1" x14ac:dyDescent="0.25">
      <c r="A116" s="1031">
        <v>41269</v>
      </c>
      <c r="B116" s="1031"/>
      <c r="C116" s="471"/>
      <c r="D116" s="471"/>
      <c r="H116" s="1006"/>
      <c r="I116" s="37"/>
      <c r="J116" s="1006"/>
      <c r="K116" s="37"/>
      <c r="L116" s="1006"/>
      <c r="M116" s="37"/>
      <c r="N116" s="1006"/>
      <c r="O116" s="37"/>
      <c r="P116" s="1006"/>
      <c r="Q116" s="37"/>
      <c r="R116" s="1006"/>
      <c r="S116" s="37"/>
      <c r="T116" s="37"/>
      <c r="U116" s="37"/>
      <c r="V116" s="1006"/>
      <c r="W116" s="37"/>
      <c r="X116" s="1006"/>
      <c r="Y116" s="37"/>
      <c r="Z116" s="1006"/>
      <c r="AA116" s="37"/>
      <c r="AB116" s="1006"/>
      <c r="AC116" s="37"/>
      <c r="AD116" s="1006"/>
      <c r="AE116" s="37"/>
      <c r="AF116" s="1006"/>
      <c r="AG116" s="37"/>
      <c r="AH116" s="37"/>
      <c r="AI116" s="37"/>
      <c r="AJ116" s="1006"/>
      <c r="AK116" s="37"/>
      <c r="AL116" s="1006"/>
      <c r="AM116" s="37"/>
      <c r="AN116" s="1006"/>
      <c r="AO116" s="37"/>
      <c r="AP116" s="1006"/>
      <c r="AQ116" s="37"/>
      <c r="AR116" s="37"/>
      <c r="AS116" s="37"/>
      <c r="AT116" s="37"/>
      <c r="AU116" s="37"/>
      <c r="AV116" s="37"/>
      <c r="AW116" s="37"/>
      <c r="AX116" s="1006"/>
      <c r="AY116" s="37"/>
      <c r="AZ116" s="1006"/>
      <c r="BA116" s="37"/>
      <c r="BB116" s="1006"/>
      <c r="BC116" s="37"/>
      <c r="BD116" s="1006"/>
      <c r="BE116" s="37"/>
      <c r="BF116" s="1006"/>
      <c r="BG116" s="37"/>
      <c r="BH116" s="37"/>
      <c r="BI116" s="37"/>
      <c r="BJ116" s="37"/>
      <c r="BK116" s="37"/>
      <c r="BL116" s="1006"/>
      <c r="BM116" s="37"/>
      <c r="BN116" s="1006"/>
      <c r="BO116" s="37"/>
      <c r="BP116" s="1006"/>
      <c r="BQ116" s="37"/>
      <c r="BR116" s="1006"/>
      <c r="BS116" s="37"/>
      <c r="BT116" s="1006"/>
      <c r="BU116" s="1006"/>
      <c r="BV116" s="1006"/>
      <c r="BW116" s="1006"/>
      <c r="BX116" s="37"/>
      <c r="BY116" s="37"/>
      <c r="BZ116" s="1006"/>
      <c r="CA116" s="37"/>
      <c r="CB116" s="1006"/>
      <c r="CC116" s="37"/>
      <c r="CD116" s="1006"/>
      <c r="CE116" s="37"/>
      <c r="CF116" s="1006"/>
      <c r="CG116" s="37"/>
      <c r="CH116" s="1006"/>
      <c r="CI116" s="1006"/>
      <c r="CJ116" s="1006"/>
      <c r="CK116" s="1006"/>
      <c r="CL116" s="37"/>
      <c r="CM116" s="37"/>
      <c r="CO116" s="1011"/>
      <c r="CQ116" s="1012"/>
      <c r="CS116" s="1012"/>
      <c r="CU116" s="1012"/>
      <c r="CW116" s="1012"/>
      <c r="CY116" s="1012"/>
      <c r="DA116" s="1012"/>
      <c r="DC116" s="1012"/>
      <c r="DE116" s="1012"/>
      <c r="DG116" s="1012"/>
      <c r="DI116" s="1012"/>
      <c r="DK116" s="1012"/>
      <c r="DM116" s="1012"/>
      <c r="DO116" s="1012"/>
      <c r="DQ116" s="1012"/>
      <c r="DS116" s="1012"/>
      <c r="DU116" s="1012"/>
      <c r="DW116" s="1012"/>
      <c r="DY116" s="1012"/>
      <c r="EA116" s="1012"/>
      <c r="EC116" s="1012"/>
      <c r="EE116" s="1012"/>
      <c r="EG116" s="1012"/>
      <c r="EI116" s="1012"/>
      <c r="EK116" s="1012"/>
      <c r="EM116" s="1012"/>
      <c r="EO116" s="1012"/>
      <c r="EQ116" s="1012"/>
      <c r="ES116" s="1012"/>
      <c r="EU116" s="1012"/>
      <c r="EW116" s="1012"/>
      <c r="EY116" s="1012"/>
      <c r="FA116" s="1012"/>
      <c r="FC116" s="1012"/>
      <c r="FE116" s="1012"/>
      <c r="FG116" s="1012"/>
      <c r="FH116" s="37"/>
      <c r="FI116" s="37"/>
      <c r="FK116" s="1013"/>
      <c r="FL116" s="1012"/>
      <c r="FM116" s="1012"/>
      <c r="FN116" s="1012"/>
      <c r="FP116" s="1014"/>
      <c r="FQ116" s="1014"/>
      <c r="FR116" s="1014"/>
      <c r="FS116" s="1014"/>
      <c r="FT116" s="1014"/>
      <c r="FU116" s="1014"/>
      <c r="FV116" s="1014"/>
      <c r="FW116" s="1014"/>
      <c r="FX116" s="1014"/>
      <c r="FY116" s="1014"/>
      <c r="FZ116" s="1014"/>
      <c r="GA116" s="1014"/>
      <c r="GB116" s="1014"/>
      <c r="GC116" s="1014"/>
      <c r="GD116" s="1014"/>
      <c r="GE116" s="1014"/>
      <c r="GF116" s="1014"/>
      <c r="GG116" s="1014"/>
      <c r="GH116" s="1014"/>
      <c r="GI116" s="1014"/>
      <c r="GJ116" s="1014"/>
      <c r="GK116" s="1014"/>
      <c r="GL116" s="1014"/>
      <c r="GM116" s="1014"/>
      <c r="GN116" s="1014"/>
      <c r="GO116" s="1014"/>
      <c r="GP116" s="1014"/>
      <c r="GQ116" s="1014"/>
      <c r="GR116" s="1014"/>
      <c r="GS116" s="1014"/>
      <c r="GT116" s="1014"/>
      <c r="GU116" s="1014"/>
      <c r="GV116" s="1014"/>
      <c r="GW116" s="1014"/>
      <c r="GX116" s="1014"/>
      <c r="GY116" s="1014"/>
      <c r="GZ116" s="1014"/>
      <c r="HA116" s="1014"/>
      <c r="HB116" s="1014"/>
      <c r="HC116" s="1014"/>
      <c r="HD116" s="1014"/>
      <c r="HE116" s="1014"/>
      <c r="HF116" s="1014"/>
      <c r="HG116" s="1014"/>
      <c r="HH116" s="1014"/>
      <c r="HI116" s="1014"/>
      <c r="HJ116" s="1014"/>
      <c r="HK116" s="1014"/>
      <c r="HL116" s="1014"/>
      <c r="HM116" s="1014"/>
      <c r="HN116" s="1014"/>
      <c r="HO116" s="1014"/>
      <c r="HP116" s="1014"/>
      <c r="HQ116" s="1014"/>
      <c r="HR116" s="1014"/>
      <c r="HS116" s="1014"/>
      <c r="HT116" s="1014"/>
      <c r="HU116" s="1014"/>
      <c r="HV116" s="1014"/>
    </row>
    <row r="117" spans="1:230" s="470" customFormat="1" ht="15" customHeight="1" outlineLevel="1" x14ac:dyDescent="0.25">
      <c r="A117" s="1031">
        <v>41275</v>
      </c>
      <c r="B117" s="1031"/>
      <c r="C117" s="471"/>
      <c r="D117" s="471"/>
      <c r="H117" s="1006"/>
      <c r="I117" s="37"/>
      <c r="J117" s="1006"/>
      <c r="K117" s="37"/>
      <c r="L117" s="1006"/>
      <c r="M117" s="37"/>
      <c r="N117" s="1006"/>
      <c r="O117" s="37"/>
      <c r="P117" s="1006"/>
      <c r="Q117" s="37"/>
      <c r="R117" s="1006"/>
      <c r="S117" s="37"/>
      <c r="T117" s="37"/>
      <c r="U117" s="37"/>
      <c r="V117" s="1006"/>
      <c r="W117" s="37"/>
      <c r="X117" s="1006"/>
      <c r="Y117" s="37"/>
      <c r="Z117" s="1006"/>
      <c r="AA117" s="37"/>
      <c r="AB117" s="1006"/>
      <c r="AC117" s="37"/>
      <c r="AD117" s="1006"/>
      <c r="AE117" s="37"/>
      <c r="AF117" s="1006"/>
      <c r="AG117" s="37"/>
      <c r="AH117" s="37"/>
      <c r="AI117" s="37"/>
      <c r="AJ117" s="1006"/>
      <c r="AK117" s="37"/>
      <c r="AL117" s="1006"/>
      <c r="AM117" s="37"/>
      <c r="AN117" s="1006"/>
      <c r="AO117" s="37"/>
      <c r="AP117" s="1006"/>
      <c r="AQ117" s="37"/>
      <c r="AR117" s="37"/>
      <c r="AS117" s="37"/>
      <c r="AT117" s="37"/>
      <c r="AU117" s="37"/>
      <c r="AV117" s="37"/>
      <c r="AW117" s="37"/>
      <c r="AX117" s="1006"/>
      <c r="AY117" s="37"/>
      <c r="AZ117" s="1006"/>
      <c r="BA117" s="37"/>
      <c r="BB117" s="1006"/>
      <c r="BC117" s="37"/>
      <c r="BD117" s="1006"/>
      <c r="BE117" s="37"/>
      <c r="BF117" s="1006"/>
      <c r="BG117" s="37"/>
      <c r="BH117" s="37"/>
      <c r="BI117" s="37"/>
      <c r="BJ117" s="37"/>
      <c r="BK117" s="37"/>
      <c r="BL117" s="1006"/>
      <c r="BM117" s="37"/>
      <c r="BN117" s="1006"/>
      <c r="BO117" s="37"/>
      <c r="BP117" s="1006"/>
      <c r="BQ117" s="37"/>
      <c r="BR117" s="1006"/>
      <c r="BS117" s="37"/>
      <c r="BT117" s="1006"/>
      <c r="BU117" s="1006"/>
      <c r="BV117" s="1006"/>
      <c r="BW117" s="1006"/>
      <c r="BX117" s="37"/>
      <c r="BY117" s="37"/>
      <c r="BZ117" s="1006"/>
      <c r="CA117" s="37"/>
      <c r="CB117" s="1006"/>
      <c r="CC117" s="37"/>
      <c r="CD117" s="1006"/>
      <c r="CE117" s="37"/>
      <c r="CF117" s="1006"/>
      <c r="CG117" s="37"/>
      <c r="CH117" s="1006"/>
      <c r="CI117" s="1006"/>
      <c r="CJ117" s="1006"/>
      <c r="CK117" s="1006"/>
      <c r="CL117" s="37"/>
      <c r="CM117" s="37"/>
      <c r="CO117" s="1011"/>
      <c r="CQ117" s="1012"/>
      <c r="CS117" s="1012"/>
      <c r="CU117" s="1012"/>
      <c r="CW117" s="1012"/>
      <c r="CY117" s="1012"/>
      <c r="DA117" s="1012"/>
      <c r="DC117" s="1012"/>
      <c r="DE117" s="1012"/>
      <c r="DG117" s="1012"/>
      <c r="DI117" s="1012"/>
      <c r="DK117" s="1012"/>
      <c r="DM117" s="1012"/>
      <c r="DO117" s="1012"/>
      <c r="DQ117" s="1012"/>
      <c r="DS117" s="1012"/>
      <c r="DU117" s="1012"/>
      <c r="DW117" s="1012"/>
      <c r="DY117" s="1012"/>
      <c r="EA117" s="1012"/>
      <c r="EC117" s="1012"/>
      <c r="EE117" s="1012"/>
      <c r="EG117" s="1012"/>
      <c r="EI117" s="1012"/>
      <c r="EK117" s="1012"/>
      <c r="EM117" s="1012"/>
      <c r="EO117" s="1012"/>
      <c r="EQ117" s="1012"/>
      <c r="ES117" s="1012"/>
      <c r="EU117" s="1012"/>
      <c r="EW117" s="1012"/>
      <c r="EY117" s="1012"/>
      <c r="FA117" s="1012"/>
      <c r="FC117" s="1012"/>
      <c r="FE117" s="1012"/>
      <c r="FG117" s="1012"/>
      <c r="FH117" s="1015"/>
      <c r="FI117" s="37"/>
      <c r="FK117" s="1013"/>
      <c r="FL117" s="1012"/>
      <c r="FM117" s="1012"/>
      <c r="FN117" s="1012"/>
      <c r="FP117" s="1014"/>
      <c r="FQ117" s="1014"/>
      <c r="FR117" s="1014"/>
      <c r="FS117" s="1014"/>
      <c r="FT117" s="1014"/>
      <c r="FU117" s="1014"/>
      <c r="FV117" s="1014"/>
      <c r="FW117" s="1014"/>
      <c r="FX117" s="1014"/>
      <c r="FY117" s="1014"/>
      <c r="FZ117" s="1014"/>
      <c r="GA117" s="1014"/>
      <c r="GB117" s="1014"/>
      <c r="GC117" s="1014"/>
      <c r="GD117" s="1014"/>
      <c r="GE117" s="1014"/>
      <c r="GF117" s="1014"/>
      <c r="GG117" s="1014"/>
      <c r="GH117" s="1014"/>
      <c r="GI117" s="1014"/>
      <c r="GJ117" s="1014"/>
      <c r="GK117" s="1014"/>
      <c r="GL117" s="1014"/>
      <c r="GM117" s="1014"/>
      <c r="GN117" s="1014"/>
      <c r="GO117" s="1014"/>
      <c r="GP117" s="1014"/>
      <c r="GQ117" s="1014"/>
      <c r="GR117" s="1014"/>
      <c r="GS117" s="1014"/>
      <c r="GT117" s="1014"/>
      <c r="GU117" s="1014"/>
      <c r="GV117" s="1014"/>
      <c r="GW117" s="1014"/>
      <c r="GX117" s="1014"/>
      <c r="GY117" s="1014"/>
      <c r="GZ117" s="1014"/>
      <c r="HA117" s="1014"/>
      <c r="HB117" s="1014"/>
      <c r="HC117" s="1014"/>
      <c r="HD117" s="1014"/>
      <c r="HE117" s="1014"/>
      <c r="HF117" s="1014"/>
      <c r="HG117" s="1014"/>
      <c r="HH117" s="1014"/>
      <c r="HI117" s="1014"/>
      <c r="HJ117" s="1014"/>
      <c r="HK117" s="1014"/>
      <c r="HL117" s="1014"/>
      <c r="HM117" s="1014"/>
      <c r="HN117" s="1014"/>
      <c r="HO117" s="1014"/>
      <c r="HP117" s="1014"/>
      <c r="HQ117" s="1014"/>
      <c r="HR117" s="1014"/>
      <c r="HS117" s="1014"/>
      <c r="HT117" s="1014"/>
      <c r="HU117" s="1014"/>
      <c r="HV117" s="1014"/>
    </row>
    <row r="118" spans="1:230" s="470" customFormat="1" ht="15" customHeight="1" outlineLevel="1" x14ac:dyDescent="0.25">
      <c r="A118" s="1031">
        <v>41295</v>
      </c>
      <c r="B118" s="1031"/>
      <c r="C118" s="471"/>
      <c r="D118" s="471"/>
      <c r="H118" s="1006"/>
      <c r="I118" s="37"/>
      <c r="J118" s="1006"/>
      <c r="K118" s="37"/>
      <c r="L118" s="1006"/>
      <c r="M118" s="37"/>
      <c r="N118" s="1006"/>
      <c r="O118" s="37"/>
      <c r="P118" s="1006"/>
      <c r="Q118" s="37"/>
      <c r="R118" s="1006"/>
      <c r="S118" s="37"/>
      <c r="T118" s="37"/>
      <c r="U118" s="37"/>
      <c r="V118" s="1006"/>
      <c r="W118" s="37"/>
      <c r="X118" s="1006"/>
      <c r="Y118" s="37"/>
      <c r="Z118" s="1006"/>
      <c r="AA118" s="37"/>
      <c r="AB118" s="1006"/>
      <c r="AC118" s="37"/>
      <c r="AD118" s="1006"/>
      <c r="AE118" s="37"/>
      <c r="AF118" s="1006"/>
      <c r="AG118" s="37"/>
      <c r="AH118" s="37"/>
      <c r="AI118" s="37"/>
      <c r="AJ118" s="1006"/>
      <c r="AK118" s="37"/>
      <c r="AL118" s="1006"/>
      <c r="AM118" s="37"/>
      <c r="AN118" s="1006"/>
      <c r="AO118" s="37"/>
      <c r="AP118" s="1006"/>
      <c r="AQ118" s="37"/>
      <c r="AR118" s="37"/>
      <c r="AS118" s="37"/>
      <c r="AT118" s="37"/>
      <c r="AU118" s="37"/>
      <c r="AV118" s="37"/>
      <c r="AW118" s="37"/>
      <c r="AX118" s="1006"/>
      <c r="AY118" s="37"/>
      <c r="AZ118" s="1006"/>
      <c r="BA118" s="37"/>
      <c r="BB118" s="1006"/>
      <c r="BC118" s="37"/>
      <c r="BD118" s="1006"/>
      <c r="BE118" s="37"/>
      <c r="BF118" s="1006"/>
      <c r="BG118" s="37"/>
      <c r="BH118" s="37"/>
      <c r="BI118" s="37"/>
      <c r="BJ118" s="37"/>
      <c r="BK118" s="37"/>
      <c r="BL118" s="1006"/>
      <c r="BM118" s="37"/>
      <c r="BN118" s="1006"/>
      <c r="BO118" s="37"/>
      <c r="BP118" s="1006"/>
      <c r="BQ118" s="37"/>
      <c r="BR118" s="1006"/>
      <c r="BS118" s="37"/>
      <c r="BT118" s="1006"/>
      <c r="BU118" s="1006"/>
      <c r="BV118" s="1006"/>
      <c r="BW118" s="1006"/>
      <c r="BX118" s="37"/>
      <c r="BY118" s="37"/>
      <c r="BZ118" s="1006"/>
      <c r="CA118" s="37"/>
      <c r="CB118" s="1006"/>
      <c r="CC118" s="37"/>
      <c r="CD118" s="1006"/>
      <c r="CE118" s="37"/>
      <c r="CF118" s="1006"/>
      <c r="CG118" s="37"/>
      <c r="CH118" s="1006"/>
      <c r="CI118" s="1006"/>
      <c r="CJ118" s="1006"/>
      <c r="CK118" s="1006"/>
      <c r="CL118" s="37"/>
      <c r="CM118" s="37"/>
      <c r="CO118" s="1011"/>
      <c r="CQ118" s="1012"/>
      <c r="CS118" s="1012"/>
      <c r="CU118" s="1012"/>
      <c r="CW118" s="1012"/>
      <c r="CY118" s="1012"/>
      <c r="DA118" s="1012"/>
      <c r="DC118" s="1012"/>
      <c r="DE118" s="1012"/>
      <c r="DG118" s="1012"/>
      <c r="DI118" s="1012"/>
      <c r="DK118" s="1012"/>
      <c r="DM118" s="1012"/>
      <c r="DO118" s="1012"/>
      <c r="DQ118" s="1012"/>
      <c r="DS118" s="1012"/>
      <c r="DU118" s="1012"/>
      <c r="DW118" s="1012"/>
      <c r="DY118" s="1012"/>
      <c r="EA118" s="1012"/>
      <c r="EC118" s="1012"/>
      <c r="EE118" s="1012"/>
      <c r="EG118" s="1012"/>
      <c r="EI118" s="1012"/>
      <c r="EK118" s="1012"/>
      <c r="EM118" s="1012"/>
      <c r="EO118" s="1012"/>
      <c r="EQ118" s="1012"/>
      <c r="ES118" s="1012"/>
      <c r="EU118" s="1012"/>
      <c r="EW118" s="1012"/>
      <c r="EY118" s="1012"/>
      <c r="FA118" s="1012"/>
      <c r="FC118" s="1012"/>
      <c r="FE118" s="1012"/>
      <c r="FG118" s="1012"/>
      <c r="FH118" s="1015"/>
      <c r="FI118" s="37"/>
      <c r="FK118" s="1013"/>
      <c r="FL118" s="1012"/>
      <c r="FM118" s="1012"/>
      <c r="FN118" s="1012"/>
      <c r="FP118" s="1014"/>
      <c r="FQ118" s="1014"/>
      <c r="FR118" s="1014"/>
      <c r="FS118" s="1014"/>
      <c r="FT118" s="1014"/>
      <c r="FU118" s="1014"/>
      <c r="FV118" s="1014"/>
      <c r="FW118" s="1014"/>
      <c r="FX118" s="1014"/>
      <c r="FY118" s="1014"/>
      <c r="FZ118" s="1014"/>
      <c r="GA118" s="1014"/>
      <c r="GB118" s="1014"/>
      <c r="GC118" s="1014"/>
      <c r="GD118" s="1014"/>
      <c r="GE118" s="1014"/>
      <c r="GF118" s="1014"/>
      <c r="GG118" s="1014"/>
      <c r="GH118" s="1014"/>
      <c r="GI118" s="1014"/>
      <c r="GJ118" s="1014"/>
      <c r="GK118" s="1014"/>
      <c r="GL118" s="1014"/>
      <c r="GM118" s="1014"/>
      <c r="GN118" s="1014"/>
      <c r="GO118" s="1014"/>
      <c r="GP118" s="1014"/>
      <c r="GQ118" s="1014"/>
      <c r="GR118" s="1014"/>
      <c r="GS118" s="1014"/>
      <c r="GT118" s="1014"/>
      <c r="GU118" s="1014"/>
      <c r="GV118" s="1014"/>
      <c r="GW118" s="1014"/>
      <c r="GX118" s="1014"/>
      <c r="GY118" s="1014"/>
      <c r="GZ118" s="1014"/>
      <c r="HA118" s="1014"/>
      <c r="HB118" s="1014"/>
      <c r="HC118" s="1014"/>
      <c r="HD118" s="1014"/>
      <c r="HE118" s="1014"/>
      <c r="HF118" s="1014"/>
      <c r="HG118" s="1014"/>
      <c r="HH118" s="1014"/>
      <c r="HI118" s="1014"/>
      <c r="HJ118" s="1014"/>
      <c r="HK118" s="1014"/>
      <c r="HL118" s="1014"/>
      <c r="HM118" s="1014"/>
      <c r="HN118" s="1014"/>
      <c r="HO118" s="1014"/>
      <c r="HP118" s="1014"/>
      <c r="HQ118" s="1014"/>
      <c r="HR118" s="1014"/>
      <c r="HS118" s="1014"/>
      <c r="HT118" s="1014"/>
      <c r="HU118" s="1014"/>
      <c r="HV118" s="1014"/>
    </row>
    <row r="119" spans="1:230" s="470" customFormat="1" ht="15" customHeight="1" outlineLevel="1" x14ac:dyDescent="0.25">
      <c r="A119" s="1031">
        <v>41362</v>
      </c>
      <c r="B119" s="1031"/>
      <c r="C119" s="471"/>
      <c r="D119" s="471"/>
      <c r="H119" s="1006"/>
      <c r="I119" s="37"/>
      <c r="J119" s="1006"/>
      <c r="K119" s="37"/>
      <c r="L119" s="1006"/>
      <c r="M119" s="37"/>
      <c r="N119" s="1006"/>
      <c r="O119" s="37"/>
      <c r="P119" s="1006"/>
      <c r="Q119" s="37"/>
      <c r="R119" s="1006"/>
      <c r="S119" s="37"/>
      <c r="T119" s="37"/>
      <c r="U119" s="37"/>
      <c r="V119" s="1006"/>
      <c r="W119" s="37"/>
      <c r="X119" s="1006"/>
      <c r="Y119" s="37"/>
      <c r="Z119" s="1006"/>
      <c r="AA119" s="37"/>
      <c r="AB119" s="1006"/>
      <c r="AC119" s="37"/>
      <c r="AD119" s="1006"/>
      <c r="AE119" s="37"/>
      <c r="AF119" s="1006"/>
      <c r="AG119" s="37"/>
      <c r="AH119" s="37"/>
      <c r="AI119" s="37"/>
      <c r="AJ119" s="1006"/>
      <c r="AK119" s="37"/>
      <c r="AL119" s="1006"/>
      <c r="AM119" s="37"/>
      <c r="AN119" s="1006"/>
      <c r="AO119" s="37"/>
      <c r="AP119" s="1006"/>
      <c r="AQ119" s="37"/>
      <c r="AR119" s="37"/>
      <c r="AS119" s="37"/>
      <c r="AT119" s="37"/>
      <c r="AU119" s="37"/>
      <c r="AV119" s="37"/>
      <c r="AW119" s="37"/>
      <c r="AX119" s="1006"/>
      <c r="AY119" s="37"/>
      <c r="AZ119" s="1006"/>
      <c r="BA119" s="37"/>
      <c r="BB119" s="1006"/>
      <c r="BC119" s="37"/>
      <c r="BD119" s="1006"/>
      <c r="BE119" s="37"/>
      <c r="BF119" s="1006"/>
      <c r="BG119" s="37"/>
      <c r="BH119" s="37"/>
      <c r="BI119" s="37"/>
      <c r="BJ119" s="37"/>
      <c r="BK119" s="37"/>
      <c r="BL119" s="1006"/>
      <c r="BM119" s="37"/>
      <c r="BN119" s="1006"/>
      <c r="BO119" s="37"/>
      <c r="BP119" s="1006"/>
      <c r="BQ119" s="37"/>
      <c r="BR119" s="1006"/>
      <c r="BS119" s="37"/>
      <c r="BT119" s="1006"/>
      <c r="BU119" s="1006"/>
      <c r="BV119" s="1006"/>
      <c r="BW119" s="1006"/>
      <c r="BX119" s="37"/>
      <c r="BY119" s="37"/>
      <c r="BZ119" s="1006"/>
      <c r="CA119" s="37"/>
      <c r="CB119" s="1006"/>
      <c r="CC119" s="37"/>
      <c r="CD119" s="1006"/>
      <c r="CE119" s="37"/>
      <c r="CF119" s="1006"/>
      <c r="CG119" s="37"/>
      <c r="CH119" s="1006"/>
      <c r="CI119" s="1006"/>
      <c r="CJ119" s="1006"/>
      <c r="CK119" s="1006"/>
      <c r="CL119" s="37"/>
      <c r="CM119" s="37"/>
      <c r="CO119" s="1011"/>
      <c r="CQ119" s="1012"/>
      <c r="CS119" s="1012"/>
      <c r="CU119" s="1012"/>
      <c r="CW119" s="1012"/>
      <c r="CY119" s="1012"/>
      <c r="DA119" s="1012"/>
      <c r="DC119" s="1012"/>
      <c r="DE119" s="1012"/>
      <c r="DG119" s="1012"/>
      <c r="DI119" s="1012"/>
      <c r="DK119" s="1012"/>
      <c r="DM119" s="1012"/>
      <c r="DO119" s="1012"/>
      <c r="DQ119" s="1012"/>
      <c r="DS119" s="1012"/>
      <c r="DU119" s="1012"/>
      <c r="DW119" s="1012"/>
      <c r="DY119" s="1012"/>
      <c r="EA119" s="1012"/>
      <c r="EC119" s="1012"/>
      <c r="EE119" s="1012"/>
      <c r="EG119" s="1012"/>
      <c r="EI119" s="1012"/>
      <c r="EK119" s="1012"/>
      <c r="EM119" s="1012"/>
      <c r="EO119" s="1012"/>
      <c r="EQ119" s="1012"/>
      <c r="ES119" s="1012"/>
      <c r="EU119" s="1012"/>
      <c r="EW119" s="1012"/>
      <c r="EY119" s="1012"/>
      <c r="FA119" s="1012"/>
      <c r="FC119" s="1012"/>
      <c r="FE119" s="1012"/>
      <c r="FG119" s="1012"/>
      <c r="FH119" s="1015"/>
      <c r="FI119" s="37"/>
      <c r="FK119" s="1013"/>
      <c r="FL119" s="1012"/>
      <c r="FM119" s="1012"/>
      <c r="FN119" s="1012"/>
      <c r="FP119" s="1014"/>
      <c r="FQ119" s="1014"/>
      <c r="FR119" s="1014"/>
      <c r="FS119" s="1014"/>
      <c r="FT119" s="1014"/>
      <c r="FU119" s="1014"/>
      <c r="FV119" s="1014"/>
      <c r="FW119" s="1014"/>
      <c r="FX119" s="1014"/>
      <c r="FY119" s="1014"/>
      <c r="FZ119" s="1014"/>
      <c r="GA119" s="1014"/>
      <c r="GB119" s="1014"/>
      <c r="GC119" s="1014"/>
      <c r="GD119" s="1014"/>
      <c r="GE119" s="1014"/>
      <c r="GF119" s="1014"/>
      <c r="GG119" s="1014"/>
      <c r="GH119" s="1014"/>
      <c r="GI119" s="1014"/>
      <c r="GJ119" s="1014"/>
      <c r="GK119" s="1014"/>
      <c r="GL119" s="1014"/>
      <c r="GM119" s="1014"/>
      <c r="GN119" s="1014"/>
      <c r="GO119" s="1014"/>
      <c r="GP119" s="1014"/>
      <c r="GQ119" s="1014"/>
      <c r="GR119" s="1014"/>
      <c r="GS119" s="1014"/>
      <c r="GT119" s="1014"/>
      <c r="GU119" s="1014"/>
      <c r="GV119" s="1014"/>
      <c r="GW119" s="1014"/>
      <c r="GX119" s="1014"/>
      <c r="GY119" s="1014"/>
      <c r="GZ119" s="1014"/>
      <c r="HA119" s="1014"/>
      <c r="HB119" s="1014"/>
      <c r="HC119" s="1014"/>
      <c r="HD119" s="1014"/>
      <c r="HE119" s="1014"/>
      <c r="HF119" s="1014"/>
      <c r="HG119" s="1014"/>
      <c r="HH119" s="1014"/>
      <c r="HI119" s="1014"/>
      <c r="HJ119" s="1014"/>
      <c r="HK119" s="1014"/>
      <c r="HL119" s="1014"/>
      <c r="HM119" s="1014"/>
      <c r="HN119" s="1014"/>
      <c r="HO119" s="1014"/>
      <c r="HP119" s="1014"/>
      <c r="HQ119" s="1014"/>
      <c r="HR119" s="1014"/>
      <c r="HS119" s="1014"/>
      <c r="HT119" s="1014"/>
      <c r="HU119" s="1014"/>
      <c r="HV119" s="1014"/>
    </row>
    <row r="120" spans="1:230" s="470" customFormat="1" ht="15" customHeight="1" outlineLevel="1" x14ac:dyDescent="0.25">
      <c r="A120" s="1043">
        <v>41421</v>
      </c>
      <c r="B120" s="1031"/>
      <c r="C120" s="471"/>
      <c r="D120" s="471"/>
      <c r="H120" s="1006"/>
      <c r="I120" s="37"/>
      <c r="J120" s="1006"/>
      <c r="K120" s="37"/>
      <c r="L120" s="1006"/>
      <c r="M120" s="37"/>
      <c r="N120" s="1006"/>
      <c r="O120" s="37"/>
      <c r="P120" s="1006"/>
      <c r="Q120" s="37"/>
      <c r="R120" s="1006"/>
      <c r="S120" s="37"/>
      <c r="T120" s="37"/>
      <c r="U120" s="37"/>
      <c r="V120" s="1006"/>
      <c r="W120" s="37"/>
      <c r="X120" s="1006"/>
      <c r="Y120" s="37"/>
      <c r="Z120" s="1006"/>
      <c r="AA120" s="37"/>
      <c r="AB120" s="1006"/>
      <c r="AC120" s="37"/>
      <c r="AD120" s="1006"/>
      <c r="AE120" s="37"/>
      <c r="AF120" s="1006"/>
      <c r="AG120" s="37"/>
      <c r="AH120" s="37"/>
      <c r="AI120" s="37"/>
      <c r="AJ120" s="1006"/>
      <c r="AK120" s="37"/>
      <c r="AL120" s="1006"/>
      <c r="AM120" s="37"/>
      <c r="AN120" s="1006"/>
      <c r="AO120" s="37"/>
      <c r="AP120" s="1006"/>
      <c r="AQ120" s="37"/>
      <c r="AR120" s="37"/>
      <c r="AS120" s="37"/>
      <c r="AT120" s="37"/>
      <c r="AU120" s="37"/>
      <c r="AV120" s="37"/>
      <c r="AW120" s="37"/>
      <c r="AX120" s="1006"/>
      <c r="AY120" s="37"/>
      <c r="AZ120" s="1006"/>
      <c r="BA120" s="37"/>
      <c r="BB120" s="1006"/>
      <c r="BC120" s="37"/>
      <c r="BD120" s="1006"/>
      <c r="BE120" s="37"/>
      <c r="BF120" s="1006"/>
      <c r="BG120" s="37"/>
      <c r="BH120" s="37"/>
      <c r="BI120" s="37"/>
      <c r="BJ120" s="37"/>
      <c r="BK120" s="37"/>
      <c r="BL120" s="1006"/>
      <c r="BM120" s="37"/>
      <c r="BN120" s="1006"/>
      <c r="BO120" s="37"/>
      <c r="BP120" s="1006"/>
      <c r="BQ120" s="37"/>
      <c r="BR120" s="1006"/>
      <c r="BS120" s="37"/>
      <c r="BT120" s="1006"/>
      <c r="BU120" s="1006"/>
      <c r="BV120" s="1006"/>
      <c r="BW120" s="1006"/>
      <c r="BX120" s="37"/>
      <c r="BY120" s="37"/>
      <c r="BZ120" s="1006"/>
      <c r="CA120" s="37"/>
      <c r="CB120" s="1006"/>
      <c r="CC120" s="37"/>
      <c r="CD120" s="1006"/>
      <c r="CE120" s="37"/>
      <c r="CF120" s="1006"/>
      <c r="CG120" s="37"/>
      <c r="CH120" s="1006"/>
      <c r="CI120" s="1006"/>
      <c r="CJ120" s="1006"/>
      <c r="CK120" s="1006"/>
      <c r="CL120" s="37"/>
      <c r="CM120" s="37"/>
      <c r="CO120" s="1011"/>
      <c r="CQ120" s="1012"/>
      <c r="CS120" s="1012"/>
      <c r="CU120" s="1012"/>
      <c r="CW120" s="1012"/>
      <c r="CY120" s="1012"/>
      <c r="DA120" s="1012"/>
      <c r="DC120" s="1012"/>
      <c r="DE120" s="1012"/>
      <c r="DG120" s="1012"/>
      <c r="DI120" s="1012"/>
      <c r="DK120" s="1012"/>
      <c r="DM120" s="1012"/>
      <c r="DO120" s="1012"/>
      <c r="DQ120" s="1012"/>
      <c r="DS120" s="1012"/>
      <c r="DU120" s="1012"/>
      <c r="DW120" s="1012"/>
      <c r="DY120" s="1012"/>
      <c r="EA120" s="1012"/>
      <c r="EC120" s="1012"/>
      <c r="EE120" s="1012"/>
      <c r="EG120" s="1012"/>
      <c r="EI120" s="1012"/>
      <c r="EK120" s="1012"/>
      <c r="EM120" s="1012"/>
      <c r="EO120" s="1012"/>
      <c r="EQ120" s="1012"/>
      <c r="ES120" s="1012"/>
      <c r="EU120" s="1012"/>
      <c r="EW120" s="1012"/>
      <c r="EY120" s="1012"/>
      <c r="FA120" s="1012"/>
      <c r="FC120" s="1012"/>
      <c r="FE120" s="1012"/>
      <c r="FG120" s="1012"/>
      <c r="FH120" s="1015"/>
      <c r="FI120" s="37"/>
      <c r="FK120" s="1013"/>
      <c r="FL120" s="1012"/>
      <c r="FM120" s="1012"/>
      <c r="FN120" s="1012"/>
      <c r="FP120" s="1014"/>
      <c r="FQ120" s="1014"/>
      <c r="FR120" s="1014"/>
      <c r="FS120" s="1014"/>
      <c r="FT120" s="1014"/>
      <c r="FU120" s="1014"/>
      <c r="FV120" s="1014"/>
      <c r="FW120" s="1014"/>
      <c r="FX120" s="1014"/>
      <c r="FY120" s="1014"/>
      <c r="FZ120" s="1014"/>
      <c r="GA120" s="1014"/>
      <c r="GB120" s="1014"/>
      <c r="GC120" s="1014"/>
      <c r="GD120" s="1014"/>
      <c r="GE120" s="1014"/>
      <c r="GF120" s="1014"/>
      <c r="GG120" s="1014"/>
      <c r="GH120" s="1014"/>
      <c r="GI120" s="1014"/>
      <c r="GJ120" s="1014"/>
      <c r="GK120" s="1014"/>
      <c r="GL120" s="1014"/>
      <c r="GM120" s="1014"/>
      <c r="GN120" s="1014"/>
      <c r="GO120" s="1014"/>
      <c r="GP120" s="1014"/>
      <c r="GQ120" s="1014"/>
      <c r="GR120" s="1014"/>
      <c r="GS120" s="1014"/>
      <c r="GT120" s="1014"/>
      <c r="GU120" s="1014"/>
      <c r="GV120" s="1014"/>
      <c r="GW120" s="1014"/>
      <c r="GX120" s="1014"/>
      <c r="GY120" s="1014"/>
      <c r="GZ120" s="1014"/>
      <c r="HA120" s="1014"/>
      <c r="HB120" s="1014"/>
      <c r="HC120" s="1014"/>
      <c r="HD120" s="1014"/>
      <c r="HE120" s="1014"/>
      <c r="HF120" s="1014"/>
      <c r="HG120" s="1014"/>
      <c r="HH120" s="1014"/>
      <c r="HI120" s="1014"/>
      <c r="HJ120" s="1014"/>
      <c r="HK120" s="1014"/>
      <c r="HL120" s="1014"/>
      <c r="HM120" s="1014"/>
      <c r="HN120" s="1014"/>
      <c r="HO120" s="1014"/>
      <c r="HP120" s="1014"/>
      <c r="HQ120" s="1014"/>
      <c r="HR120" s="1014"/>
      <c r="HS120" s="1014"/>
      <c r="HT120" s="1014"/>
      <c r="HU120" s="1014"/>
      <c r="HV120" s="1014"/>
    </row>
    <row r="121" spans="1:230" s="470" customFormat="1" ht="15" customHeight="1" outlineLevel="1" x14ac:dyDescent="0.25">
      <c r="A121" s="1031">
        <v>41459</v>
      </c>
      <c r="B121" s="1031"/>
      <c r="C121" s="471"/>
      <c r="D121" s="471"/>
      <c r="H121" s="1006"/>
      <c r="I121" s="37"/>
      <c r="J121" s="1006"/>
      <c r="K121" s="37"/>
      <c r="L121" s="1006"/>
      <c r="M121" s="37"/>
      <c r="N121" s="1006"/>
      <c r="O121" s="37"/>
      <c r="P121" s="1006"/>
      <c r="Q121" s="37"/>
      <c r="R121" s="1006"/>
      <c r="S121" s="37"/>
      <c r="T121" s="37"/>
      <c r="U121" s="37"/>
      <c r="V121" s="1006"/>
      <c r="W121" s="37"/>
      <c r="X121" s="1006"/>
      <c r="Y121" s="37"/>
      <c r="Z121" s="1006"/>
      <c r="AA121" s="37"/>
      <c r="AB121" s="1006"/>
      <c r="AC121" s="37"/>
      <c r="AD121" s="1006"/>
      <c r="AE121" s="37"/>
      <c r="AF121" s="1006"/>
      <c r="AG121" s="37"/>
      <c r="AH121" s="37"/>
      <c r="AI121" s="37"/>
      <c r="AJ121" s="1006"/>
      <c r="AK121" s="37"/>
      <c r="AL121" s="1006"/>
      <c r="AM121" s="37"/>
      <c r="AN121" s="1006"/>
      <c r="AO121" s="37"/>
      <c r="AP121" s="1006"/>
      <c r="AQ121" s="37"/>
      <c r="AR121" s="37"/>
      <c r="AS121" s="37"/>
      <c r="AT121" s="37"/>
      <c r="AU121" s="37"/>
      <c r="AV121" s="37"/>
      <c r="AW121" s="37"/>
      <c r="AX121" s="1006"/>
      <c r="AY121" s="37"/>
      <c r="AZ121" s="1006"/>
      <c r="BA121" s="37"/>
      <c r="BB121" s="1006"/>
      <c r="BC121" s="37"/>
      <c r="BD121" s="1006"/>
      <c r="BE121" s="37"/>
      <c r="BF121" s="1006"/>
      <c r="BG121" s="37"/>
      <c r="BH121" s="37"/>
      <c r="BI121" s="37"/>
      <c r="BJ121" s="37"/>
      <c r="BK121" s="37"/>
      <c r="BL121" s="1006"/>
      <c r="BM121" s="37"/>
      <c r="BN121" s="1006"/>
      <c r="BO121" s="37"/>
      <c r="BP121" s="1006"/>
      <c r="BQ121" s="37"/>
      <c r="BR121" s="1006"/>
      <c r="BS121" s="37"/>
      <c r="BT121" s="1006"/>
      <c r="BU121" s="1006"/>
      <c r="BV121" s="1006"/>
      <c r="BW121" s="1006"/>
      <c r="BX121" s="37"/>
      <c r="BY121" s="37"/>
      <c r="BZ121" s="1006"/>
      <c r="CA121" s="37"/>
      <c r="CB121" s="1006"/>
      <c r="CC121" s="37"/>
      <c r="CD121" s="1006"/>
      <c r="CE121" s="37"/>
      <c r="CF121" s="1006"/>
      <c r="CG121" s="37"/>
      <c r="CH121" s="1006"/>
      <c r="CI121" s="1006"/>
      <c r="CJ121" s="1006"/>
      <c r="CK121" s="1006"/>
      <c r="CL121" s="37"/>
      <c r="CM121" s="37"/>
      <c r="CO121" s="1011"/>
      <c r="CQ121" s="1012"/>
      <c r="CS121" s="1012"/>
      <c r="CU121" s="1012"/>
      <c r="CW121" s="1012"/>
      <c r="CY121" s="1012"/>
      <c r="DA121" s="1012"/>
      <c r="DC121" s="1012"/>
      <c r="DE121" s="1012"/>
      <c r="DG121" s="1012"/>
      <c r="DI121" s="1012"/>
      <c r="DK121" s="1012"/>
      <c r="DM121" s="1012"/>
      <c r="DO121" s="1012"/>
      <c r="DQ121" s="1012"/>
      <c r="DS121" s="1012"/>
      <c r="DU121" s="1012"/>
      <c r="DW121" s="1012"/>
      <c r="DY121" s="1012"/>
      <c r="EA121" s="1012"/>
      <c r="EC121" s="1012"/>
      <c r="EE121" s="1012"/>
      <c r="EG121" s="1012"/>
      <c r="EI121" s="1012"/>
      <c r="EK121" s="1012"/>
      <c r="EM121" s="1012"/>
      <c r="EO121" s="1012"/>
      <c r="EQ121" s="1012"/>
      <c r="ES121" s="1012"/>
      <c r="EU121" s="1012"/>
      <c r="EW121" s="1012"/>
      <c r="EY121" s="1012"/>
      <c r="FA121" s="1012"/>
      <c r="FC121" s="1012"/>
      <c r="FE121" s="1012"/>
      <c r="FG121" s="1012"/>
      <c r="FH121" s="1015"/>
      <c r="FI121" s="37"/>
      <c r="FK121" s="1013"/>
      <c r="FL121" s="1012"/>
      <c r="FM121" s="1012"/>
      <c r="FN121" s="1012"/>
      <c r="FP121" s="1014"/>
      <c r="FQ121" s="1014"/>
      <c r="FR121" s="1014"/>
      <c r="FS121" s="1014"/>
      <c r="FT121" s="1014"/>
      <c r="FU121" s="1014"/>
      <c r="FV121" s="1014"/>
      <c r="FW121" s="1014"/>
      <c r="FX121" s="1014"/>
      <c r="FY121" s="1014"/>
      <c r="FZ121" s="1014"/>
      <c r="GA121" s="1014"/>
      <c r="GB121" s="1014"/>
      <c r="GC121" s="1014"/>
      <c r="GD121" s="1014"/>
      <c r="GE121" s="1014"/>
      <c r="GF121" s="1014"/>
      <c r="GG121" s="1014"/>
      <c r="GH121" s="1014"/>
      <c r="GI121" s="1014"/>
      <c r="GJ121" s="1014"/>
      <c r="GK121" s="1014"/>
      <c r="GL121" s="1014"/>
      <c r="GM121" s="1014"/>
      <c r="GN121" s="1014"/>
      <c r="GO121" s="1014"/>
      <c r="GP121" s="1014"/>
      <c r="GQ121" s="1014"/>
      <c r="GR121" s="1014"/>
      <c r="GS121" s="1014"/>
      <c r="GT121" s="1014"/>
      <c r="GU121" s="1014"/>
      <c r="GV121" s="1014"/>
      <c r="GW121" s="1014"/>
      <c r="GX121" s="1014"/>
      <c r="GY121" s="1014"/>
      <c r="GZ121" s="1014"/>
      <c r="HA121" s="1014"/>
      <c r="HB121" s="1014"/>
      <c r="HC121" s="1014"/>
      <c r="HD121" s="1014"/>
      <c r="HE121" s="1014"/>
      <c r="HF121" s="1014"/>
      <c r="HG121" s="1014"/>
      <c r="HH121" s="1014"/>
      <c r="HI121" s="1014"/>
      <c r="HJ121" s="1014"/>
      <c r="HK121" s="1014"/>
      <c r="HL121" s="1014"/>
      <c r="HM121" s="1014"/>
      <c r="HN121" s="1014"/>
      <c r="HO121" s="1014"/>
      <c r="HP121" s="1014"/>
      <c r="HQ121" s="1014"/>
      <c r="HR121" s="1014"/>
      <c r="HS121" s="1014"/>
      <c r="HT121" s="1014"/>
      <c r="HU121" s="1014"/>
      <c r="HV121" s="1014"/>
    </row>
    <row r="122" spans="1:230" s="470" customFormat="1" ht="15" customHeight="1" outlineLevel="1" x14ac:dyDescent="0.25">
      <c r="A122" s="1031">
        <v>41519</v>
      </c>
      <c r="B122" s="1031"/>
      <c r="C122" s="471"/>
      <c r="D122" s="471"/>
      <c r="H122" s="1006"/>
      <c r="I122" s="37"/>
      <c r="J122" s="1006"/>
      <c r="K122" s="37"/>
      <c r="L122" s="1006"/>
      <c r="M122" s="37"/>
      <c r="N122" s="1006"/>
      <c r="O122" s="37"/>
      <c r="P122" s="1006"/>
      <c r="Q122" s="37"/>
      <c r="R122" s="1006"/>
      <c r="S122" s="37"/>
      <c r="T122" s="37"/>
      <c r="U122" s="37"/>
      <c r="V122" s="1006"/>
      <c r="W122" s="37"/>
      <c r="X122" s="1006"/>
      <c r="Y122" s="37"/>
      <c r="Z122" s="1006"/>
      <c r="AA122" s="37"/>
      <c r="AB122" s="1006"/>
      <c r="AC122" s="37"/>
      <c r="AD122" s="1006"/>
      <c r="AE122" s="37"/>
      <c r="AF122" s="1006"/>
      <c r="AG122" s="37"/>
      <c r="AH122" s="37"/>
      <c r="AI122" s="37"/>
      <c r="AJ122" s="1006"/>
      <c r="AK122" s="37"/>
      <c r="AL122" s="1006"/>
      <c r="AM122" s="37"/>
      <c r="AN122" s="1006"/>
      <c r="AO122" s="37"/>
      <c r="AP122" s="1006"/>
      <c r="AQ122" s="37"/>
      <c r="AR122" s="37"/>
      <c r="AS122" s="37"/>
      <c r="AT122" s="37"/>
      <c r="AU122" s="37"/>
      <c r="AV122" s="37"/>
      <c r="AW122" s="37"/>
      <c r="AX122" s="1006"/>
      <c r="AY122" s="37"/>
      <c r="AZ122" s="1006"/>
      <c r="BA122" s="37"/>
      <c r="BB122" s="1006"/>
      <c r="BC122" s="37"/>
      <c r="BD122" s="1006"/>
      <c r="BE122" s="37"/>
      <c r="BF122" s="1006"/>
      <c r="BG122" s="37"/>
      <c r="BH122" s="37"/>
      <c r="BI122" s="37"/>
      <c r="BJ122" s="37"/>
      <c r="BK122" s="37"/>
      <c r="BL122" s="1006"/>
      <c r="BM122" s="37"/>
      <c r="BN122" s="1006"/>
      <c r="BO122" s="37"/>
      <c r="BP122" s="1006"/>
      <c r="BQ122" s="37"/>
      <c r="BR122" s="1006"/>
      <c r="BS122" s="37"/>
      <c r="BT122" s="1006"/>
      <c r="BU122" s="1006"/>
      <c r="BV122" s="1006"/>
      <c r="BW122" s="1006"/>
      <c r="BX122" s="37"/>
      <c r="BY122" s="37"/>
      <c r="BZ122" s="1006"/>
      <c r="CA122" s="37"/>
      <c r="CB122" s="1006"/>
      <c r="CC122" s="37"/>
      <c r="CD122" s="1006"/>
      <c r="CE122" s="37"/>
      <c r="CF122" s="1006"/>
      <c r="CG122" s="37"/>
      <c r="CH122" s="1006"/>
      <c r="CI122" s="1006"/>
      <c r="CJ122" s="1006"/>
      <c r="CK122" s="1006"/>
      <c r="CL122" s="37"/>
      <c r="CM122" s="37"/>
      <c r="CO122" s="1011"/>
      <c r="CQ122" s="1012"/>
      <c r="CS122" s="1012"/>
      <c r="CU122" s="1012"/>
      <c r="CW122" s="1012"/>
      <c r="CY122" s="1012"/>
      <c r="DA122" s="1012"/>
      <c r="DC122" s="1012"/>
      <c r="DE122" s="1012"/>
      <c r="DG122" s="1012"/>
      <c r="DI122" s="1012"/>
      <c r="DK122" s="1012"/>
      <c r="DM122" s="1012"/>
      <c r="DO122" s="1012"/>
      <c r="DQ122" s="1012"/>
      <c r="DS122" s="1012"/>
      <c r="DU122" s="1012"/>
      <c r="DW122" s="1012"/>
      <c r="DY122" s="1012"/>
      <c r="EA122" s="1012"/>
      <c r="EC122" s="1012"/>
      <c r="EE122" s="1012"/>
      <c r="EG122" s="1012"/>
      <c r="EI122" s="1012"/>
      <c r="EK122" s="1012"/>
      <c r="EM122" s="1012"/>
      <c r="EO122" s="1012"/>
      <c r="EQ122" s="1012"/>
      <c r="ES122" s="1012"/>
      <c r="EU122" s="1012"/>
      <c r="EW122" s="1012"/>
      <c r="EY122" s="1012"/>
      <c r="FA122" s="1012"/>
      <c r="FC122" s="1012"/>
      <c r="FE122" s="1012"/>
      <c r="FG122" s="1012"/>
      <c r="FH122" s="1015"/>
      <c r="FI122" s="37"/>
      <c r="FK122" s="1013"/>
      <c r="FL122" s="1012"/>
      <c r="FM122" s="1012"/>
      <c r="FN122" s="1012"/>
      <c r="FP122" s="1014"/>
      <c r="FQ122" s="1014"/>
      <c r="FR122" s="1014"/>
      <c r="FS122" s="1014"/>
      <c r="FT122" s="1014"/>
      <c r="FU122" s="1014"/>
      <c r="FV122" s="1014"/>
      <c r="FW122" s="1014"/>
      <c r="FX122" s="1014"/>
      <c r="FY122" s="1014"/>
      <c r="FZ122" s="1014"/>
      <c r="GA122" s="1014"/>
      <c r="GB122" s="1014"/>
      <c r="GC122" s="1014"/>
      <c r="GD122" s="1014"/>
      <c r="GE122" s="1014"/>
      <c r="GF122" s="1014"/>
      <c r="GG122" s="1014"/>
      <c r="GH122" s="1014"/>
      <c r="GI122" s="1014"/>
      <c r="GJ122" s="1014"/>
      <c r="GK122" s="1014"/>
      <c r="GL122" s="1014"/>
      <c r="GM122" s="1014"/>
      <c r="GN122" s="1014"/>
      <c r="GO122" s="1014"/>
      <c r="GP122" s="1014"/>
      <c r="GQ122" s="1014"/>
      <c r="GR122" s="1014"/>
      <c r="GS122" s="1014"/>
      <c r="GT122" s="1014"/>
      <c r="GU122" s="1014"/>
      <c r="GV122" s="1014"/>
      <c r="GW122" s="1014"/>
      <c r="GX122" s="1014"/>
      <c r="GY122" s="1014"/>
      <c r="GZ122" s="1014"/>
      <c r="HA122" s="1014"/>
      <c r="HB122" s="1014"/>
      <c r="HC122" s="1014"/>
      <c r="HD122" s="1014"/>
      <c r="HE122" s="1014"/>
      <c r="HF122" s="1014"/>
      <c r="HG122" s="1014"/>
      <c r="HH122" s="1014"/>
      <c r="HI122" s="1014"/>
      <c r="HJ122" s="1014"/>
      <c r="HK122" s="1014"/>
      <c r="HL122" s="1014"/>
      <c r="HM122" s="1014"/>
      <c r="HN122" s="1014"/>
      <c r="HO122" s="1014"/>
      <c r="HP122" s="1014"/>
      <c r="HQ122" s="1014"/>
      <c r="HR122" s="1014"/>
      <c r="HS122" s="1014"/>
      <c r="HT122" s="1014"/>
      <c r="HU122" s="1014"/>
      <c r="HV122" s="1014"/>
    </row>
    <row r="123" spans="1:230" s="470" customFormat="1" ht="15" customHeight="1" outlineLevel="1" x14ac:dyDescent="0.25">
      <c r="A123" s="1043">
        <v>41589</v>
      </c>
      <c r="B123" s="1031"/>
      <c r="C123" s="471"/>
      <c r="D123" s="471"/>
      <c r="H123" s="1006"/>
      <c r="I123" s="37"/>
      <c r="J123" s="1006"/>
      <c r="K123" s="37"/>
      <c r="L123" s="1006"/>
      <c r="M123" s="37"/>
      <c r="N123" s="1006"/>
      <c r="O123" s="37"/>
      <c r="P123" s="1006"/>
      <c r="Q123" s="37"/>
      <c r="R123" s="1006"/>
      <c r="S123" s="37"/>
      <c r="T123" s="37"/>
      <c r="U123" s="37"/>
      <c r="V123" s="1006"/>
      <c r="W123" s="37"/>
      <c r="X123" s="1006"/>
      <c r="Y123" s="37"/>
      <c r="Z123" s="1006"/>
      <c r="AA123" s="37"/>
      <c r="AB123" s="1006"/>
      <c r="AC123" s="37"/>
      <c r="AD123" s="1006"/>
      <c r="AE123" s="37"/>
      <c r="AF123" s="1006"/>
      <c r="AG123" s="37"/>
      <c r="AH123" s="37"/>
      <c r="AI123" s="37"/>
      <c r="AJ123" s="1006"/>
      <c r="AK123" s="37"/>
      <c r="AL123" s="1006"/>
      <c r="AM123" s="37"/>
      <c r="AN123" s="1006"/>
      <c r="AO123" s="37"/>
      <c r="AP123" s="1006"/>
      <c r="AQ123" s="37"/>
      <c r="AR123" s="37"/>
      <c r="AS123" s="37"/>
      <c r="AT123" s="37"/>
      <c r="AU123" s="37"/>
      <c r="AV123" s="37"/>
      <c r="AW123" s="37"/>
      <c r="AX123" s="1006"/>
      <c r="AY123" s="37"/>
      <c r="AZ123" s="1006"/>
      <c r="BA123" s="37"/>
      <c r="BB123" s="1006"/>
      <c r="BC123" s="37"/>
      <c r="BD123" s="1006"/>
      <c r="BE123" s="37"/>
      <c r="BF123" s="1006"/>
      <c r="BG123" s="37"/>
      <c r="BH123" s="37"/>
      <c r="BI123" s="37"/>
      <c r="BJ123" s="37"/>
      <c r="BK123" s="37"/>
      <c r="BL123" s="1006"/>
      <c r="BM123" s="37"/>
      <c r="BN123" s="1006"/>
      <c r="BO123" s="37"/>
      <c r="BP123" s="1006"/>
      <c r="BQ123" s="37"/>
      <c r="BR123" s="1006"/>
      <c r="BS123" s="37"/>
      <c r="BT123" s="1006"/>
      <c r="BU123" s="1006"/>
      <c r="BV123" s="1006"/>
      <c r="BW123" s="1006"/>
      <c r="BX123" s="37"/>
      <c r="BY123" s="37"/>
      <c r="BZ123" s="1006"/>
      <c r="CA123" s="37"/>
      <c r="CB123" s="1006"/>
      <c r="CC123" s="37"/>
      <c r="CD123" s="1006"/>
      <c r="CE123" s="37"/>
      <c r="CF123" s="1006"/>
      <c r="CG123" s="37"/>
      <c r="CH123" s="1006"/>
      <c r="CI123" s="1006"/>
      <c r="CJ123" s="1006"/>
      <c r="CK123" s="1006"/>
      <c r="CL123" s="37"/>
      <c r="CM123" s="37"/>
      <c r="CO123" s="1011"/>
      <c r="CQ123" s="1012"/>
      <c r="CS123" s="1012"/>
      <c r="CU123" s="1012"/>
      <c r="CW123" s="1012"/>
      <c r="CY123" s="1012"/>
      <c r="DA123" s="1012"/>
      <c r="DC123" s="1012"/>
      <c r="DE123" s="1012"/>
      <c r="DG123" s="1012"/>
      <c r="DI123" s="1012"/>
      <c r="DK123" s="1012"/>
      <c r="DM123" s="1012"/>
      <c r="DO123" s="1012"/>
      <c r="DQ123" s="1012"/>
      <c r="DS123" s="1012"/>
      <c r="DU123" s="1012"/>
      <c r="DW123" s="1012"/>
      <c r="DY123" s="1012"/>
      <c r="EA123" s="1012"/>
      <c r="EC123" s="1012"/>
      <c r="EE123" s="1012"/>
      <c r="EG123" s="1012"/>
      <c r="EI123" s="1012"/>
      <c r="EK123" s="1012"/>
      <c r="EM123" s="1012"/>
      <c r="EO123" s="1012"/>
      <c r="EQ123" s="1012"/>
      <c r="ES123" s="1012"/>
      <c r="EU123" s="1012"/>
      <c r="EW123" s="1012"/>
      <c r="EY123" s="1012"/>
      <c r="FA123" s="1012"/>
      <c r="FC123" s="1012"/>
      <c r="FE123" s="1012"/>
      <c r="FG123" s="1012"/>
      <c r="FH123" s="1015"/>
      <c r="FI123" s="37"/>
      <c r="FK123" s="1013"/>
      <c r="FL123" s="1012"/>
      <c r="FM123" s="1012"/>
      <c r="FN123" s="1012"/>
      <c r="FP123" s="1014"/>
      <c r="FQ123" s="1014"/>
      <c r="FR123" s="1014"/>
      <c r="FS123" s="1014"/>
      <c r="FT123" s="1014"/>
      <c r="FU123" s="1014"/>
      <c r="FV123" s="1014"/>
      <c r="FW123" s="1014"/>
      <c r="FX123" s="1014"/>
      <c r="FY123" s="1014"/>
      <c r="FZ123" s="1014"/>
      <c r="GA123" s="1014"/>
      <c r="GB123" s="1014"/>
      <c r="GC123" s="1014"/>
      <c r="GD123" s="1014"/>
      <c r="GE123" s="1014"/>
      <c r="GF123" s="1014"/>
      <c r="GG123" s="1014"/>
      <c r="GH123" s="1014"/>
      <c r="GI123" s="1014"/>
      <c r="GJ123" s="1014"/>
      <c r="GK123" s="1014"/>
      <c r="GL123" s="1014"/>
      <c r="GM123" s="1014"/>
      <c r="GN123" s="1014"/>
      <c r="GO123" s="1014"/>
      <c r="GP123" s="1014"/>
      <c r="GQ123" s="1014"/>
      <c r="GR123" s="1014"/>
      <c r="GS123" s="1014"/>
      <c r="GT123" s="1014"/>
      <c r="GU123" s="1014"/>
      <c r="GV123" s="1014"/>
      <c r="GW123" s="1014"/>
      <c r="GX123" s="1014"/>
      <c r="GY123" s="1014"/>
      <c r="GZ123" s="1014"/>
      <c r="HA123" s="1014"/>
      <c r="HB123" s="1014"/>
      <c r="HC123" s="1014"/>
      <c r="HD123" s="1014"/>
      <c r="HE123" s="1014"/>
      <c r="HF123" s="1014"/>
      <c r="HG123" s="1014"/>
      <c r="HH123" s="1014"/>
      <c r="HI123" s="1014"/>
      <c r="HJ123" s="1014"/>
      <c r="HK123" s="1014"/>
      <c r="HL123" s="1014"/>
      <c r="HM123" s="1014"/>
      <c r="HN123" s="1014"/>
      <c r="HO123" s="1014"/>
      <c r="HP123" s="1014"/>
      <c r="HQ123" s="1014"/>
      <c r="HR123" s="1014"/>
      <c r="HS123" s="1014"/>
      <c r="HT123" s="1014"/>
      <c r="HU123" s="1014"/>
      <c r="HV123" s="1014"/>
    </row>
    <row r="124" spans="1:230" s="470" customFormat="1" ht="15" customHeight="1" outlineLevel="1" x14ac:dyDescent="0.25">
      <c r="A124" s="1031">
        <v>41606</v>
      </c>
      <c r="B124" s="1031"/>
      <c r="C124" s="471"/>
      <c r="D124" s="471"/>
      <c r="H124" s="1006"/>
      <c r="I124" s="37"/>
      <c r="J124" s="1006"/>
      <c r="K124" s="37"/>
      <c r="L124" s="1006"/>
      <c r="M124" s="37"/>
      <c r="N124" s="1006"/>
      <c r="O124" s="37"/>
      <c r="P124" s="1006"/>
      <c r="Q124" s="37"/>
      <c r="R124" s="1006"/>
      <c r="S124" s="37"/>
      <c r="T124" s="37"/>
      <c r="U124" s="37"/>
      <c r="V124" s="1006"/>
      <c r="W124" s="37"/>
      <c r="X124" s="1006"/>
      <c r="Y124" s="37"/>
      <c r="Z124" s="1006"/>
      <c r="AA124" s="37"/>
      <c r="AB124" s="1006"/>
      <c r="AC124" s="37"/>
      <c r="AD124" s="1006"/>
      <c r="AE124" s="37"/>
      <c r="AF124" s="1006"/>
      <c r="AG124" s="37"/>
      <c r="AH124" s="37"/>
      <c r="AI124" s="37"/>
      <c r="AJ124" s="1006"/>
      <c r="AK124" s="37"/>
      <c r="AL124" s="1006"/>
      <c r="AM124" s="37"/>
      <c r="AN124" s="1006"/>
      <c r="AO124" s="37"/>
      <c r="AP124" s="1006"/>
      <c r="AQ124" s="37"/>
      <c r="AR124" s="37"/>
      <c r="AS124" s="37"/>
      <c r="AT124" s="37"/>
      <c r="AU124" s="37"/>
      <c r="AV124" s="37"/>
      <c r="AW124" s="37"/>
      <c r="AX124" s="1006"/>
      <c r="AY124" s="37"/>
      <c r="AZ124" s="1006"/>
      <c r="BA124" s="37"/>
      <c r="BB124" s="1006"/>
      <c r="BC124" s="37"/>
      <c r="BD124" s="1006"/>
      <c r="BE124" s="37"/>
      <c r="BF124" s="1006"/>
      <c r="BG124" s="37"/>
      <c r="BH124" s="37"/>
      <c r="BI124" s="37"/>
      <c r="BJ124" s="37"/>
      <c r="BK124" s="37"/>
      <c r="BL124" s="1006"/>
      <c r="BM124" s="37"/>
      <c r="BN124" s="1006"/>
      <c r="BO124" s="37"/>
      <c r="BP124" s="1006"/>
      <c r="BQ124" s="37"/>
      <c r="BR124" s="1006"/>
      <c r="BS124" s="37"/>
      <c r="BT124" s="1006"/>
      <c r="BU124" s="1006"/>
      <c r="BV124" s="1006"/>
      <c r="BW124" s="1006"/>
      <c r="BX124" s="37"/>
      <c r="BY124" s="37"/>
      <c r="BZ124" s="1006"/>
      <c r="CA124" s="37"/>
      <c r="CB124" s="1006"/>
      <c r="CC124" s="37"/>
      <c r="CD124" s="1006"/>
      <c r="CE124" s="37"/>
      <c r="CF124" s="1006"/>
      <c r="CG124" s="37"/>
      <c r="CH124" s="1006"/>
      <c r="CI124" s="1006"/>
      <c r="CJ124" s="1006"/>
      <c r="CK124" s="1006"/>
      <c r="CL124" s="37"/>
      <c r="CM124" s="37"/>
      <c r="CO124" s="1011"/>
      <c r="CQ124" s="1012"/>
      <c r="CS124" s="1012"/>
      <c r="CU124" s="1012"/>
      <c r="CW124" s="1012"/>
      <c r="CY124" s="1012"/>
      <c r="DA124" s="1012"/>
      <c r="DC124" s="1012"/>
      <c r="DE124" s="1012"/>
      <c r="DG124" s="1012"/>
      <c r="DI124" s="1012"/>
      <c r="DK124" s="1012"/>
      <c r="DM124" s="1012"/>
      <c r="DO124" s="1012"/>
      <c r="DQ124" s="1012"/>
      <c r="DS124" s="1012"/>
      <c r="DU124" s="1012"/>
      <c r="DW124" s="1012"/>
      <c r="DY124" s="1012"/>
      <c r="EA124" s="1012"/>
      <c r="EC124" s="1012"/>
      <c r="EE124" s="1012"/>
      <c r="EG124" s="1012"/>
      <c r="EI124" s="1012"/>
      <c r="EK124" s="1012"/>
      <c r="EM124" s="1012"/>
      <c r="EO124" s="1012"/>
      <c r="EQ124" s="1012"/>
      <c r="ES124" s="1012"/>
      <c r="EU124" s="1012"/>
      <c r="EW124" s="1012"/>
      <c r="EY124" s="1012"/>
      <c r="FA124" s="1012"/>
      <c r="FC124" s="1012"/>
      <c r="FE124" s="1012"/>
      <c r="FG124" s="1012"/>
      <c r="FH124" s="1015"/>
      <c r="FI124" s="37"/>
      <c r="FK124" s="1013"/>
      <c r="FL124" s="1012"/>
      <c r="FM124" s="1012"/>
      <c r="FN124" s="1012"/>
      <c r="FP124" s="1014"/>
      <c r="FQ124" s="1014"/>
      <c r="FR124" s="1014"/>
      <c r="FS124" s="1014"/>
      <c r="FT124" s="1014"/>
      <c r="FU124" s="1014"/>
      <c r="FV124" s="1014"/>
      <c r="FW124" s="1014"/>
      <c r="FX124" s="1014"/>
      <c r="FY124" s="1014"/>
      <c r="FZ124" s="1014"/>
      <c r="GA124" s="1014"/>
      <c r="GB124" s="1014"/>
      <c r="GC124" s="1014"/>
      <c r="GD124" s="1014"/>
      <c r="GE124" s="1014"/>
      <c r="GF124" s="1014"/>
      <c r="GG124" s="1014"/>
      <c r="GH124" s="1014"/>
      <c r="GI124" s="1014"/>
      <c r="GJ124" s="1014"/>
      <c r="GK124" s="1014"/>
      <c r="GL124" s="1014"/>
      <c r="GM124" s="1014"/>
      <c r="GN124" s="1014"/>
      <c r="GO124" s="1014"/>
      <c r="GP124" s="1014"/>
      <c r="GQ124" s="1014"/>
      <c r="GR124" s="1014"/>
      <c r="GS124" s="1014"/>
      <c r="GT124" s="1014"/>
      <c r="GU124" s="1014"/>
      <c r="GV124" s="1014"/>
      <c r="GW124" s="1014"/>
      <c r="GX124" s="1014"/>
      <c r="GY124" s="1014"/>
      <c r="GZ124" s="1014"/>
      <c r="HA124" s="1014"/>
      <c r="HB124" s="1014"/>
      <c r="HC124" s="1014"/>
      <c r="HD124" s="1014"/>
      <c r="HE124" s="1014"/>
      <c r="HF124" s="1014"/>
      <c r="HG124" s="1014"/>
      <c r="HH124" s="1014"/>
      <c r="HI124" s="1014"/>
      <c r="HJ124" s="1014"/>
      <c r="HK124" s="1014"/>
      <c r="HL124" s="1014"/>
      <c r="HM124" s="1014"/>
      <c r="HN124" s="1014"/>
      <c r="HO124" s="1014"/>
      <c r="HP124" s="1014"/>
      <c r="HQ124" s="1014"/>
      <c r="HR124" s="1014"/>
      <c r="HS124" s="1014"/>
      <c r="HT124" s="1014"/>
      <c r="HU124" s="1014"/>
      <c r="HV124" s="1014"/>
    </row>
    <row r="125" spans="1:230" s="470" customFormat="1" ht="15" customHeight="1" outlineLevel="1" x14ac:dyDescent="0.25">
      <c r="A125" s="1031">
        <v>41607</v>
      </c>
      <c r="B125" s="1031"/>
      <c r="C125" s="471"/>
      <c r="D125" s="471"/>
      <c r="H125" s="1006"/>
      <c r="I125" s="37"/>
      <c r="J125" s="1006"/>
      <c r="K125" s="37"/>
      <c r="L125" s="1006"/>
      <c r="M125" s="37"/>
      <c r="N125" s="1006"/>
      <c r="O125" s="37"/>
      <c r="P125" s="1006"/>
      <c r="Q125" s="37"/>
      <c r="R125" s="1006"/>
      <c r="S125" s="37"/>
      <c r="T125" s="37"/>
      <c r="U125" s="37"/>
      <c r="V125" s="1006"/>
      <c r="W125" s="37"/>
      <c r="X125" s="1006"/>
      <c r="Y125" s="37"/>
      <c r="Z125" s="1006"/>
      <c r="AA125" s="37"/>
      <c r="AB125" s="1006"/>
      <c r="AC125" s="37"/>
      <c r="AD125" s="1006"/>
      <c r="AE125" s="37"/>
      <c r="AF125" s="1006"/>
      <c r="AG125" s="37"/>
      <c r="AH125" s="37"/>
      <c r="AI125" s="37"/>
      <c r="AJ125" s="1006"/>
      <c r="AK125" s="37"/>
      <c r="AL125" s="1006"/>
      <c r="AM125" s="37"/>
      <c r="AN125" s="1006"/>
      <c r="AO125" s="37"/>
      <c r="AP125" s="1006"/>
      <c r="AQ125" s="37"/>
      <c r="AR125" s="37"/>
      <c r="AS125" s="37"/>
      <c r="AT125" s="37"/>
      <c r="AU125" s="37"/>
      <c r="AV125" s="37"/>
      <c r="AW125" s="37"/>
      <c r="AX125" s="1006"/>
      <c r="AY125" s="37"/>
      <c r="AZ125" s="1006"/>
      <c r="BA125" s="37"/>
      <c r="BB125" s="1006"/>
      <c r="BC125" s="37"/>
      <c r="BD125" s="1006"/>
      <c r="BE125" s="37"/>
      <c r="BF125" s="1006"/>
      <c r="BG125" s="37"/>
      <c r="BH125" s="37"/>
      <c r="BI125" s="37"/>
      <c r="BJ125" s="37"/>
      <c r="BK125" s="37"/>
      <c r="BL125" s="1006"/>
      <c r="BM125" s="37"/>
      <c r="BN125" s="1006"/>
      <c r="BO125" s="37"/>
      <c r="BP125" s="1006"/>
      <c r="BQ125" s="37"/>
      <c r="BR125" s="1006"/>
      <c r="BS125" s="37"/>
      <c r="BT125" s="1006"/>
      <c r="BU125" s="1006"/>
      <c r="BV125" s="1006"/>
      <c r="BW125" s="1006"/>
      <c r="BX125" s="37"/>
      <c r="BY125" s="37"/>
      <c r="BZ125" s="1006"/>
      <c r="CA125" s="37"/>
      <c r="CB125" s="1006"/>
      <c r="CC125" s="37"/>
      <c r="CD125" s="1006"/>
      <c r="CE125" s="37"/>
      <c r="CF125" s="1006"/>
      <c r="CG125" s="37"/>
      <c r="CH125" s="1006"/>
      <c r="CI125" s="1006"/>
      <c r="CJ125" s="1006"/>
      <c r="CK125" s="1006"/>
      <c r="CL125" s="37"/>
      <c r="CM125" s="37"/>
      <c r="CO125" s="1011"/>
      <c r="CQ125" s="1012"/>
      <c r="CS125" s="1012"/>
      <c r="CU125" s="1012"/>
      <c r="CW125" s="1012"/>
      <c r="CY125" s="1012"/>
      <c r="DA125" s="1012"/>
      <c r="DC125" s="1012"/>
      <c r="DE125" s="1012"/>
      <c r="DG125" s="1012"/>
      <c r="DI125" s="1012"/>
      <c r="DK125" s="1012"/>
      <c r="DM125" s="1012"/>
      <c r="DO125" s="1012"/>
      <c r="DQ125" s="1012"/>
      <c r="DS125" s="1012"/>
      <c r="DU125" s="1012"/>
      <c r="DW125" s="1012"/>
      <c r="DY125" s="1012"/>
      <c r="EA125" s="1012"/>
      <c r="EC125" s="1012"/>
      <c r="EE125" s="1012"/>
      <c r="EG125" s="1012"/>
      <c r="EI125" s="1012"/>
      <c r="EK125" s="1012"/>
      <c r="EM125" s="1012"/>
      <c r="EO125" s="1012"/>
      <c r="EQ125" s="1012"/>
      <c r="ES125" s="1012"/>
      <c r="EU125" s="1012"/>
      <c r="EW125" s="1012"/>
      <c r="EY125" s="1012"/>
      <c r="FA125" s="1012"/>
      <c r="FC125" s="1012"/>
      <c r="FE125" s="1012"/>
      <c r="FG125" s="1012"/>
      <c r="FH125" s="1015"/>
      <c r="FI125" s="37"/>
      <c r="FK125" s="1013"/>
      <c r="FL125" s="1012"/>
      <c r="FM125" s="1012"/>
      <c r="FN125" s="1012"/>
      <c r="FP125" s="1014"/>
      <c r="FQ125" s="1014"/>
      <c r="FR125" s="1014"/>
      <c r="FS125" s="1014"/>
      <c r="FT125" s="1014"/>
      <c r="FU125" s="1014"/>
      <c r="FV125" s="1014"/>
      <c r="FW125" s="1014"/>
      <c r="FX125" s="1014"/>
      <c r="FY125" s="1014"/>
      <c r="FZ125" s="1014"/>
      <c r="GA125" s="1014"/>
      <c r="GB125" s="1014"/>
      <c r="GC125" s="1014"/>
      <c r="GD125" s="1014"/>
      <c r="GE125" s="1014"/>
      <c r="GF125" s="1014"/>
      <c r="GG125" s="1014"/>
      <c r="GH125" s="1014"/>
      <c r="GI125" s="1014"/>
      <c r="GJ125" s="1014"/>
      <c r="GK125" s="1014"/>
      <c r="GL125" s="1014"/>
      <c r="GM125" s="1014"/>
      <c r="GN125" s="1014"/>
      <c r="GO125" s="1014"/>
      <c r="GP125" s="1014"/>
      <c r="GQ125" s="1014"/>
      <c r="GR125" s="1014"/>
      <c r="GS125" s="1014"/>
      <c r="GT125" s="1014"/>
      <c r="GU125" s="1014"/>
      <c r="GV125" s="1014"/>
      <c r="GW125" s="1014"/>
      <c r="GX125" s="1014"/>
      <c r="GY125" s="1014"/>
      <c r="GZ125" s="1014"/>
      <c r="HA125" s="1014"/>
      <c r="HB125" s="1014"/>
      <c r="HC125" s="1014"/>
      <c r="HD125" s="1014"/>
      <c r="HE125" s="1014"/>
      <c r="HF125" s="1014"/>
      <c r="HG125" s="1014"/>
      <c r="HH125" s="1014"/>
      <c r="HI125" s="1014"/>
      <c r="HJ125" s="1014"/>
      <c r="HK125" s="1014"/>
      <c r="HL125" s="1014"/>
      <c r="HM125" s="1014"/>
      <c r="HN125" s="1014"/>
      <c r="HO125" s="1014"/>
      <c r="HP125" s="1014"/>
      <c r="HQ125" s="1014"/>
      <c r="HR125" s="1014"/>
      <c r="HS125" s="1014"/>
      <c r="HT125" s="1014"/>
      <c r="HU125" s="1014"/>
      <c r="HV125" s="1014"/>
    </row>
    <row r="126" spans="1:230" s="470" customFormat="1" ht="15" customHeight="1" outlineLevel="1" x14ac:dyDescent="0.25">
      <c r="A126" s="1031">
        <v>41632</v>
      </c>
      <c r="B126" s="1031"/>
      <c r="C126" s="471"/>
      <c r="D126" s="471"/>
      <c r="H126" s="1006"/>
      <c r="I126" s="37"/>
      <c r="J126" s="1006"/>
      <c r="K126" s="37"/>
      <c r="L126" s="1006"/>
      <c r="M126" s="37"/>
      <c r="N126" s="1006"/>
      <c r="O126" s="37"/>
      <c r="P126" s="1006"/>
      <c r="Q126" s="37"/>
      <c r="R126" s="1006"/>
      <c r="S126" s="37"/>
      <c r="T126" s="37"/>
      <c r="U126" s="37"/>
      <c r="V126" s="1006"/>
      <c r="W126" s="37"/>
      <c r="X126" s="1006"/>
      <c r="Y126" s="37"/>
      <c r="Z126" s="1006"/>
      <c r="AA126" s="37"/>
      <c r="AB126" s="1006"/>
      <c r="AC126" s="37"/>
      <c r="AD126" s="1006"/>
      <c r="AE126" s="37"/>
      <c r="AF126" s="1006"/>
      <c r="AG126" s="37"/>
      <c r="AH126" s="37"/>
      <c r="AI126" s="37"/>
      <c r="AJ126" s="1006"/>
      <c r="AK126" s="37"/>
      <c r="AL126" s="1006"/>
      <c r="AM126" s="37"/>
      <c r="AN126" s="1006"/>
      <c r="AO126" s="37"/>
      <c r="AP126" s="1006"/>
      <c r="AQ126" s="37"/>
      <c r="AR126" s="37"/>
      <c r="AS126" s="37"/>
      <c r="AT126" s="37"/>
      <c r="AU126" s="37"/>
      <c r="AV126" s="37"/>
      <c r="AW126" s="37"/>
      <c r="AX126" s="1006"/>
      <c r="AY126" s="37"/>
      <c r="AZ126" s="1006"/>
      <c r="BA126" s="37"/>
      <c r="BB126" s="1006"/>
      <c r="BC126" s="37"/>
      <c r="BD126" s="1006"/>
      <c r="BE126" s="37"/>
      <c r="BF126" s="1006"/>
      <c r="BG126" s="37"/>
      <c r="BH126" s="37"/>
      <c r="BI126" s="37"/>
      <c r="BJ126" s="37"/>
      <c r="BK126" s="37"/>
      <c r="BL126" s="1006"/>
      <c r="BM126" s="37"/>
      <c r="BN126" s="1006"/>
      <c r="BO126" s="37"/>
      <c r="BP126" s="1006"/>
      <c r="BQ126" s="37"/>
      <c r="BR126" s="1006"/>
      <c r="BS126" s="37"/>
      <c r="BT126" s="1006"/>
      <c r="BU126" s="1006"/>
      <c r="BV126" s="1006"/>
      <c r="BW126" s="1006"/>
      <c r="BX126" s="37"/>
      <c r="BY126" s="37"/>
      <c r="BZ126" s="1006"/>
      <c r="CA126" s="37"/>
      <c r="CB126" s="1006"/>
      <c r="CC126" s="37"/>
      <c r="CD126" s="1006"/>
      <c r="CE126" s="37"/>
      <c r="CF126" s="1006"/>
      <c r="CG126" s="37"/>
      <c r="CH126" s="1006"/>
      <c r="CI126" s="1006"/>
      <c r="CJ126" s="1006"/>
      <c r="CK126" s="1006"/>
      <c r="CL126" s="37"/>
      <c r="CM126" s="37"/>
      <c r="CO126" s="1011"/>
      <c r="CQ126" s="1012"/>
      <c r="CS126" s="1012"/>
      <c r="CU126" s="1012"/>
      <c r="CW126" s="1012"/>
      <c r="CY126" s="1012"/>
      <c r="DA126" s="1012"/>
      <c r="DC126" s="1012"/>
      <c r="DE126" s="1012"/>
      <c r="DG126" s="1012"/>
      <c r="DI126" s="1012"/>
      <c r="DK126" s="1012"/>
      <c r="DM126" s="1012"/>
      <c r="DO126" s="1012"/>
      <c r="DQ126" s="1012"/>
      <c r="DS126" s="1012"/>
      <c r="DU126" s="1012"/>
      <c r="DW126" s="1012"/>
      <c r="DY126" s="1012"/>
      <c r="EA126" s="1012"/>
      <c r="EC126" s="1012"/>
      <c r="EE126" s="1012"/>
      <c r="EG126" s="1012"/>
      <c r="EI126" s="1012"/>
      <c r="EK126" s="1012"/>
      <c r="EM126" s="1012"/>
      <c r="EO126" s="1012"/>
      <c r="EQ126" s="1012"/>
      <c r="ES126" s="1012"/>
      <c r="EU126" s="1012"/>
      <c r="EW126" s="1012"/>
      <c r="EY126" s="1012"/>
      <c r="FA126" s="1012"/>
      <c r="FC126" s="1012"/>
      <c r="FE126" s="1012"/>
      <c r="FG126" s="1012"/>
      <c r="FH126" s="1015"/>
      <c r="FI126" s="37"/>
      <c r="FK126" s="1013"/>
      <c r="FL126" s="1012"/>
      <c r="FM126" s="1012"/>
      <c r="FN126" s="1012"/>
      <c r="FP126" s="1014"/>
      <c r="FQ126" s="1014"/>
      <c r="FR126" s="1014"/>
      <c r="FS126" s="1014"/>
      <c r="FT126" s="1014"/>
      <c r="FU126" s="1014"/>
      <c r="FV126" s="1014"/>
      <c r="FW126" s="1014"/>
      <c r="FX126" s="1014"/>
      <c r="FY126" s="1014"/>
      <c r="FZ126" s="1014"/>
      <c r="GA126" s="1014"/>
      <c r="GB126" s="1014"/>
      <c r="GC126" s="1014"/>
      <c r="GD126" s="1014"/>
      <c r="GE126" s="1014"/>
      <c r="GF126" s="1014"/>
      <c r="GG126" s="1014"/>
      <c r="GH126" s="1014"/>
      <c r="GI126" s="1014"/>
      <c r="GJ126" s="1014"/>
      <c r="GK126" s="1014"/>
      <c r="GL126" s="1014"/>
      <c r="GM126" s="1014"/>
      <c r="GN126" s="1014"/>
      <c r="GO126" s="1014"/>
      <c r="GP126" s="1014"/>
      <c r="GQ126" s="1014"/>
      <c r="GR126" s="1014"/>
      <c r="GS126" s="1014"/>
      <c r="GT126" s="1014"/>
      <c r="GU126" s="1014"/>
      <c r="GV126" s="1014"/>
      <c r="GW126" s="1014"/>
      <c r="GX126" s="1014"/>
      <c r="GY126" s="1014"/>
      <c r="GZ126" s="1014"/>
      <c r="HA126" s="1014"/>
      <c r="HB126" s="1014"/>
      <c r="HC126" s="1014"/>
      <c r="HD126" s="1014"/>
      <c r="HE126" s="1014"/>
      <c r="HF126" s="1014"/>
      <c r="HG126" s="1014"/>
      <c r="HH126" s="1014"/>
      <c r="HI126" s="1014"/>
      <c r="HJ126" s="1014"/>
      <c r="HK126" s="1014"/>
      <c r="HL126" s="1014"/>
      <c r="HM126" s="1014"/>
      <c r="HN126" s="1014"/>
      <c r="HO126" s="1014"/>
      <c r="HP126" s="1014"/>
      <c r="HQ126" s="1014"/>
      <c r="HR126" s="1014"/>
      <c r="HS126" s="1014"/>
      <c r="HT126" s="1014"/>
      <c r="HU126" s="1014"/>
      <c r="HV126" s="1014"/>
    </row>
    <row r="127" spans="1:230" s="470" customFormat="1" ht="15" customHeight="1" outlineLevel="1" x14ac:dyDescent="0.25">
      <c r="A127" s="1031">
        <v>41633</v>
      </c>
      <c r="B127" s="1031"/>
      <c r="C127" s="471"/>
      <c r="D127" s="471"/>
      <c r="H127" s="1006"/>
      <c r="I127" s="37"/>
      <c r="J127" s="1006"/>
      <c r="K127" s="37"/>
      <c r="L127" s="1006"/>
      <c r="M127" s="37"/>
      <c r="N127" s="1006"/>
      <c r="O127" s="37"/>
      <c r="P127" s="1006"/>
      <c r="Q127" s="37"/>
      <c r="R127" s="1006"/>
      <c r="S127" s="37"/>
      <c r="T127" s="37"/>
      <c r="U127" s="37"/>
      <c r="V127" s="1006"/>
      <c r="W127" s="37"/>
      <c r="X127" s="1006"/>
      <c r="Y127" s="37"/>
      <c r="Z127" s="1006"/>
      <c r="AA127" s="37"/>
      <c r="AB127" s="1006"/>
      <c r="AC127" s="37"/>
      <c r="AD127" s="1006"/>
      <c r="AE127" s="37"/>
      <c r="AF127" s="1006"/>
      <c r="AG127" s="37"/>
      <c r="AH127" s="37"/>
      <c r="AI127" s="37"/>
      <c r="AJ127" s="1006"/>
      <c r="AK127" s="37"/>
      <c r="AL127" s="1006"/>
      <c r="AM127" s="37"/>
      <c r="AN127" s="1006"/>
      <c r="AO127" s="37"/>
      <c r="AP127" s="1006"/>
      <c r="AQ127" s="37"/>
      <c r="AR127" s="37"/>
      <c r="AS127" s="37"/>
      <c r="AT127" s="37"/>
      <c r="AU127" s="37"/>
      <c r="AV127" s="37"/>
      <c r="AW127" s="37"/>
      <c r="AX127" s="1006"/>
      <c r="AY127" s="37"/>
      <c r="AZ127" s="1006"/>
      <c r="BA127" s="37"/>
      <c r="BB127" s="1006"/>
      <c r="BC127" s="37"/>
      <c r="BD127" s="1006"/>
      <c r="BE127" s="37"/>
      <c r="BF127" s="1006"/>
      <c r="BG127" s="37"/>
      <c r="BH127" s="37"/>
      <c r="BI127" s="37"/>
      <c r="BJ127" s="37"/>
      <c r="BK127" s="37"/>
      <c r="BL127" s="1006"/>
      <c r="BM127" s="37"/>
      <c r="BN127" s="1006"/>
      <c r="BO127" s="37"/>
      <c r="BP127" s="1006"/>
      <c r="BQ127" s="37"/>
      <c r="BR127" s="1006"/>
      <c r="BS127" s="37"/>
      <c r="BT127" s="1006"/>
      <c r="BU127" s="1006"/>
      <c r="BV127" s="1006"/>
      <c r="BW127" s="1006"/>
      <c r="BX127" s="37"/>
      <c r="BY127" s="37"/>
      <c r="BZ127" s="1006"/>
      <c r="CA127" s="37"/>
      <c r="CB127" s="1006"/>
      <c r="CC127" s="37"/>
      <c r="CD127" s="1006"/>
      <c r="CE127" s="37"/>
      <c r="CF127" s="1006"/>
      <c r="CG127" s="37"/>
      <c r="CH127" s="1006"/>
      <c r="CI127" s="1006"/>
      <c r="CJ127" s="1006"/>
      <c r="CK127" s="1006"/>
      <c r="CL127" s="37"/>
      <c r="CM127" s="37"/>
      <c r="CO127" s="1011"/>
      <c r="CQ127" s="1012"/>
      <c r="CS127" s="1012"/>
      <c r="CU127" s="1012"/>
      <c r="CW127" s="1012"/>
      <c r="CY127" s="1012"/>
      <c r="DA127" s="1012"/>
      <c r="DC127" s="1012"/>
      <c r="DE127" s="1012"/>
      <c r="DG127" s="1012"/>
      <c r="DI127" s="1012"/>
      <c r="DK127" s="1012"/>
      <c r="DM127" s="1012"/>
      <c r="DO127" s="1012"/>
      <c r="DQ127" s="1012"/>
      <c r="DS127" s="1012"/>
      <c r="DU127" s="1012"/>
      <c r="DW127" s="1012"/>
      <c r="DY127" s="1012"/>
      <c r="EA127" s="1012"/>
      <c r="EC127" s="1012"/>
      <c r="EE127" s="1012"/>
      <c r="EG127" s="1012"/>
      <c r="EI127" s="1012"/>
      <c r="EK127" s="1012"/>
      <c r="EM127" s="1012"/>
      <c r="EO127" s="1012"/>
      <c r="EQ127" s="1012"/>
      <c r="ES127" s="1012"/>
      <c r="EU127" s="1012"/>
      <c r="EW127" s="1012"/>
      <c r="EY127" s="1012"/>
      <c r="FA127" s="1012"/>
      <c r="FC127" s="1012"/>
      <c r="FE127" s="1012"/>
      <c r="FG127" s="1012"/>
      <c r="FH127" s="1015"/>
      <c r="FI127" s="37"/>
      <c r="FK127" s="1013"/>
      <c r="FL127" s="1012"/>
      <c r="FM127" s="1012"/>
      <c r="FN127" s="1012"/>
      <c r="FP127" s="1014"/>
      <c r="FQ127" s="1014"/>
      <c r="FR127" s="1014"/>
      <c r="FS127" s="1014"/>
      <c r="FT127" s="1014"/>
      <c r="FU127" s="1014"/>
      <c r="FV127" s="1014"/>
      <c r="FW127" s="1014"/>
      <c r="FX127" s="1014"/>
      <c r="FY127" s="1014"/>
      <c r="FZ127" s="1014"/>
      <c r="GA127" s="1014"/>
      <c r="GB127" s="1014"/>
      <c r="GC127" s="1014"/>
      <c r="GD127" s="1014"/>
      <c r="GE127" s="1014"/>
      <c r="GF127" s="1014"/>
      <c r="GG127" s="1014"/>
      <c r="GH127" s="1014"/>
      <c r="GI127" s="1014"/>
      <c r="GJ127" s="1014"/>
      <c r="GK127" s="1014"/>
      <c r="GL127" s="1014"/>
      <c r="GM127" s="1014"/>
      <c r="GN127" s="1014"/>
      <c r="GO127" s="1014"/>
      <c r="GP127" s="1014"/>
      <c r="GQ127" s="1014"/>
      <c r="GR127" s="1014"/>
      <c r="GS127" s="1014"/>
      <c r="GT127" s="1014"/>
      <c r="GU127" s="1014"/>
      <c r="GV127" s="1014"/>
      <c r="GW127" s="1014"/>
      <c r="GX127" s="1014"/>
      <c r="GY127" s="1014"/>
      <c r="GZ127" s="1014"/>
      <c r="HA127" s="1014"/>
      <c r="HB127" s="1014"/>
      <c r="HC127" s="1014"/>
      <c r="HD127" s="1014"/>
      <c r="HE127" s="1014"/>
      <c r="HF127" s="1014"/>
      <c r="HG127" s="1014"/>
      <c r="HH127" s="1014"/>
      <c r="HI127" s="1014"/>
      <c r="HJ127" s="1014"/>
      <c r="HK127" s="1014"/>
      <c r="HL127" s="1014"/>
      <c r="HM127" s="1014"/>
      <c r="HN127" s="1014"/>
      <c r="HO127" s="1014"/>
      <c r="HP127" s="1014"/>
      <c r="HQ127" s="1014"/>
      <c r="HR127" s="1014"/>
      <c r="HS127" s="1014"/>
      <c r="HT127" s="1014"/>
      <c r="HU127" s="1014"/>
      <c r="HV127" s="1014"/>
    </row>
    <row r="128" spans="1:230" s="470" customFormat="1" ht="15" customHeight="1" outlineLevel="1" x14ac:dyDescent="0.25">
      <c r="A128" s="1031">
        <v>41634</v>
      </c>
      <c r="B128" s="1031"/>
      <c r="C128" s="471"/>
      <c r="D128" s="471"/>
      <c r="H128" s="1006"/>
      <c r="I128" s="37"/>
      <c r="J128" s="1006"/>
      <c r="K128" s="37"/>
      <c r="L128" s="1006"/>
      <c r="M128" s="37"/>
      <c r="N128" s="1006"/>
      <c r="O128" s="37"/>
      <c r="P128" s="1006"/>
      <c r="Q128" s="37"/>
      <c r="R128" s="1006"/>
      <c r="S128" s="37"/>
      <c r="T128" s="37"/>
      <c r="U128" s="37"/>
      <c r="V128" s="1006"/>
      <c r="W128" s="37"/>
      <c r="X128" s="1006"/>
      <c r="Y128" s="37"/>
      <c r="Z128" s="1006"/>
      <c r="AA128" s="37"/>
      <c r="AB128" s="1006"/>
      <c r="AC128" s="37"/>
      <c r="AD128" s="1006"/>
      <c r="AE128" s="37"/>
      <c r="AF128" s="1006"/>
      <c r="AG128" s="37"/>
      <c r="AH128" s="37"/>
      <c r="AI128" s="37"/>
      <c r="AJ128" s="1006"/>
      <c r="AK128" s="37"/>
      <c r="AL128" s="1006"/>
      <c r="AM128" s="37"/>
      <c r="AN128" s="1006"/>
      <c r="AO128" s="37"/>
      <c r="AP128" s="1006"/>
      <c r="AQ128" s="37"/>
      <c r="AR128" s="37"/>
      <c r="AS128" s="37"/>
      <c r="AT128" s="37"/>
      <c r="AU128" s="37"/>
      <c r="AV128" s="37"/>
      <c r="AW128" s="37"/>
      <c r="AX128" s="1006"/>
      <c r="AY128" s="37"/>
      <c r="AZ128" s="1006"/>
      <c r="BA128" s="37"/>
      <c r="BB128" s="1006"/>
      <c r="BC128" s="37"/>
      <c r="BD128" s="1006"/>
      <c r="BE128" s="37"/>
      <c r="BF128" s="1006"/>
      <c r="BG128" s="37"/>
      <c r="BH128" s="37"/>
      <c r="BI128" s="37"/>
      <c r="BJ128" s="37"/>
      <c r="BK128" s="37"/>
      <c r="BL128" s="1006"/>
      <c r="BM128" s="37"/>
      <c r="BN128" s="1006"/>
      <c r="BO128" s="37"/>
      <c r="BP128" s="1006"/>
      <c r="BQ128" s="37"/>
      <c r="BR128" s="1006"/>
      <c r="BS128" s="37"/>
      <c r="BT128" s="1006"/>
      <c r="BU128" s="1006"/>
      <c r="BV128" s="1006"/>
      <c r="BW128" s="1006"/>
      <c r="BX128" s="37"/>
      <c r="BY128" s="37"/>
      <c r="BZ128" s="1006"/>
      <c r="CA128" s="37"/>
      <c r="CB128" s="1006"/>
      <c r="CC128" s="37"/>
      <c r="CD128" s="1006"/>
      <c r="CE128" s="37"/>
      <c r="CF128" s="1006"/>
      <c r="CG128" s="37"/>
      <c r="CH128" s="1006"/>
      <c r="CI128" s="1006"/>
      <c r="CJ128" s="1006"/>
      <c r="CK128" s="1006"/>
      <c r="CL128" s="37"/>
      <c r="CM128" s="37"/>
      <c r="CO128" s="1011"/>
      <c r="CQ128" s="1012"/>
      <c r="CS128" s="1012"/>
      <c r="CU128" s="1012"/>
      <c r="CW128" s="1012"/>
      <c r="CY128" s="1012"/>
      <c r="DA128" s="1012"/>
      <c r="DC128" s="1012"/>
      <c r="DE128" s="1012"/>
      <c r="DG128" s="1012"/>
      <c r="DI128" s="1012"/>
      <c r="DK128" s="1012"/>
      <c r="DM128" s="1012"/>
      <c r="DO128" s="1012"/>
      <c r="DQ128" s="1012"/>
      <c r="DS128" s="1012"/>
      <c r="DU128" s="1012"/>
      <c r="DW128" s="1012"/>
      <c r="DY128" s="1012"/>
      <c r="EA128" s="1012"/>
      <c r="EC128" s="1012"/>
      <c r="EE128" s="1012"/>
      <c r="EG128" s="1012"/>
      <c r="EI128" s="1012"/>
      <c r="EK128" s="1012"/>
      <c r="EM128" s="1012"/>
      <c r="EO128" s="1012"/>
      <c r="EQ128" s="1012"/>
      <c r="ES128" s="1012"/>
      <c r="EU128" s="1012"/>
      <c r="EW128" s="1012"/>
      <c r="EY128" s="1012"/>
      <c r="FA128" s="1012"/>
      <c r="FC128" s="1012"/>
      <c r="FE128" s="1012"/>
      <c r="FG128" s="1012"/>
      <c r="FH128" s="1015"/>
      <c r="FI128" s="37"/>
      <c r="FK128" s="1013"/>
      <c r="FL128" s="1012"/>
      <c r="FM128" s="1012"/>
      <c r="FN128" s="1012"/>
      <c r="FP128" s="1014"/>
      <c r="FQ128" s="1014"/>
      <c r="FR128" s="1014"/>
      <c r="FS128" s="1014"/>
      <c r="FT128" s="1014"/>
      <c r="FU128" s="1014"/>
      <c r="FV128" s="1014"/>
      <c r="FW128" s="1014"/>
      <c r="FX128" s="1014"/>
      <c r="FY128" s="1014"/>
      <c r="FZ128" s="1014"/>
      <c r="GA128" s="1014"/>
      <c r="GB128" s="1014"/>
      <c r="GC128" s="1014"/>
      <c r="GD128" s="1014"/>
      <c r="GE128" s="1014"/>
      <c r="GF128" s="1014"/>
      <c r="GG128" s="1014"/>
      <c r="GH128" s="1014"/>
      <c r="GI128" s="1014"/>
      <c r="GJ128" s="1014"/>
      <c r="GK128" s="1014"/>
      <c r="GL128" s="1014"/>
      <c r="GM128" s="1014"/>
      <c r="GN128" s="1014"/>
      <c r="GO128" s="1014"/>
      <c r="GP128" s="1014"/>
      <c r="GQ128" s="1014"/>
      <c r="GR128" s="1014"/>
      <c r="GS128" s="1014"/>
      <c r="GT128" s="1014"/>
      <c r="GU128" s="1014"/>
      <c r="GV128" s="1014"/>
      <c r="GW128" s="1014"/>
      <c r="GX128" s="1014"/>
      <c r="GY128" s="1014"/>
      <c r="GZ128" s="1014"/>
      <c r="HA128" s="1014"/>
      <c r="HB128" s="1014"/>
      <c r="HC128" s="1014"/>
      <c r="HD128" s="1014"/>
      <c r="HE128" s="1014"/>
      <c r="HF128" s="1014"/>
      <c r="HG128" s="1014"/>
      <c r="HH128" s="1014"/>
      <c r="HI128" s="1014"/>
      <c r="HJ128" s="1014"/>
      <c r="HK128" s="1014"/>
      <c r="HL128" s="1014"/>
      <c r="HM128" s="1014"/>
      <c r="HN128" s="1014"/>
      <c r="HO128" s="1014"/>
      <c r="HP128" s="1014"/>
      <c r="HQ128" s="1014"/>
      <c r="HR128" s="1014"/>
      <c r="HS128" s="1014"/>
      <c r="HT128" s="1014"/>
      <c r="HU128" s="1014"/>
      <c r="HV128" s="1014"/>
    </row>
    <row r="129" spans="1:230" s="470" customFormat="1" outlineLevel="1" x14ac:dyDescent="0.25">
      <c r="A129" s="1031">
        <v>41635</v>
      </c>
      <c r="B129" s="1031"/>
      <c r="C129" s="471"/>
      <c r="D129" s="469"/>
      <c r="H129" s="1006"/>
      <c r="I129" s="37"/>
      <c r="J129" s="1006"/>
      <c r="K129" s="37"/>
      <c r="L129" s="1006"/>
      <c r="M129" s="37"/>
      <c r="N129" s="1006"/>
      <c r="O129" s="37"/>
      <c r="P129" s="1006"/>
      <c r="Q129" s="37"/>
      <c r="R129" s="1006"/>
      <c r="S129" s="37"/>
      <c r="T129" s="37"/>
      <c r="U129" s="37"/>
      <c r="V129" s="1006"/>
      <c r="W129" s="37"/>
      <c r="X129" s="1006"/>
      <c r="Y129" s="37"/>
      <c r="Z129" s="1006"/>
      <c r="AA129" s="37"/>
      <c r="AB129" s="1006"/>
      <c r="AC129" s="37"/>
      <c r="AD129" s="1006"/>
      <c r="AE129" s="37"/>
      <c r="AF129" s="1006"/>
      <c r="AG129" s="37"/>
      <c r="AH129" s="37"/>
      <c r="AI129" s="37"/>
      <c r="AJ129" s="1006"/>
      <c r="AK129" s="37"/>
      <c r="AL129" s="1006"/>
      <c r="AM129" s="37"/>
      <c r="AN129" s="1006"/>
      <c r="AO129" s="37"/>
      <c r="AP129" s="1006"/>
      <c r="AQ129" s="37"/>
      <c r="AR129" s="37"/>
      <c r="AS129" s="37"/>
      <c r="AT129" s="37"/>
      <c r="AU129" s="37"/>
      <c r="AV129" s="37"/>
      <c r="AW129" s="37"/>
      <c r="AX129" s="1006"/>
      <c r="AY129" s="37"/>
      <c r="AZ129" s="1006"/>
      <c r="BA129" s="37"/>
      <c r="BB129" s="1006"/>
      <c r="BC129" s="37"/>
      <c r="BD129" s="1006"/>
      <c r="BE129" s="37"/>
      <c r="BF129" s="1006"/>
      <c r="BG129" s="37"/>
      <c r="BH129" s="37"/>
      <c r="BI129" s="37"/>
      <c r="BJ129" s="37"/>
      <c r="BK129" s="37"/>
      <c r="BL129" s="1006"/>
      <c r="BM129" s="37"/>
      <c r="BN129" s="1006"/>
      <c r="BO129" s="37"/>
      <c r="BP129" s="1006"/>
      <c r="BQ129" s="37"/>
      <c r="BR129" s="1006"/>
      <c r="BS129" s="37"/>
      <c r="BT129" s="1006"/>
      <c r="BU129" s="1006"/>
      <c r="BV129" s="1006"/>
      <c r="BW129" s="1006"/>
      <c r="BX129" s="37"/>
      <c r="BY129" s="37"/>
      <c r="BZ129" s="1006"/>
      <c r="CA129" s="37"/>
      <c r="CB129" s="1006"/>
      <c r="CC129" s="37"/>
      <c r="CD129" s="1006"/>
      <c r="CE129" s="37"/>
      <c r="CF129" s="1006"/>
      <c r="CG129" s="37"/>
      <c r="CH129" s="1006"/>
      <c r="CI129" s="1006"/>
      <c r="CJ129" s="1006"/>
      <c r="CK129" s="1006"/>
      <c r="CL129" s="37"/>
      <c r="CM129" s="37"/>
      <c r="CO129" s="1011"/>
      <c r="CQ129" s="1012"/>
      <c r="CS129" s="1012"/>
      <c r="CU129" s="1012"/>
      <c r="CW129" s="1012"/>
      <c r="CY129" s="1012"/>
      <c r="DA129" s="1012"/>
      <c r="DC129" s="1012"/>
      <c r="DE129" s="1012"/>
      <c r="DG129" s="1012"/>
      <c r="DI129" s="1012"/>
      <c r="DK129" s="1012"/>
      <c r="DM129" s="1012"/>
      <c r="DO129" s="1012"/>
      <c r="DQ129" s="1012"/>
      <c r="DS129" s="1012"/>
      <c r="DU129" s="1012"/>
      <c r="DW129" s="1012"/>
      <c r="DY129" s="1012"/>
      <c r="EA129" s="1012"/>
      <c r="EC129" s="1012"/>
      <c r="EE129" s="1012"/>
      <c r="EG129" s="1012"/>
      <c r="EI129" s="1012"/>
      <c r="EK129" s="1012"/>
      <c r="EM129" s="1012"/>
      <c r="EO129" s="1012"/>
      <c r="EQ129" s="1012"/>
      <c r="ES129" s="1012"/>
      <c r="EU129" s="1012"/>
      <c r="EW129" s="1012"/>
      <c r="EY129" s="1012"/>
      <c r="FA129" s="1012"/>
      <c r="FC129" s="1012"/>
      <c r="FE129" s="1012"/>
      <c r="FG129" s="1012"/>
      <c r="FH129" s="1015"/>
      <c r="FI129" s="37"/>
      <c r="FK129" s="1013"/>
      <c r="FL129" s="1012"/>
      <c r="FM129" s="1012"/>
      <c r="FN129" s="1012"/>
      <c r="FP129" s="1014"/>
      <c r="FQ129" s="1014"/>
      <c r="FR129" s="1014"/>
      <c r="FS129" s="1014"/>
      <c r="FT129" s="1014"/>
      <c r="FU129" s="1014"/>
      <c r="FV129" s="1014"/>
      <c r="FW129" s="1014"/>
      <c r="FX129" s="1014"/>
      <c r="FY129" s="1014"/>
      <c r="FZ129" s="1014"/>
      <c r="GA129" s="1014"/>
      <c r="GB129" s="1014"/>
      <c r="GC129" s="1014"/>
      <c r="GD129" s="1014"/>
      <c r="GE129" s="1014"/>
      <c r="GF129" s="1014"/>
      <c r="GG129" s="1014"/>
      <c r="GH129" s="1014"/>
      <c r="GI129" s="1014"/>
      <c r="GJ129" s="1014"/>
      <c r="GK129" s="1014"/>
      <c r="GL129" s="1014"/>
      <c r="GM129" s="1014"/>
      <c r="GN129" s="1014"/>
      <c r="GO129" s="1014"/>
      <c r="GP129" s="1014"/>
      <c r="GQ129" s="1014"/>
      <c r="GR129" s="1014"/>
      <c r="GS129" s="1014"/>
      <c r="GT129" s="1014"/>
      <c r="GU129" s="1014"/>
      <c r="GV129" s="1014"/>
      <c r="GW129" s="1014"/>
      <c r="GX129" s="1014"/>
      <c r="GY129" s="1014"/>
      <c r="GZ129" s="1014"/>
      <c r="HA129" s="1014"/>
      <c r="HB129" s="1014"/>
      <c r="HC129" s="1014"/>
      <c r="HD129" s="1014"/>
      <c r="HE129" s="1014"/>
      <c r="HF129" s="1014"/>
      <c r="HG129" s="1014"/>
      <c r="HH129" s="1014"/>
      <c r="HI129" s="1014"/>
      <c r="HJ129" s="1014"/>
      <c r="HK129" s="1014"/>
      <c r="HL129" s="1014"/>
      <c r="HM129" s="1014"/>
      <c r="HN129" s="1014"/>
      <c r="HO129" s="1014"/>
      <c r="HP129" s="1014"/>
      <c r="HQ129" s="1014"/>
      <c r="HR129" s="1014"/>
      <c r="HS129" s="1014"/>
      <c r="HT129" s="1014"/>
      <c r="HU129" s="1014"/>
      <c r="HV129" s="1014"/>
    </row>
    <row r="130" spans="1:230" s="470" customFormat="1" outlineLevel="1" x14ac:dyDescent="0.25">
      <c r="A130" s="1031">
        <v>41640</v>
      </c>
      <c r="B130" s="1031"/>
      <c r="C130" s="471"/>
      <c r="D130" s="469"/>
      <c r="H130" s="1006"/>
      <c r="I130" s="37"/>
      <c r="J130" s="1006"/>
      <c r="K130" s="37"/>
      <c r="L130" s="1006"/>
      <c r="M130" s="37"/>
      <c r="N130" s="1006"/>
      <c r="O130" s="37"/>
      <c r="P130" s="1006"/>
      <c r="Q130" s="37"/>
      <c r="R130" s="1006"/>
      <c r="S130" s="37"/>
      <c r="T130" s="37"/>
      <c r="U130" s="37"/>
      <c r="V130" s="1006"/>
      <c r="W130" s="37"/>
      <c r="X130" s="1006"/>
      <c r="Y130" s="37"/>
      <c r="Z130" s="1006"/>
      <c r="AA130" s="37"/>
      <c r="AB130" s="1006"/>
      <c r="AC130" s="37"/>
      <c r="AD130" s="1006"/>
      <c r="AE130" s="37"/>
      <c r="AF130" s="1006"/>
      <c r="AG130" s="37"/>
      <c r="AH130" s="37"/>
      <c r="AI130" s="37"/>
      <c r="AJ130" s="1006"/>
      <c r="AK130" s="37"/>
      <c r="AL130" s="1006"/>
      <c r="AM130" s="37"/>
      <c r="AN130" s="1006"/>
      <c r="AO130" s="37"/>
      <c r="AP130" s="1006"/>
      <c r="AQ130" s="37"/>
      <c r="AR130" s="37"/>
      <c r="AS130" s="37"/>
      <c r="AT130" s="37"/>
      <c r="AU130" s="37"/>
      <c r="AV130" s="37"/>
      <c r="AW130" s="37"/>
      <c r="AX130" s="1006"/>
      <c r="AY130" s="37"/>
      <c r="AZ130" s="1006"/>
      <c r="BA130" s="37"/>
      <c r="BB130" s="1006"/>
      <c r="BC130" s="37"/>
      <c r="BD130" s="1006"/>
      <c r="BE130" s="37"/>
      <c r="BF130" s="1006"/>
      <c r="BG130" s="37"/>
      <c r="BH130" s="37"/>
      <c r="BI130" s="37"/>
      <c r="BJ130" s="37"/>
      <c r="BK130" s="37"/>
      <c r="BL130" s="1006"/>
      <c r="BM130" s="37"/>
      <c r="BN130" s="1006"/>
      <c r="BO130" s="37"/>
      <c r="BP130" s="1006"/>
      <c r="BQ130" s="37"/>
      <c r="BR130" s="1006"/>
      <c r="BS130" s="37"/>
      <c r="BT130" s="1006"/>
      <c r="BU130" s="1006"/>
      <c r="BV130" s="1006"/>
      <c r="BW130" s="1006"/>
      <c r="BX130" s="37"/>
      <c r="BY130" s="37"/>
      <c r="BZ130" s="1006"/>
      <c r="CA130" s="37"/>
      <c r="CB130" s="1006"/>
      <c r="CC130" s="37"/>
      <c r="CD130" s="1006"/>
      <c r="CE130" s="37"/>
      <c r="CF130" s="1006"/>
      <c r="CG130" s="37"/>
      <c r="CH130" s="1006"/>
      <c r="CI130" s="1006"/>
      <c r="CJ130" s="1006"/>
      <c r="CK130" s="1006"/>
      <c r="CL130" s="37"/>
      <c r="CM130" s="37"/>
      <c r="CO130" s="1016"/>
      <c r="CQ130" s="1012"/>
      <c r="CS130" s="1012"/>
      <c r="CU130" s="1012"/>
      <c r="CW130" s="1012"/>
      <c r="CY130" s="1012"/>
      <c r="DA130" s="1012"/>
      <c r="DC130" s="1012"/>
      <c r="DE130" s="1012"/>
      <c r="DG130" s="1012"/>
      <c r="DI130" s="1012"/>
      <c r="DK130" s="1012"/>
      <c r="DM130" s="1012"/>
      <c r="DO130" s="1012"/>
      <c r="DQ130" s="1012"/>
      <c r="DS130" s="1012"/>
      <c r="DU130" s="1012"/>
      <c r="DW130" s="1012"/>
      <c r="DY130" s="1012"/>
      <c r="EA130" s="1012"/>
      <c r="EC130" s="1012"/>
      <c r="EE130" s="1012"/>
      <c r="EG130" s="1012"/>
      <c r="EI130" s="1012"/>
      <c r="EK130" s="1012"/>
      <c r="EM130" s="1012"/>
      <c r="EO130" s="1012"/>
      <c r="EQ130" s="1012"/>
      <c r="ES130" s="1012"/>
      <c r="EU130" s="1012"/>
      <c r="EW130" s="1012"/>
      <c r="EY130" s="1012"/>
      <c r="FA130" s="1012"/>
      <c r="FC130" s="1012"/>
      <c r="FE130" s="1012"/>
      <c r="FG130" s="1012"/>
      <c r="FH130" s="1015"/>
      <c r="FI130" s="37"/>
      <c r="FK130" s="1013"/>
      <c r="FL130" s="1012"/>
      <c r="FM130" s="1012"/>
      <c r="FN130" s="1012"/>
      <c r="FP130" s="1014"/>
      <c r="FQ130" s="1014"/>
      <c r="FR130" s="1014"/>
      <c r="FS130" s="1014"/>
      <c r="FT130" s="1014"/>
      <c r="FU130" s="1014"/>
      <c r="FV130" s="1014"/>
      <c r="FW130" s="1014"/>
      <c r="FX130" s="1014"/>
      <c r="FY130" s="1014"/>
      <c r="FZ130" s="1014"/>
      <c r="GA130" s="1014"/>
      <c r="GB130" s="1014"/>
      <c r="GC130" s="1014"/>
      <c r="GD130" s="1014"/>
      <c r="GE130" s="1014"/>
      <c r="GF130" s="1014"/>
      <c r="GG130" s="1014"/>
      <c r="GH130" s="1014"/>
      <c r="GI130" s="1014"/>
      <c r="GJ130" s="1014"/>
      <c r="GK130" s="1014"/>
      <c r="GL130" s="1014"/>
      <c r="GM130" s="1014"/>
      <c r="GN130" s="1014"/>
      <c r="GO130" s="1014"/>
      <c r="GP130" s="1014"/>
      <c r="GQ130" s="1014"/>
      <c r="GR130" s="1014"/>
      <c r="GS130" s="1014"/>
      <c r="GT130" s="1014"/>
      <c r="GU130" s="1014"/>
      <c r="GV130" s="1014"/>
      <c r="GW130" s="1014"/>
      <c r="GX130" s="1014"/>
      <c r="GY130" s="1014"/>
      <c r="GZ130" s="1014"/>
      <c r="HA130" s="1014"/>
      <c r="HB130" s="1014"/>
      <c r="HC130" s="1014"/>
      <c r="HD130" s="1014"/>
      <c r="HE130" s="1014"/>
      <c r="HF130" s="1014"/>
      <c r="HG130" s="1014"/>
      <c r="HH130" s="1014"/>
      <c r="HI130" s="1014"/>
      <c r="HJ130" s="1014"/>
      <c r="HK130" s="1014"/>
      <c r="HL130" s="1014"/>
      <c r="HM130" s="1014"/>
      <c r="HN130" s="1014"/>
      <c r="HO130" s="1014"/>
      <c r="HP130" s="1014"/>
      <c r="HQ130" s="1014"/>
      <c r="HR130" s="1014"/>
      <c r="HS130" s="1014"/>
      <c r="HT130" s="1014"/>
      <c r="HU130" s="1014"/>
      <c r="HV130" s="1014"/>
    </row>
    <row r="131" spans="1:230" s="470" customFormat="1" outlineLevel="1" x14ac:dyDescent="0.25">
      <c r="A131" s="1031">
        <v>41659</v>
      </c>
      <c r="B131" s="1031"/>
      <c r="C131" s="471"/>
      <c r="D131" s="469"/>
      <c r="H131" s="1006"/>
      <c r="I131" s="37"/>
      <c r="J131" s="1006"/>
      <c r="K131" s="37"/>
      <c r="L131" s="1006"/>
      <c r="M131" s="37"/>
      <c r="N131" s="1006"/>
      <c r="O131" s="37"/>
      <c r="P131" s="1006"/>
      <c r="Q131" s="37"/>
      <c r="R131" s="1006"/>
      <c r="S131" s="37"/>
      <c r="T131" s="37"/>
      <c r="U131" s="37"/>
      <c r="V131" s="1006"/>
      <c r="W131" s="37"/>
      <c r="X131" s="1006"/>
      <c r="Y131" s="37"/>
      <c r="Z131" s="1006"/>
      <c r="AA131" s="37"/>
      <c r="AB131" s="1006"/>
      <c r="AC131" s="37"/>
      <c r="AD131" s="1006"/>
      <c r="AE131" s="37"/>
      <c r="AF131" s="1006"/>
      <c r="AG131" s="37"/>
      <c r="AH131" s="37"/>
      <c r="AI131" s="37"/>
      <c r="AJ131" s="1006"/>
      <c r="AK131" s="37"/>
      <c r="AL131" s="1006"/>
      <c r="AM131" s="37"/>
      <c r="AN131" s="1006"/>
      <c r="AO131" s="37"/>
      <c r="AP131" s="1006"/>
      <c r="AQ131" s="37"/>
      <c r="AR131" s="37"/>
      <c r="AS131" s="37"/>
      <c r="AT131" s="37"/>
      <c r="AU131" s="37"/>
      <c r="AV131" s="37"/>
      <c r="AW131" s="37"/>
      <c r="AX131" s="1006"/>
      <c r="AY131" s="37"/>
      <c r="AZ131" s="1006"/>
      <c r="BA131" s="37"/>
      <c r="BB131" s="1006"/>
      <c r="BC131" s="37"/>
      <c r="BD131" s="1006"/>
      <c r="BE131" s="37"/>
      <c r="BF131" s="1006"/>
      <c r="BG131" s="37"/>
      <c r="BH131" s="37"/>
      <c r="BI131" s="37"/>
      <c r="BJ131" s="37"/>
      <c r="BK131" s="37"/>
      <c r="BL131" s="1006"/>
      <c r="BM131" s="37"/>
      <c r="BN131" s="1006"/>
      <c r="BO131" s="37"/>
      <c r="BP131" s="1006"/>
      <c r="BQ131" s="37"/>
      <c r="BR131" s="1006"/>
      <c r="BS131" s="37"/>
      <c r="BT131" s="1006"/>
      <c r="BU131" s="1006"/>
      <c r="BV131" s="1006"/>
      <c r="BW131" s="1006"/>
      <c r="BX131" s="37"/>
      <c r="BY131" s="37"/>
      <c r="BZ131" s="1006"/>
      <c r="CA131" s="37"/>
      <c r="CB131" s="1006"/>
      <c r="CC131" s="37"/>
      <c r="CD131" s="1006"/>
      <c r="CE131" s="37"/>
      <c r="CF131" s="1006"/>
      <c r="CG131" s="37"/>
      <c r="CH131" s="1006"/>
      <c r="CI131" s="1006"/>
      <c r="CJ131" s="1006"/>
      <c r="CK131" s="1006"/>
      <c r="CL131" s="37"/>
      <c r="CM131" s="37"/>
      <c r="CO131" s="1016"/>
      <c r="CQ131" s="1012"/>
      <c r="CS131" s="1012"/>
      <c r="CU131" s="1012"/>
      <c r="CW131" s="1012"/>
      <c r="CY131" s="1012"/>
      <c r="DA131" s="1012"/>
      <c r="DC131" s="1012"/>
      <c r="DE131" s="1012"/>
      <c r="DG131" s="1012"/>
      <c r="DI131" s="1012"/>
      <c r="DK131" s="1012"/>
      <c r="DM131" s="1012"/>
      <c r="DO131" s="1012"/>
      <c r="DQ131" s="1012"/>
      <c r="DS131" s="1012"/>
      <c r="DU131" s="1012"/>
      <c r="DW131" s="1012"/>
      <c r="DY131" s="1012"/>
      <c r="EA131" s="1012"/>
      <c r="EC131" s="1012"/>
      <c r="EE131" s="1012"/>
      <c r="EG131" s="1012"/>
      <c r="EI131" s="1012"/>
      <c r="EK131" s="1012"/>
      <c r="EM131" s="1012"/>
      <c r="EO131" s="1012"/>
      <c r="EQ131" s="1012"/>
      <c r="ES131" s="1012"/>
      <c r="EU131" s="1012"/>
      <c r="EW131" s="1012"/>
      <c r="EY131" s="1012"/>
      <c r="FA131" s="1012"/>
      <c r="FC131" s="1012"/>
      <c r="FE131" s="1012"/>
      <c r="FG131" s="1012"/>
      <c r="FH131" s="1015"/>
      <c r="FI131" s="37"/>
      <c r="FK131" s="1013"/>
      <c r="FL131" s="1012"/>
      <c r="FM131" s="1012"/>
      <c r="FN131" s="1012"/>
      <c r="FP131" s="1014"/>
      <c r="FQ131" s="1014"/>
      <c r="FR131" s="1014"/>
      <c r="FS131" s="1014"/>
      <c r="FT131" s="1014"/>
      <c r="FU131" s="1014"/>
      <c r="FV131" s="1014"/>
      <c r="FW131" s="1014"/>
      <c r="FX131" s="1014"/>
      <c r="FY131" s="1014"/>
      <c r="FZ131" s="1014"/>
      <c r="GA131" s="1014"/>
      <c r="GB131" s="1014"/>
      <c r="GC131" s="1014"/>
      <c r="GD131" s="1014"/>
      <c r="GE131" s="1014"/>
      <c r="GF131" s="1014"/>
      <c r="GG131" s="1014"/>
      <c r="GH131" s="1014"/>
      <c r="GI131" s="1014"/>
      <c r="GJ131" s="1014"/>
      <c r="GK131" s="1014"/>
      <c r="GL131" s="1014"/>
      <c r="GM131" s="1014"/>
      <c r="GN131" s="1014"/>
      <c r="GO131" s="1014"/>
      <c r="GP131" s="1014"/>
      <c r="GQ131" s="1014"/>
      <c r="GR131" s="1014"/>
      <c r="GS131" s="1014"/>
      <c r="GT131" s="1014"/>
      <c r="GU131" s="1014"/>
      <c r="GV131" s="1014"/>
      <c r="GW131" s="1014"/>
      <c r="GX131" s="1014"/>
      <c r="GY131" s="1014"/>
      <c r="GZ131" s="1014"/>
      <c r="HA131" s="1014"/>
      <c r="HB131" s="1014"/>
      <c r="HC131" s="1014"/>
      <c r="HD131" s="1014"/>
      <c r="HE131" s="1014"/>
      <c r="HF131" s="1014"/>
      <c r="HG131" s="1014"/>
      <c r="HH131" s="1014"/>
      <c r="HI131" s="1014"/>
      <c r="HJ131" s="1014"/>
      <c r="HK131" s="1014"/>
      <c r="HL131" s="1014"/>
      <c r="HM131" s="1014"/>
      <c r="HN131" s="1014"/>
      <c r="HO131" s="1014"/>
      <c r="HP131" s="1014"/>
      <c r="HQ131" s="1014"/>
      <c r="HR131" s="1014"/>
      <c r="HS131" s="1014"/>
      <c r="HT131" s="1014"/>
      <c r="HU131" s="1014"/>
      <c r="HV131" s="1014"/>
    </row>
    <row r="132" spans="1:230" s="470" customFormat="1" outlineLevel="1" x14ac:dyDescent="0.25">
      <c r="A132" s="1031">
        <v>41747</v>
      </c>
      <c r="B132" s="1031"/>
      <c r="C132" s="471"/>
      <c r="D132" s="469"/>
      <c r="H132" s="1006"/>
      <c r="I132" s="37"/>
      <c r="J132" s="1006"/>
      <c r="K132" s="37"/>
      <c r="L132" s="1006"/>
      <c r="M132" s="37"/>
      <c r="N132" s="1006"/>
      <c r="O132" s="37"/>
      <c r="P132" s="1006"/>
      <c r="Q132" s="37"/>
      <c r="R132" s="1006"/>
      <c r="S132" s="37"/>
      <c r="T132" s="37"/>
      <c r="U132" s="37"/>
      <c r="V132" s="1006"/>
      <c r="W132" s="37"/>
      <c r="X132" s="1006"/>
      <c r="Y132" s="37"/>
      <c r="Z132" s="1006"/>
      <c r="AA132" s="37"/>
      <c r="AB132" s="1006"/>
      <c r="AC132" s="37"/>
      <c r="AD132" s="1006"/>
      <c r="AE132" s="37"/>
      <c r="AF132" s="1006"/>
      <c r="AG132" s="37"/>
      <c r="AH132" s="37"/>
      <c r="AI132" s="37"/>
      <c r="AJ132" s="1006"/>
      <c r="AK132" s="37"/>
      <c r="AL132" s="1006"/>
      <c r="AM132" s="37"/>
      <c r="AN132" s="1006"/>
      <c r="AO132" s="37"/>
      <c r="AP132" s="1006"/>
      <c r="AQ132" s="37"/>
      <c r="AR132" s="37"/>
      <c r="AS132" s="37"/>
      <c r="AT132" s="37"/>
      <c r="AU132" s="37"/>
      <c r="AV132" s="37"/>
      <c r="AW132" s="37"/>
      <c r="AX132" s="1006"/>
      <c r="AY132" s="37"/>
      <c r="AZ132" s="1006"/>
      <c r="BA132" s="37"/>
      <c r="BB132" s="1006"/>
      <c r="BC132" s="37"/>
      <c r="BD132" s="1006"/>
      <c r="BE132" s="37"/>
      <c r="BF132" s="1006"/>
      <c r="BG132" s="37"/>
      <c r="BH132" s="37"/>
      <c r="BI132" s="37"/>
      <c r="BJ132" s="37"/>
      <c r="BK132" s="37"/>
      <c r="BL132" s="1006"/>
      <c r="BM132" s="37"/>
      <c r="BN132" s="1006"/>
      <c r="BO132" s="37"/>
      <c r="BP132" s="1006"/>
      <c r="BQ132" s="37"/>
      <c r="BR132" s="1006"/>
      <c r="BS132" s="37"/>
      <c r="BT132" s="1006"/>
      <c r="BU132" s="1006"/>
      <c r="BV132" s="1006"/>
      <c r="BW132" s="1006"/>
      <c r="BX132" s="37"/>
      <c r="BY132" s="37"/>
      <c r="BZ132" s="1006"/>
      <c r="CA132" s="37"/>
      <c r="CB132" s="1006"/>
      <c r="CC132" s="37"/>
      <c r="CD132" s="1006"/>
      <c r="CE132" s="37"/>
      <c r="CF132" s="1006"/>
      <c r="CG132" s="37"/>
      <c r="CH132" s="1006"/>
      <c r="CI132" s="1006"/>
      <c r="CJ132" s="1006"/>
      <c r="CK132" s="1006"/>
      <c r="CL132" s="37"/>
      <c r="CM132" s="37"/>
      <c r="CO132" s="1016"/>
      <c r="CQ132" s="1012"/>
      <c r="CS132" s="1012"/>
      <c r="CU132" s="1012"/>
      <c r="CW132" s="1012"/>
      <c r="CY132" s="1012"/>
      <c r="DA132" s="1012"/>
      <c r="DC132" s="1012"/>
      <c r="DE132" s="1012"/>
      <c r="DG132" s="1012"/>
      <c r="DI132" s="1012"/>
      <c r="DK132" s="1012"/>
      <c r="DM132" s="1012"/>
      <c r="DO132" s="1012"/>
      <c r="DQ132" s="1012"/>
      <c r="DS132" s="1012"/>
      <c r="DU132" s="1012"/>
      <c r="DW132" s="1012"/>
      <c r="DY132" s="1012"/>
      <c r="EA132" s="1012"/>
      <c r="EC132" s="1012"/>
      <c r="EE132" s="1012"/>
      <c r="EG132" s="1012"/>
      <c r="EI132" s="1012"/>
      <c r="EK132" s="1012"/>
      <c r="EM132" s="1012"/>
      <c r="EO132" s="1012"/>
      <c r="EQ132" s="1012"/>
      <c r="ES132" s="1012"/>
      <c r="EU132" s="1012"/>
      <c r="EW132" s="1012"/>
      <c r="EY132" s="1012"/>
      <c r="FA132" s="1012"/>
      <c r="FC132" s="1012"/>
      <c r="FE132" s="1012"/>
      <c r="FG132" s="1012"/>
      <c r="FH132" s="1015"/>
      <c r="FI132" s="37"/>
      <c r="FK132" s="1013"/>
      <c r="FL132" s="1012"/>
      <c r="FM132" s="1012"/>
      <c r="FN132" s="1012"/>
      <c r="FP132" s="1014"/>
      <c r="FQ132" s="1014"/>
      <c r="FR132" s="1014"/>
      <c r="FS132" s="1014"/>
      <c r="FT132" s="1014"/>
      <c r="FU132" s="1014"/>
      <c r="FV132" s="1014"/>
      <c r="FW132" s="1014"/>
      <c r="FX132" s="1014"/>
      <c r="FY132" s="1014"/>
      <c r="FZ132" s="1014"/>
      <c r="GA132" s="1014"/>
      <c r="GB132" s="1014"/>
      <c r="GC132" s="1014"/>
      <c r="GD132" s="1014"/>
      <c r="GE132" s="1014"/>
      <c r="GF132" s="1014"/>
      <c r="GG132" s="1014"/>
      <c r="GH132" s="1014"/>
      <c r="GI132" s="1014"/>
      <c r="GJ132" s="1014"/>
      <c r="GK132" s="1014"/>
      <c r="GL132" s="1014"/>
      <c r="GM132" s="1014"/>
      <c r="GN132" s="1014"/>
      <c r="GO132" s="1014"/>
      <c r="GP132" s="1014"/>
      <c r="GQ132" s="1014"/>
      <c r="GR132" s="1014"/>
      <c r="GS132" s="1014"/>
      <c r="GT132" s="1014"/>
      <c r="GU132" s="1014"/>
      <c r="GV132" s="1014"/>
      <c r="GW132" s="1014"/>
      <c r="GX132" s="1014"/>
      <c r="GY132" s="1014"/>
      <c r="GZ132" s="1014"/>
      <c r="HA132" s="1014"/>
      <c r="HB132" s="1014"/>
      <c r="HC132" s="1014"/>
      <c r="HD132" s="1014"/>
      <c r="HE132" s="1014"/>
      <c r="HF132" s="1014"/>
      <c r="HG132" s="1014"/>
      <c r="HH132" s="1014"/>
      <c r="HI132" s="1014"/>
      <c r="HJ132" s="1014"/>
      <c r="HK132" s="1014"/>
      <c r="HL132" s="1014"/>
      <c r="HM132" s="1014"/>
      <c r="HN132" s="1014"/>
      <c r="HO132" s="1014"/>
      <c r="HP132" s="1014"/>
      <c r="HQ132" s="1014"/>
      <c r="HR132" s="1014"/>
      <c r="HS132" s="1014"/>
      <c r="HT132" s="1014"/>
      <c r="HU132" s="1014"/>
      <c r="HV132" s="1014"/>
    </row>
    <row r="133" spans="1:230" s="470" customFormat="1" outlineLevel="1" x14ac:dyDescent="0.25">
      <c r="A133" s="1031">
        <v>41785</v>
      </c>
      <c r="B133" s="1031"/>
      <c r="C133" s="471"/>
      <c r="D133" s="469"/>
      <c r="H133" s="1006"/>
      <c r="I133" s="37"/>
      <c r="J133" s="1006"/>
      <c r="K133" s="37"/>
      <c r="L133" s="1006"/>
      <c r="M133" s="37"/>
      <c r="N133" s="1006"/>
      <c r="O133" s="37"/>
      <c r="P133" s="1006"/>
      <c r="Q133" s="37"/>
      <c r="R133" s="1006"/>
      <c r="S133" s="37"/>
      <c r="T133" s="37"/>
      <c r="U133" s="37"/>
      <c r="V133" s="1006"/>
      <c r="W133" s="37"/>
      <c r="X133" s="1006"/>
      <c r="Y133" s="37"/>
      <c r="Z133" s="1006"/>
      <c r="AA133" s="37"/>
      <c r="AB133" s="1006"/>
      <c r="AC133" s="37"/>
      <c r="AD133" s="1006"/>
      <c r="AE133" s="37"/>
      <c r="AF133" s="1006"/>
      <c r="AG133" s="37"/>
      <c r="AH133" s="37"/>
      <c r="AI133" s="37"/>
      <c r="AJ133" s="1006"/>
      <c r="AK133" s="37"/>
      <c r="AL133" s="1006"/>
      <c r="AM133" s="37"/>
      <c r="AN133" s="1006"/>
      <c r="AO133" s="37"/>
      <c r="AP133" s="1006"/>
      <c r="AQ133" s="37"/>
      <c r="AR133" s="37"/>
      <c r="AS133" s="37"/>
      <c r="AT133" s="37"/>
      <c r="AU133" s="37"/>
      <c r="AV133" s="37"/>
      <c r="AW133" s="37"/>
      <c r="AX133" s="1006"/>
      <c r="AY133" s="37"/>
      <c r="AZ133" s="1006"/>
      <c r="BA133" s="37"/>
      <c r="BB133" s="1006"/>
      <c r="BC133" s="37"/>
      <c r="BD133" s="1006"/>
      <c r="BE133" s="37"/>
      <c r="BF133" s="1006"/>
      <c r="BG133" s="37"/>
      <c r="BH133" s="37"/>
      <c r="BI133" s="37"/>
      <c r="BJ133" s="37"/>
      <c r="BK133" s="37"/>
      <c r="BL133" s="1006"/>
      <c r="BM133" s="37"/>
      <c r="BN133" s="1006"/>
      <c r="BO133" s="37"/>
      <c r="BP133" s="1006"/>
      <c r="BQ133" s="37"/>
      <c r="BR133" s="1006"/>
      <c r="BS133" s="37"/>
      <c r="BT133" s="1006"/>
      <c r="BU133" s="1006"/>
      <c r="BV133" s="1006"/>
      <c r="BW133" s="1006"/>
      <c r="BX133" s="37"/>
      <c r="BY133" s="37"/>
      <c r="BZ133" s="1006"/>
      <c r="CA133" s="37"/>
      <c r="CB133" s="1006"/>
      <c r="CC133" s="37"/>
      <c r="CD133" s="1006"/>
      <c r="CE133" s="37"/>
      <c r="CF133" s="1006"/>
      <c r="CG133" s="37"/>
      <c r="CH133" s="1006"/>
      <c r="CI133" s="1006"/>
      <c r="CJ133" s="1006"/>
      <c r="CK133" s="1006"/>
      <c r="CL133" s="37"/>
      <c r="CM133" s="37"/>
      <c r="CO133" s="1016"/>
      <c r="CQ133" s="1012"/>
      <c r="CS133" s="1012"/>
      <c r="CU133" s="1012"/>
      <c r="CW133" s="1012"/>
      <c r="CY133" s="1012"/>
      <c r="DA133" s="1012"/>
      <c r="DC133" s="1012"/>
      <c r="DE133" s="1012"/>
      <c r="DG133" s="1012"/>
      <c r="DI133" s="1012"/>
      <c r="DK133" s="1012"/>
      <c r="DM133" s="1012"/>
      <c r="DO133" s="1012"/>
      <c r="DQ133" s="1012"/>
      <c r="DS133" s="1012"/>
      <c r="DU133" s="1012"/>
      <c r="DW133" s="1012"/>
      <c r="DY133" s="1012"/>
      <c r="EA133" s="1012"/>
      <c r="EC133" s="1012"/>
      <c r="EE133" s="1012"/>
      <c r="EG133" s="1012"/>
      <c r="EI133" s="1012"/>
      <c r="EK133" s="1012"/>
      <c r="EM133" s="1012"/>
      <c r="EO133" s="1012"/>
      <c r="EQ133" s="1012"/>
      <c r="ES133" s="1012"/>
      <c r="EU133" s="1012"/>
      <c r="EW133" s="1012"/>
      <c r="EY133" s="1012"/>
      <c r="FA133" s="1012"/>
      <c r="FC133" s="1012"/>
      <c r="FE133" s="1012"/>
      <c r="FG133" s="1012"/>
      <c r="FH133" s="1015"/>
      <c r="FI133" s="37"/>
      <c r="FK133" s="1013"/>
      <c r="FL133" s="1012"/>
      <c r="FM133" s="1012"/>
      <c r="FN133" s="1012"/>
      <c r="FP133" s="1014"/>
      <c r="FQ133" s="1014"/>
      <c r="FR133" s="1014"/>
      <c r="FS133" s="1014"/>
      <c r="FT133" s="1014"/>
      <c r="FU133" s="1014"/>
      <c r="FV133" s="1014"/>
      <c r="FW133" s="1014"/>
      <c r="FX133" s="1014"/>
      <c r="FY133" s="1014"/>
      <c r="FZ133" s="1014"/>
      <c r="GA133" s="1014"/>
      <c r="GB133" s="1014"/>
      <c r="GC133" s="1014"/>
      <c r="GD133" s="1014"/>
      <c r="GE133" s="1014"/>
      <c r="GF133" s="1014"/>
      <c r="GG133" s="1014"/>
      <c r="GH133" s="1014"/>
      <c r="GI133" s="1014"/>
      <c r="GJ133" s="1014"/>
      <c r="GK133" s="1014"/>
      <c r="GL133" s="1014"/>
      <c r="GM133" s="1014"/>
      <c r="GN133" s="1014"/>
      <c r="GO133" s="1014"/>
      <c r="GP133" s="1014"/>
      <c r="GQ133" s="1014"/>
      <c r="GR133" s="1014"/>
      <c r="GS133" s="1014"/>
      <c r="GT133" s="1014"/>
      <c r="GU133" s="1014"/>
      <c r="GV133" s="1014"/>
      <c r="GW133" s="1014"/>
      <c r="GX133" s="1014"/>
      <c r="GY133" s="1014"/>
      <c r="GZ133" s="1014"/>
      <c r="HA133" s="1014"/>
      <c r="HB133" s="1014"/>
      <c r="HC133" s="1014"/>
      <c r="HD133" s="1014"/>
      <c r="HE133" s="1014"/>
      <c r="HF133" s="1014"/>
      <c r="HG133" s="1014"/>
      <c r="HH133" s="1014"/>
      <c r="HI133" s="1014"/>
      <c r="HJ133" s="1014"/>
      <c r="HK133" s="1014"/>
      <c r="HL133" s="1014"/>
      <c r="HM133" s="1014"/>
      <c r="HN133" s="1014"/>
      <c r="HO133" s="1014"/>
      <c r="HP133" s="1014"/>
      <c r="HQ133" s="1014"/>
      <c r="HR133" s="1014"/>
      <c r="HS133" s="1014"/>
      <c r="HT133" s="1014"/>
      <c r="HU133" s="1014"/>
      <c r="HV133" s="1014"/>
    </row>
    <row r="134" spans="1:230" s="470" customFormat="1" outlineLevel="1" x14ac:dyDescent="0.25">
      <c r="A134" s="1031">
        <v>41824</v>
      </c>
      <c r="B134" s="1031"/>
      <c r="C134" s="471"/>
      <c r="D134" s="469"/>
      <c r="H134" s="1006"/>
      <c r="I134" s="37"/>
      <c r="J134" s="1006"/>
      <c r="K134" s="37"/>
      <c r="L134" s="1006"/>
      <c r="M134" s="37"/>
      <c r="N134" s="1006"/>
      <c r="O134" s="37"/>
      <c r="P134" s="1006"/>
      <c r="Q134" s="37"/>
      <c r="R134" s="1006"/>
      <c r="S134" s="37"/>
      <c r="T134" s="37"/>
      <c r="U134" s="37"/>
      <c r="V134" s="1006"/>
      <c r="W134" s="37"/>
      <c r="X134" s="1006"/>
      <c r="Y134" s="37"/>
      <c r="Z134" s="1006"/>
      <c r="AA134" s="37"/>
      <c r="AB134" s="1006"/>
      <c r="AC134" s="37"/>
      <c r="AD134" s="1006"/>
      <c r="AE134" s="37"/>
      <c r="AF134" s="1006"/>
      <c r="AG134" s="37"/>
      <c r="AH134" s="37"/>
      <c r="AI134" s="37"/>
      <c r="AJ134" s="1006"/>
      <c r="AK134" s="37"/>
      <c r="AL134" s="1006"/>
      <c r="AM134" s="37"/>
      <c r="AN134" s="1006"/>
      <c r="AO134" s="37"/>
      <c r="AP134" s="1006"/>
      <c r="AQ134" s="37"/>
      <c r="AR134" s="37"/>
      <c r="AS134" s="37"/>
      <c r="AT134" s="37"/>
      <c r="AU134" s="37"/>
      <c r="AV134" s="37"/>
      <c r="AW134" s="37"/>
      <c r="AX134" s="1006"/>
      <c r="AY134" s="37"/>
      <c r="AZ134" s="1006"/>
      <c r="BA134" s="37"/>
      <c r="BB134" s="1006"/>
      <c r="BC134" s="37"/>
      <c r="BD134" s="1006"/>
      <c r="BE134" s="37"/>
      <c r="BF134" s="1006"/>
      <c r="BG134" s="37"/>
      <c r="BH134" s="37"/>
      <c r="BI134" s="37"/>
      <c r="BJ134" s="37"/>
      <c r="BK134" s="37"/>
      <c r="BL134" s="1006"/>
      <c r="BM134" s="37"/>
      <c r="BN134" s="1006"/>
      <c r="BO134" s="37"/>
      <c r="BP134" s="1006"/>
      <c r="BQ134" s="37"/>
      <c r="BR134" s="1006"/>
      <c r="BS134" s="37"/>
      <c r="BT134" s="1006"/>
      <c r="BU134" s="1006"/>
      <c r="BV134" s="1006"/>
      <c r="BW134" s="1006"/>
      <c r="BX134" s="37"/>
      <c r="BY134" s="37"/>
      <c r="BZ134" s="1006"/>
      <c r="CA134" s="37"/>
      <c r="CB134" s="1006"/>
      <c r="CC134" s="37"/>
      <c r="CD134" s="1006"/>
      <c r="CE134" s="37"/>
      <c r="CF134" s="1006"/>
      <c r="CG134" s="37"/>
      <c r="CH134" s="1006"/>
      <c r="CI134" s="1006"/>
      <c r="CJ134" s="1006"/>
      <c r="CK134" s="1006"/>
      <c r="CL134" s="37"/>
      <c r="CM134" s="37"/>
      <c r="CO134" s="1016"/>
      <c r="CQ134" s="1012"/>
      <c r="CS134" s="1012"/>
      <c r="CU134" s="1012"/>
      <c r="CW134" s="1012"/>
      <c r="CY134" s="1012"/>
      <c r="DA134" s="1012"/>
      <c r="DC134" s="1012"/>
      <c r="DE134" s="1012"/>
      <c r="DG134" s="1012"/>
      <c r="DI134" s="1012"/>
      <c r="DK134" s="1012"/>
      <c r="DM134" s="1012"/>
      <c r="DO134" s="1012"/>
      <c r="DQ134" s="1012"/>
      <c r="DS134" s="1012"/>
      <c r="DU134" s="1012"/>
      <c r="DW134" s="1012"/>
      <c r="DY134" s="1012"/>
      <c r="EA134" s="1012"/>
      <c r="EC134" s="1012"/>
      <c r="EE134" s="1012"/>
      <c r="EG134" s="1012"/>
      <c r="EI134" s="1012"/>
      <c r="EK134" s="1012"/>
      <c r="EM134" s="1012"/>
      <c r="EO134" s="1012"/>
      <c r="EQ134" s="1012"/>
      <c r="ES134" s="1012"/>
      <c r="EU134" s="1012"/>
      <c r="EW134" s="1012"/>
      <c r="EY134" s="1012"/>
      <c r="FA134" s="1012"/>
      <c r="FC134" s="1012"/>
      <c r="FE134" s="1012"/>
      <c r="FG134" s="1012"/>
      <c r="FH134" s="1015"/>
      <c r="FI134" s="37"/>
      <c r="FK134" s="1013"/>
      <c r="FL134" s="1012"/>
      <c r="FM134" s="1012"/>
      <c r="FN134" s="1012"/>
      <c r="FP134" s="1014"/>
      <c r="FQ134" s="1014"/>
      <c r="FR134" s="1014"/>
      <c r="FS134" s="1014"/>
      <c r="FT134" s="1014"/>
      <c r="FU134" s="1014"/>
      <c r="FV134" s="1014"/>
      <c r="FW134" s="1014"/>
      <c r="FX134" s="1014"/>
      <c r="FY134" s="1014"/>
      <c r="FZ134" s="1014"/>
      <c r="GA134" s="1014"/>
      <c r="GB134" s="1014"/>
      <c r="GC134" s="1014"/>
      <c r="GD134" s="1014"/>
      <c r="GE134" s="1014"/>
      <c r="GF134" s="1014"/>
      <c r="GG134" s="1014"/>
      <c r="GH134" s="1014"/>
      <c r="GI134" s="1014"/>
      <c r="GJ134" s="1014"/>
      <c r="GK134" s="1014"/>
      <c r="GL134" s="1014"/>
      <c r="GM134" s="1014"/>
      <c r="GN134" s="1014"/>
      <c r="GO134" s="1014"/>
      <c r="GP134" s="1014"/>
      <c r="GQ134" s="1014"/>
      <c r="GR134" s="1014"/>
      <c r="GS134" s="1014"/>
      <c r="GT134" s="1014"/>
      <c r="GU134" s="1014"/>
      <c r="GV134" s="1014"/>
      <c r="GW134" s="1014"/>
      <c r="GX134" s="1014"/>
      <c r="GY134" s="1014"/>
      <c r="GZ134" s="1014"/>
      <c r="HA134" s="1014"/>
      <c r="HB134" s="1014"/>
      <c r="HC134" s="1014"/>
      <c r="HD134" s="1014"/>
      <c r="HE134" s="1014"/>
      <c r="HF134" s="1014"/>
      <c r="HG134" s="1014"/>
      <c r="HH134" s="1014"/>
      <c r="HI134" s="1014"/>
      <c r="HJ134" s="1014"/>
      <c r="HK134" s="1014"/>
      <c r="HL134" s="1014"/>
      <c r="HM134" s="1014"/>
      <c r="HN134" s="1014"/>
      <c r="HO134" s="1014"/>
      <c r="HP134" s="1014"/>
      <c r="HQ134" s="1014"/>
      <c r="HR134" s="1014"/>
      <c r="HS134" s="1014"/>
      <c r="HT134" s="1014"/>
      <c r="HU134" s="1014"/>
      <c r="HV134" s="1014"/>
    </row>
    <row r="135" spans="1:230" s="470" customFormat="1" outlineLevel="1" x14ac:dyDescent="0.25">
      <c r="A135" s="1031">
        <v>41883</v>
      </c>
      <c r="B135" s="1031"/>
      <c r="C135" s="471"/>
      <c r="D135" s="469"/>
      <c r="H135" s="1006"/>
      <c r="I135" s="37"/>
      <c r="J135" s="1006"/>
      <c r="K135" s="37"/>
      <c r="L135" s="1006"/>
      <c r="M135" s="37"/>
      <c r="N135" s="1006"/>
      <c r="O135" s="37"/>
      <c r="P135" s="1006"/>
      <c r="Q135" s="37"/>
      <c r="R135" s="1006"/>
      <c r="S135" s="37"/>
      <c r="T135" s="37"/>
      <c r="U135" s="37"/>
      <c r="V135" s="1006"/>
      <c r="W135" s="37"/>
      <c r="X135" s="1006"/>
      <c r="Y135" s="37"/>
      <c r="Z135" s="1006"/>
      <c r="AA135" s="37"/>
      <c r="AB135" s="1006"/>
      <c r="AC135" s="37"/>
      <c r="AD135" s="1006"/>
      <c r="AE135" s="37"/>
      <c r="AF135" s="1006"/>
      <c r="AG135" s="37"/>
      <c r="AH135" s="37"/>
      <c r="AI135" s="37"/>
      <c r="AJ135" s="1006"/>
      <c r="AK135" s="37"/>
      <c r="AL135" s="1006"/>
      <c r="AM135" s="37"/>
      <c r="AN135" s="1006"/>
      <c r="AO135" s="37"/>
      <c r="AP135" s="1006"/>
      <c r="AQ135" s="37"/>
      <c r="AR135" s="37"/>
      <c r="AS135" s="37"/>
      <c r="AT135" s="37"/>
      <c r="AU135" s="37"/>
      <c r="AV135" s="37"/>
      <c r="AW135" s="37"/>
      <c r="AX135" s="1006"/>
      <c r="AY135" s="37"/>
      <c r="AZ135" s="1006"/>
      <c r="BA135" s="37"/>
      <c r="BB135" s="1006"/>
      <c r="BC135" s="37"/>
      <c r="BD135" s="1006"/>
      <c r="BE135" s="37"/>
      <c r="BF135" s="1006"/>
      <c r="BG135" s="37"/>
      <c r="BH135" s="37"/>
      <c r="BI135" s="37"/>
      <c r="BJ135" s="37"/>
      <c r="BK135" s="37"/>
      <c r="BL135" s="1006"/>
      <c r="BM135" s="37"/>
      <c r="BN135" s="1006"/>
      <c r="BO135" s="37"/>
      <c r="BP135" s="1006"/>
      <c r="BQ135" s="37"/>
      <c r="BR135" s="1006"/>
      <c r="BS135" s="37"/>
      <c r="BT135" s="1006"/>
      <c r="BU135" s="1006"/>
      <c r="BV135" s="1006"/>
      <c r="BW135" s="1006"/>
      <c r="BX135" s="37"/>
      <c r="BY135" s="37"/>
      <c r="BZ135" s="1006"/>
      <c r="CA135" s="37"/>
      <c r="CB135" s="1006"/>
      <c r="CC135" s="37"/>
      <c r="CD135" s="1006"/>
      <c r="CE135" s="37"/>
      <c r="CF135" s="1006"/>
      <c r="CG135" s="37"/>
      <c r="CH135" s="1006"/>
      <c r="CI135" s="1006"/>
      <c r="CJ135" s="1006"/>
      <c r="CK135" s="1006"/>
      <c r="CL135" s="37"/>
      <c r="CM135" s="37"/>
      <c r="CO135" s="1016"/>
      <c r="CQ135" s="1012"/>
      <c r="CS135" s="1012"/>
      <c r="CU135" s="1012"/>
      <c r="CW135" s="1012"/>
      <c r="CY135" s="1012"/>
      <c r="DA135" s="1012"/>
      <c r="DC135" s="1012"/>
      <c r="DE135" s="1012"/>
      <c r="DG135" s="1012"/>
      <c r="DI135" s="1012"/>
      <c r="DK135" s="1012"/>
      <c r="DM135" s="1012"/>
      <c r="DO135" s="1012"/>
      <c r="DQ135" s="1012"/>
      <c r="DS135" s="1012"/>
      <c r="DU135" s="1012"/>
      <c r="DW135" s="1012"/>
      <c r="DY135" s="1012"/>
      <c r="EA135" s="1012"/>
      <c r="EC135" s="1012"/>
      <c r="EE135" s="1012"/>
      <c r="EG135" s="1012"/>
      <c r="EI135" s="1012"/>
      <c r="EK135" s="1012"/>
      <c r="EM135" s="1012"/>
      <c r="EO135" s="1012"/>
      <c r="EQ135" s="1012"/>
      <c r="ES135" s="1012"/>
      <c r="EU135" s="1012"/>
      <c r="EW135" s="1012"/>
      <c r="EY135" s="1012"/>
      <c r="FA135" s="1012"/>
      <c r="FC135" s="1012"/>
      <c r="FE135" s="1012"/>
      <c r="FG135" s="1012"/>
      <c r="FH135" s="1015"/>
      <c r="FI135" s="37"/>
      <c r="FK135" s="1013"/>
      <c r="FL135" s="1012"/>
      <c r="FM135" s="1012"/>
      <c r="FN135" s="1012"/>
      <c r="FP135" s="1014"/>
      <c r="FQ135" s="1014"/>
      <c r="FR135" s="1014"/>
      <c r="FS135" s="1014"/>
      <c r="FT135" s="1014"/>
      <c r="FU135" s="1014"/>
      <c r="FV135" s="1014"/>
      <c r="FW135" s="1014"/>
      <c r="FX135" s="1014"/>
      <c r="FY135" s="1014"/>
      <c r="FZ135" s="1014"/>
      <c r="GA135" s="1014"/>
      <c r="GB135" s="1014"/>
      <c r="GC135" s="1014"/>
      <c r="GD135" s="1014"/>
      <c r="GE135" s="1014"/>
      <c r="GF135" s="1014"/>
      <c r="GG135" s="1014"/>
      <c r="GH135" s="1014"/>
      <c r="GI135" s="1014"/>
      <c r="GJ135" s="1014"/>
      <c r="GK135" s="1014"/>
      <c r="GL135" s="1014"/>
      <c r="GM135" s="1014"/>
      <c r="GN135" s="1014"/>
      <c r="GO135" s="1014"/>
      <c r="GP135" s="1014"/>
      <c r="GQ135" s="1014"/>
      <c r="GR135" s="1014"/>
      <c r="GS135" s="1014"/>
      <c r="GT135" s="1014"/>
      <c r="GU135" s="1014"/>
      <c r="GV135" s="1014"/>
      <c r="GW135" s="1014"/>
      <c r="GX135" s="1014"/>
      <c r="GY135" s="1014"/>
      <c r="GZ135" s="1014"/>
      <c r="HA135" s="1014"/>
      <c r="HB135" s="1014"/>
      <c r="HC135" s="1014"/>
      <c r="HD135" s="1014"/>
      <c r="HE135" s="1014"/>
      <c r="HF135" s="1014"/>
      <c r="HG135" s="1014"/>
      <c r="HH135" s="1014"/>
      <c r="HI135" s="1014"/>
      <c r="HJ135" s="1014"/>
      <c r="HK135" s="1014"/>
      <c r="HL135" s="1014"/>
      <c r="HM135" s="1014"/>
      <c r="HN135" s="1014"/>
      <c r="HO135" s="1014"/>
      <c r="HP135" s="1014"/>
      <c r="HQ135" s="1014"/>
      <c r="HR135" s="1014"/>
      <c r="HS135" s="1014"/>
      <c r="HT135" s="1014"/>
      <c r="HU135" s="1014"/>
      <c r="HV135" s="1014"/>
    </row>
    <row r="136" spans="1:230" s="470" customFormat="1" outlineLevel="1" x14ac:dyDescent="0.25">
      <c r="A136" s="1031">
        <v>41954</v>
      </c>
      <c r="B136" s="1031"/>
      <c r="C136" s="471"/>
      <c r="D136" s="469"/>
      <c r="H136" s="1006"/>
      <c r="I136" s="37"/>
      <c r="J136" s="1006"/>
      <c r="K136" s="37"/>
      <c r="L136" s="1006"/>
      <c r="M136" s="37"/>
      <c r="N136" s="1006"/>
      <c r="O136" s="37"/>
      <c r="P136" s="1006"/>
      <c r="Q136" s="37"/>
      <c r="R136" s="1006"/>
      <c r="S136" s="37"/>
      <c r="T136" s="37"/>
      <c r="U136" s="37"/>
      <c r="V136" s="1006"/>
      <c r="W136" s="37"/>
      <c r="X136" s="1006"/>
      <c r="Y136" s="37"/>
      <c r="Z136" s="1006"/>
      <c r="AA136" s="37"/>
      <c r="AB136" s="1006"/>
      <c r="AC136" s="37"/>
      <c r="AD136" s="1006"/>
      <c r="AE136" s="37"/>
      <c r="AF136" s="1006"/>
      <c r="AG136" s="37"/>
      <c r="AH136" s="37"/>
      <c r="AI136" s="37"/>
      <c r="AJ136" s="1006"/>
      <c r="AK136" s="37"/>
      <c r="AL136" s="1006"/>
      <c r="AM136" s="37"/>
      <c r="AN136" s="1006"/>
      <c r="AO136" s="37"/>
      <c r="AP136" s="1006"/>
      <c r="AQ136" s="37"/>
      <c r="AR136" s="37"/>
      <c r="AS136" s="37"/>
      <c r="AT136" s="37"/>
      <c r="AU136" s="37"/>
      <c r="AV136" s="37"/>
      <c r="AW136" s="37"/>
      <c r="AX136" s="1006"/>
      <c r="AY136" s="37"/>
      <c r="AZ136" s="1006"/>
      <c r="BA136" s="37"/>
      <c r="BB136" s="1006"/>
      <c r="BC136" s="37"/>
      <c r="BD136" s="1006"/>
      <c r="BE136" s="37"/>
      <c r="BF136" s="1006"/>
      <c r="BG136" s="37"/>
      <c r="BH136" s="37"/>
      <c r="BI136" s="37"/>
      <c r="BJ136" s="37"/>
      <c r="BK136" s="37"/>
      <c r="BL136" s="1006"/>
      <c r="BM136" s="37"/>
      <c r="BN136" s="1006"/>
      <c r="BO136" s="37"/>
      <c r="BP136" s="1006"/>
      <c r="BQ136" s="37"/>
      <c r="BR136" s="1006"/>
      <c r="BS136" s="37"/>
      <c r="BT136" s="1006"/>
      <c r="BU136" s="1006"/>
      <c r="BV136" s="1006"/>
      <c r="BW136" s="1006"/>
      <c r="BX136" s="37"/>
      <c r="BY136" s="37"/>
      <c r="BZ136" s="1006"/>
      <c r="CA136" s="37"/>
      <c r="CB136" s="1006"/>
      <c r="CC136" s="37"/>
      <c r="CD136" s="1006"/>
      <c r="CE136" s="37"/>
      <c r="CF136" s="1006"/>
      <c r="CG136" s="37"/>
      <c r="CH136" s="1006"/>
      <c r="CI136" s="1006"/>
      <c r="CJ136" s="1006"/>
      <c r="CK136" s="1006"/>
      <c r="CL136" s="37"/>
      <c r="CM136" s="37"/>
      <c r="CO136" s="1016"/>
      <c r="CQ136" s="1012"/>
      <c r="CS136" s="1012"/>
      <c r="CU136" s="1012"/>
      <c r="CW136" s="1012"/>
      <c r="CY136" s="1012"/>
      <c r="DA136" s="1012"/>
      <c r="DC136" s="1012"/>
      <c r="DE136" s="1012"/>
      <c r="DG136" s="1012"/>
      <c r="DI136" s="1012"/>
      <c r="DK136" s="1012"/>
      <c r="DM136" s="1012"/>
      <c r="DO136" s="1012"/>
      <c r="DQ136" s="1012"/>
      <c r="DS136" s="1012"/>
      <c r="DU136" s="1012"/>
      <c r="DW136" s="1012"/>
      <c r="DY136" s="1012"/>
      <c r="EA136" s="1012"/>
      <c r="EC136" s="1012"/>
      <c r="EE136" s="1012"/>
      <c r="EG136" s="1012"/>
      <c r="EI136" s="1012"/>
      <c r="EK136" s="1012"/>
      <c r="EM136" s="1012"/>
      <c r="EO136" s="1012"/>
      <c r="EQ136" s="1012"/>
      <c r="ES136" s="1012"/>
      <c r="EU136" s="1012"/>
      <c r="EW136" s="1012"/>
      <c r="EY136" s="1012"/>
      <c r="FA136" s="1012"/>
      <c r="FC136" s="1012"/>
      <c r="FE136" s="1012"/>
      <c r="FG136" s="1012"/>
      <c r="FH136" s="1015"/>
      <c r="FI136" s="37"/>
      <c r="FK136" s="1013"/>
      <c r="FL136" s="1012"/>
      <c r="FM136" s="1012"/>
      <c r="FN136" s="1012"/>
      <c r="FP136" s="1014"/>
      <c r="FQ136" s="1014"/>
      <c r="FR136" s="1014"/>
      <c r="FS136" s="1014"/>
      <c r="FT136" s="1014"/>
      <c r="FU136" s="1014"/>
      <c r="FV136" s="1014"/>
      <c r="FW136" s="1014"/>
      <c r="FX136" s="1014"/>
      <c r="FY136" s="1014"/>
      <c r="FZ136" s="1014"/>
      <c r="GA136" s="1014"/>
      <c r="GB136" s="1014"/>
      <c r="GC136" s="1014"/>
      <c r="GD136" s="1014"/>
      <c r="GE136" s="1014"/>
      <c r="GF136" s="1014"/>
      <c r="GG136" s="1014"/>
      <c r="GH136" s="1014"/>
      <c r="GI136" s="1014"/>
      <c r="GJ136" s="1014"/>
      <c r="GK136" s="1014"/>
      <c r="GL136" s="1014"/>
      <c r="GM136" s="1014"/>
      <c r="GN136" s="1014"/>
      <c r="GO136" s="1014"/>
      <c r="GP136" s="1014"/>
      <c r="GQ136" s="1014"/>
      <c r="GR136" s="1014"/>
      <c r="GS136" s="1014"/>
      <c r="GT136" s="1014"/>
      <c r="GU136" s="1014"/>
      <c r="GV136" s="1014"/>
      <c r="GW136" s="1014"/>
      <c r="GX136" s="1014"/>
      <c r="GY136" s="1014"/>
      <c r="GZ136" s="1014"/>
      <c r="HA136" s="1014"/>
      <c r="HB136" s="1014"/>
      <c r="HC136" s="1014"/>
      <c r="HD136" s="1014"/>
      <c r="HE136" s="1014"/>
      <c r="HF136" s="1014"/>
      <c r="HG136" s="1014"/>
      <c r="HH136" s="1014"/>
      <c r="HI136" s="1014"/>
      <c r="HJ136" s="1014"/>
      <c r="HK136" s="1014"/>
      <c r="HL136" s="1014"/>
      <c r="HM136" s="1014"/>
      <c r="HN136" s="1014"/>
      <c r="HO136" s="1014"/>
      <c r="HP136" s="1014"/>
      <c r="HQ136" s="1014"/>
      <c r="HR136" s="1014"/>
      <c r="HS136" s="1014"/>
      <c r="HT136" s="1014"/>
      <c r="HU136" s="1014"/>
      <c r="HV136" s="1014"/>
    </row>
    <row r="137" spans="1:230" s="470" customFormat="1" outlineLevel="1" x14ac:dyDescent="0.25">
      <c r="A137" s="1031">
        <v>41970</v>
      </c>
      <c r="B137" s="1031"/>
      <c r="C137" s="471"/>
      <c r="D137" s="469"/>
      <c r="H137" s="1006"/>
      <c r="I137" s="37"/>
      <c r="J137" s="1006"/>
      <c r="K137" s="37"/>
      <c r="L137" s="1006"/>
      <c r="M137" s="37"/>
      <c r="N137" s="1006"/>
      <c r="O137" s="37"/>
      <c r="P137" s="1006"/>
      <c r="Q137" s="37"/>
      <c r="R137" s="1006"/>
      <c r="S137" s="37"/>
      <c r="T137" s="37"/>
      <c r="U137" s="37"/>
      <c r="V137" s="1006"/>
      <c r="W137" s="37"/>
      <c r="X137" s="1006"/>
      <c r="Y137" s="37"/>
      <c r="Z137" s="1006"/>
      <c r="AA137" s="37"/>
      <c r="AB137" s="1006"/>
      <c r="AC137" s="37"/>
      <c r="AD137" s="1006"/>
      <c r="AE137" s="37"/>
      <c r="AF137" s="1006"/>
      <c r="AG137" s="37"/>
      <c r="AH137" s="37"/>
      <c r="AI137" s="37"/>
      <c r="AJ137" s="1006"/>
      <c r="AK137" s="37"/>
      <c r="AL137" s="1006"/>
      <c r="AM137" s="37"/>
      <c r="AN137" s="1006"/>
      <c r="AO137" s="37"/>
      <c r="AP137" s="1006"/>
      <c r="AQ137" s="37"/>
      <c r="AR137" s="37"/>
      <c r="AS137" s="37"/>
      <c r="AT137" s="37"/>
      <c r="AU137" s="37"/>
      <c r="AV137" s="37"/>
      <c r="AW137" s="37"/>
      <c r="AX137" s="1006"/>
      <c r="AY137" s="37"/>
      <c r="AZ137" s="1006"/>
      <c r="BA137" s="37"/>
      <c r="BB137" s="1006"/>
      <c r="BC137" s="37"/>
      <c r="BD137" s="1006"/>
      <c r="BE137" s="37"/>
      <c r="BF137" s="1006"/>
      <c r="BG137" s="37"/>
      <c r="BH137" s="37"/>
      <c r="BI137" s="37"/>
      <c r="BJ137" s="37"/>
      <c r="BK137" s="37"/>
      <c r="BL137" s="1006"/>
      <c r="BM137" s="37"/>
      <c r="BN137" s="1006"/>
      <c r="BO137" s="37"/>
      <c r="BP137" s="1006"/>
      <c r="BQ137" s="37"/>
      <c r="BR137" s="1006"/>
      <c r="BS137" s="37"/>
      <c r="BT137" s="1006"/>
      <c r="BU137" s="1006"/>
      <c r="BV137" s="1006"/>
      <c r="BW137" s="1006"/>
      <c r="BX137" s="37"/>
      <c r="BY137" s="37"/>
      <c r="BZ137" s="1006"/>
      <c r="CA137" s="37"/>
      <c r="CB137" s="1006"/>
      <c r="CC137" s="37"/>
      <c r="CD137" s="1006"/>
      <c r="CE137" s="37"/>
      <c r="CF137" s="1006"/>
      <c r="CG137" s="37"/>
      <c r="CH137" s="1006"/>
      <c r="CI137" s="1006"/>
      <c r="CJ137" s="1006"/>
      <c r="CK137" s="1006"/>
      <c r="CL137" s="37"/>
      <c r="CM137" s="37"/>
      <c r="CO137" s="1016"/>
      <c r="CQ137" s="1012"/>
      <c r="CS137" s="1012"/>
      <c r="CU137" s="1012"/>
      <c r="CW137" s="1012"/>
      <c r="CY137" s="1012"/>
      <c r="DA137" s="1012"/>
      <c r="DC137" s="1012"/>
      <c r="DE137" s="1012"/>
      <c r="DG137" s="1012"/>
      <c r="DI137" s="1012"/>
      <c r="DK137" s="1012"/>
      <c r="DM137" s="1012"/>
      <c r="DO137" s="1012"/>
      <c r="DQ137" s="1012"/>
      <c r="DS137" s="1012"/>
      <c r="DU137" s="1012"/>
      <c r="DW137" s="1012"/>
      <c r="DY137" s="1012"/>
      <c r="EA137" s="1012"/>
      <c r="EC137" s="1012"/>
      <c r="EE137" s="1012"/>
      <c r="EG137" s="1012"/>
      <c r="EI137" s="1012"/>
      <c r="EK137" s="1012"/>
      <c r="EM137" s="1012"/>
      <c r="EO137" s="1012"/>
      <c r="EQ137" s="1012"/>
      <c r="ES137" s="1012"/>
      <c r="EU137" s="1012"/>
      <c r="EW137" s="1012"/>
      <c r="EY137" s="1012"/>
      <c r="FA137" s="1012"/>
      <c r="FC137" s="1012"/>
      <c r="FE137" s="1012"/>
      <c r="FG137" s="1012"/>
      <c r="FH137" s="1015"/>
      <c r="FI137" s="37"/>
      <c r="FK137" s="1013"/>
      <c r="FL137" s="1012"/>
      <c r="FM137" s="1012"/>
      <c r="FN137" s="1012"/>
      <c r="FP137" s="1014"/>
      <c r="FQ137" s="1014"/>
      <c r="FR137" s="1014"/>
      <c r="FS137" s="1014"/>
      <c r="FT137" s="1014"/>
      <c r="FU137" s="1014"/>
      <c r="FV137" s="1014"/>
      <c r="FW137" s="1014"/>
      <c r="FX137" s="1014"/>
      <c r="FY137" s="1014"/>
      <c r="FZ137" s="1014"/>
      <c r="GA137" s="1014"/>
      <c r="GB137" s="1014"/>
      <c r="GC137" s="1014"/>
      <c r="GD137" s="1014"/>
      <c r="GE137" s="1014"/>
      <c r="GF137" s="1014"/>
      <c r="GG137" s="1014"/>
      <c r="GH137" s="1014"/>
      <c r="GI137" s="1014"/>
      <c r="GJ137" s="1014"/>
      <c r="GK137" s="1014"/>
      <c r="GL137" s="1014"/>
      <c r="GM137" s="1014"/>
      <c r="GN137" s="1014"/>
      <c r="GO137" s="1014"/>
      <c r="GP137" s="1014"/>
      <c r="GQ137" s="1014"/>
      <c r="GR137" s="1014"/>
      <c r="GS137" s="1014"/>
      <c r="GT137" s="1014"/>
      <c r="GU137" s="1014"/>
      <c r="GV137" s="1014"/>
      <c r="GW137" s="1014"/>
      <c r="GX137" s="1014"/>
      <c r="GY137" s="1014"/>
      <c r="GZ137" s="1014"/>
      <c r="HA137" s="1014"/>
      <c r="HB137" s="1014"/>
      <c r="HC137" s="1014"/>
      <c r="HD137" s="1014"/>
      <c r="HE137" s="1014"/>
      <c r="HF137" s="1014"/>
      <c r="HG137" s="1014"/>
      <c r="HH137" s="1014"/>
      <c r="HI137" s="1014"/>
      <c r="HJ137" s="1014"/>
      <c r="HK137" s="1014"/>
      <c r="HL137" s="1014"/>
      <c r="HM137" s="1014"/>
      <c r="HN137" s="1014"/>
      <c r="HO137" s="1014"/>
      <c r="HP137" s="1014"/>
      <c r="HQ137" s="1014"/>
      <c r="HR137" s="1014"/>
      <c r="HS137" s="1014"/>
      <c r="HT137" s="1014"/>
      <c r="HU137" s="1014"/>
      <c r="HV137" s="1014"/>
    </row>
    <row r="138" spans="1:230" s="470" customFormat="1" outlineLevel="1" x14ac:dyDescent="0.25">
      <c r="A138" s="1031">
        <v>41971</v>
      </c>
      <c r="B138" s="1031"/>
      <c r="C138" s="471"/>
      <c r="D138" s="469"/>
      <c r="H138" s="1006"/>
      <c r="I138" s="37"/>
      <c r="J138" s="1006"/>
      <c r="K138" s="37"/>
      <c r="L138" s="1006"/>
      <c r="M138" s="37"/>
      <c r="N138" s="1006"/>
      <c r="O138" s="37"/>
      <c r="P138" s="1006"/>
      <c r="Q138" s="37"/>
      <c r="R138" s="1006"/>
      <c r="S138" s="37"/>
      <c r="T138" s="37"/>
      <c r="U138" s="37"/>
      <c r="V138" s="1006"/>
      <c r="W138" s="37"/>
      <c r="X138" s="1006"/>
      <c r="Y138" s="37"/>
      <c r="Z138" s="1006"/>
      <c r="AA138" s="37"/>
      <c r="AB138" s="1006"/>
      <c r="AC138" s="37"/>
      <c r="AD138" s="1006"/>
      <c r="AE138" s="37"/>
      <c r="AF138" s="1006"/>
      <c r="AG138" s="37"/>
      <c r="AH138" s="37"/>
      <c r="AI138" s="37"/>
      <c r="AJ138" s="1006"/>
      <c r="AK138" s="37"/>
      <c r="AL138" s="1006"/>
      <c r="AM138" s="37"/>
      <c r="AN138" s="1006"/>
      <c r="AO138" s="37"/>
      <c r="AP138" s="1006"/>
      <c r="AQ138" s="37"/>
      <c r="AR138" s="37"/>
      <c r="AS138" s="37"/>
      <c r="AT138" s="37"/>
      <c r="AU138" s="37"/>
      <c r="AV138" s="37"/>
      <c r="AW138" s="37"/>
      <c r="AX138" s="1006"/>
      <c r="AY138" s="37"/>
      <c r="AZ138" s="1006"/>
      <c r="BA138" s="37"/>
      <c r="BB138" s="1006"/>
      <c r="BC138" s="37"/>
      <c r="BD138" s="1006"/>
      <c r="BE138" s="37"/>
      <c r="BF138" s="1006"/>
      <c r="BG138" s="37"/>
      <c r="BH138" s="37"/>
      <c r="BI138" s="37"/>
      <c r="BJ138" s="37"/>
      <c r="BK138" s="37"/>
      <c r="BL138" s="1006"/>
      <c r="BM138" s="37"/>
      <c r="BN138" s="1006"/>
      <c r="BO138" s="37"/>
      <c r="BP138" s="1006"/>
      <c r="BQ138" s="37"/>
      <c r="BR138" s="1006"/>
      <c r="BS138" s="37"/>
      <c r="BT138" s="1006"/>
      <c r="BU138" s="1006"/>
      <c r="BV138" s="1006"/>
      <c r="BW138" s="1006"/>
      <c r="BX138" s="37"/>
      <c r="BY138" s="37"/>
      <c r="BZ138" s="1006"/>
      <c r="CA138" s="37"/>
      <c r="CB138" s="1006"/>
      <c r="CC138" s="37"/>
      <c r="CD138" s="1006"/>
      <c r="CE138" s="37"/>
      <c r="CF138" s="1006"/>
      <c r="CG138" s="37"/>
      <c r="CH138" s="1006"/>
      <c r="CI138" s="1006"/>
      <c r="CJ138" s="1006"/>
      <c r="CK138" s="1006"/>
      <c r="CL138" s="37"/>
      <c r="CM138" s="37"/>
      <c r="CO138" s="1016"/>
      <c r="CQ138" s="1012"/>
      <c r="CS138" s="1012"/>
      <c r="CU138" s="1012"/>
      <c r="CW138" s="1012"/>
      <c r="CY138" s="1012"/>
      <c r="DA138" s="1012"/>
      <c r="DC138" s="1012"/>
      <c r="DE138" s="1012"/>
      <c r="DG138" s="1012"/>
      <c r="DI138" s="1012"/>
      <c r="DK138" s="1012"/>
      <c r="DM138" s="1012"/>
      <c r="DO138" s="1012"/>
      <c r="DQ138" s="1012"/>
      <c r="DS138" s="1012"/>
      <c r="DU138" s="1012"/>
      <c r="DW138" s="1012"/>
      <c r="DY138" s="1012"/>
      <c r="EA138" s="1012"/>
      <c r="EC138" s="1012"/>
      <c r="EE138" s="1012"/>
      <c r="EG138" s="1012"/>
      <c r="EI138" s="1012"/>
      <c r="EK138" s="1012"/>
      <c r="EM138" s="1012"/>
      <c r="EO138" s="1012"/>
      <c r="EQ138" s="1012"/>
      <c r="ES138" s="1012"/>
      <c r="EU138" s="1012"/>
      <c r="EW138" s="1012"/>
      <c r="EY138" s="1012"/>
      <c r="FA138" s="1012"/>
      <c r="FC138" s="1012"/>
      <c r="FE138" s="1012"/>
      <c r="FG138" s="1012"/>
      <c r="FH138" s="1015"/>
      <c r="FI138" s="37"/>
      <c r="FK138" s="1013"/>
      <c r="FL138" s="1012"/>
      <c r="FM138" s="1012"/>
      <c r="FN138" s="1012"/>
      <c r="FP138" s="1014"/>
      <c r="FQ138" s="1014"/>
      <c r="FR138" s="1014"/>
      <c r="FS138" s="1014"/>
      <c r="FT138" s="1014"/>
      <c r="FU138" s="1014"/>
      <c r="FV138" s="1014"/>
      <c r="FW138" s="1014"/>
      <c r="FX138" s="1014"/>
      <c r="FY138" s="1014"/>
      <c r="FZ138" s="1014"/>
      <c r="GA138" s="1014"/>
      <c r="GB138" s="1014"/>
      <c r="GC138" s="1014"/>
      <c r="GD138" s="1014"/>
      <c r="GE138" s="1014"/>
      <c r="GF138" s="1014"/>
      <c r="GG138" s="1014"/>
      <c r="GH138" s="1014"/>
      <c r="GI138" s="1014"/>
      <c r="GJ138" s="1014"/>
      <c r="GK138" s="1014"/>
      <c r="GL138" s="1014"/>
      <c r="GM138" s="1014"/>
      <c r="GN138" s="1014"/>
      <c r="GO138" s="1014"/>
      <c r="GP138" s="1014"/>
      <c r="GQ138" s="1014"/>
      <c r="GR138" s="1014"/>
      <c r="GS138" s="1014"/>
      <c r="GT138" s="1014"/>
      <c r="GU138" s="1014"/>
      <c r="GV138" s="1014"/>
      <c r="GW138" s="1014"/>
      <c r="GX138" s="1014"/>
      <c r="GY138" s="1014"/>
      <c r="GZ138" s="1014"/>
      <c r="HA138" s="1014"/>
      <c r="HB138" s="1014"/>
      <c r="HC138" s="1014"/>
      <c r="HD138" s="1014"/>
      <c r="HE138" s="1014"/>
      <c r="HF138" s="1014"/>
      <c r="HG138" s="1014"/>
      <c r="HH138" s="1014"/>
      <c r="HI138" s="1014"/>
      <c r="HJ138" s="1014"/>
      <c r="HK138" s="1014"/>
      <c r="HL138" s="1014"/>
      <c r="HM138" s="1014"/>
      <c r="HN138" s="1014"/>
      <c r="HO138" s="1014"/>
      <c r="HP138" s="1014"/>
      <c r="HQ138" s="1014"/>
      <c r="HR138" s="1014"/>
      <c r="HS138" s="1014"/>
      <c r="HT138" s="1014"/>
      <c r="HU138" s="1014"/>
      <c r="HV138" s="1014"/>
    </row>
    <row r="139" spans="1:230" s="470" customFormat="1" outlineLevel="1" x14ac:dyDescent="0.25">
      <c r="A139" s="1031">
        <v>41997</v>
      </c>
      <c r="B139" s="1031"/>
      <c r="C139" s="471"/>
      <c r="D139" s="469"/>
      <c r="H139" s="1006"/>
      <c r="I139" s="37"/>
      <c r="J139" s="1006"/>
      <c r="K139" s="37"/>
      <c r="L139" s="1006"/>
      <c r="M139" s="37"/>
      <c r="N139" s="1006"/>
      <c r="O139" s="37"/>
      <c r="P139" s="1006"/>
      <c r="Q139" s="37"/>
      <c r="R139" s="1006"/>
      <c r="S139" s="37"/>
      <c r="T139" s="37"/>
      <c r="U139" s="37"/>
      <c r="V139" s="1006"/>
      <c r="W139" s="37"/>
      <c r="X139" s="1006"/>
      <c r="Y139" s="37"/>
      <c r="Z139" s="1006"/>
      <c r="AA139" s="37"/>
      <c r="AB139" s="1006"/>
      <c r="AC139" s="37"/>
      <c r="AD139" s="1006"/>
      <c r="AE139" s="37"/>
      <c r="AF139" s="1006"/>
      <c r="AG139" s="37"/>
      <c r="AH139" s="37"/>
      <c r="AI139" s="37"/>
      <c r="AJ139" s="1006"/>
      <c r="AK139" s="37"/>
      <c r="AL139" s="1006"/>
      <c r="AM139" s="37"/>
      <c r="AN139" s="1006"/>
      <c r="AO139" s="37"/>
      <c r="AP139" s="1006"/>
      <c r="AQ139" s="37"/>
      <c r="AR139" s="37"/>
      <c r="AS139" s="37"/>
      <c r="AT139" s="37"/>
      <c r="AU139" s="37"/>
      <c r="AV139" s="37"/>
      <c r="AW139" s="37"/>
      <c r="AX139" s="1006"/>
      <c r="AY139" s="37"/>
      <c r="AZ139" s="1006"/>
      <c r="BA139" s="37"/>
      <c r="BB139" s="1006"/>
      <c r="BC139" s="37"/>
      <c r="BD139" s="1006"/>
      <c r="BE139" s="37"/>
      <c r="BF139" s="1006"/>
      <c r="BG139" s="37"/>
      <c r="BH139" s="37"/>
      <c r="BI139" s="37"/>
      <c r="BJ139" s="37"/>
      <c r="BK139" s="37"/>
      <c r="BL139" s="1006"/>
      <c r="BM139" s="37"/>
      <c r="BN139" s="1006"/>
      <c r="BO139" s="37"/>
      <c r="BP139" s="1006"/>
      <c r="BQ139" s="37"/>
      <c r="BR139" s="1006"/>
      <c r="BS139" s="37"/>
      <c r="BT139" s="1006"/>
      <c r="BU139" s="1006"/>
      <c r="BV139" s="1006"/>
      <c r="BW139" s="1006"/>
      <c r="BX139" s="37"/>
      <c r="BY139" s="37"/>
      <c r="BZ139" s="1006"/>
      <c r="CA139" s="37"/>
      <c r="CB139" s="1006"/>
      <c r="CC139" s="37"/>
      <c r="CD139" s="1006"/>
      <c r="CE139" s="37"/>
      <c r="CF139" s="1006"/>
      <c r="CG139" s="37"/>
      <c r="CH139" s="1006"/>
      <c r="CI139" s="1006"/>
      <c r="CJ139" s="1006"/>
      <c r="CK139" s="1006"/>
      <c r="CL139" s="37"/>
      <c r="CM139" s="37"/>
      <c r="CO139" s="1016"/>
      <c r="CQ139" s="1012"/>
      <c r="CS139" s="1012"/>
      <c r="CU139" s="1012"/>
      <c r="CW139" s="1012"/>
      <c r="CY139" s="1012"/>
      <c r="DA139" s="1012"/>
      <c r="DC139" s="1012"/>
      <c r="DE139" s="1012"/>
      <c r="DG139" s="1012"/>
      <c r="DI139" s="1012"/>
      <c r="DK139" s="1012"/>
      <c r="DM139" s="1012"/>
      <c r="DO139" s="1012"/>
      <c r="DQ139" s="1012"/>
      <c r="DS139" s="1012"/>
      <c r="DU139" s="1012"/>
      <c r="DW139" s="1012"/>
      <c r="DY139" s="1012"/>
      <c r="EA139" s="1012"/>
      <c r="EC139" s="1012"/>
      <c r="EE139" s="1012"/>
      <c r="EG139" s="1012"/>
      <c r="EI139" s="1012"/>
      <c r="EK139" s="1012"/>
      <c r="EM139" s="1012"/>
      <c r="EO139" s="1012"/>
      <c r="EQ139" s="1012"/>
      <c r="ES139" s="1012"/>
      <c r="EU139" s="1012"/>
      <c r="EW139" s="1012"/>
      <c r="EY139" s="1012"/>
      <c r="FA139" s="1012"/>
      <c r="FC139" s="1012"/>
      <c r="FE139" s="1012"/>
      <c r="FG139" s="1012"/>
      <c r="FH139" s="1015"/>
      <c r="FI139" s="37"/>
      <c r="FK139" s="1013"/>
      <c r="FL139" s="1012"/>
      <c r="FM139" s="1012"/>
      <c r="FN139" s="1012"/>
      <c r="FP139" s="1014"/>
      <c r="FQ139" s="1014"/>
      <c r="FR139" s="1014"/>
      <c r="FS139" s="1014"/>
      <c r="FT139" s="1014"/>
      <c r="FU139" s="1014"/>
      <c r="FV139" s="1014"/>
      <c r="FW139" s="1014"/>
      <c r="FX139" s="1014"/>
      <c r="FY139" s="1014"/>
      <c r="FZ139" s="1014"/>
      <c r="GA139" s="1014"/>
      <c r="GB139" s="1014"/>
      <c r="GC139" s="1014"/>
      <c r="GD139" s="1014"/>
      <c r="GE139" s="1014"/>
      <c r="GF139" s="1014"/>
      <c r="GG139" s="1014"/>
      <c r="GH139" s="1014"/>
      <c r="GI139" s="1014"/>
      <c r="GJ139" s="1014"/>
      <c r="GK139" s="1014"/>
      <c r="GL139" s="1014"/>
      <c r="GM139" s="1014"/>
      <c r="GN139" s="1014"/>
      <c r="GO139" s="1014"/>
      <c r="GP139" s="1014"/>
      <c r="GQ139" s="1014"/>
      <c r="GR139" s="1014"/>
      <c r="GS139" s="1014"/>
      <c r="GT139" s="1014"/>
      <c r="GU139" s="1014"/>
      <c r="GV139" s="1014"/>
      <c r="GW139" s="1014"/>
      <c r="GX139" s="1014"/>
      <c r="GY139" s="1014"/>
      <c r="GZ139" s="1014"/>
      <c r="HA139" s="1014"/>
      <c r="HB139" s="1014"/>
      <c r="HC139" s="1014"/>
      <c r="HD139" s="1014"/>
      <c r="HE139" s="1014"/>
      <c r="HF139" s="1014"/>
      <c r="HG139" s="1014"/>
      <c r="HH139" s="1014"/>
      <c r="HI139" s="1014"/>
      <c r="HJ139" s="1014"/>
      <c r="HK139" s="1014"/>
      <c r="HL139" s="1014"/>
      <c r="HM139" s="1014"/>
      <c r="HN139" s="1014"/>
      <c r="HO139" s="1014"/>
      <c r="HP139" s="1014"/>
      <c r="HQ139" s="1014"/>
      <c r="HR139" s="1014"/>
      <c r="HS139" s="1014"/>
      <c r="HT139" s="1014"/>
      <c r="HU139" s="1014"/>
      <c r="HV139" s="1014"/>
    </row>
    <row r="140" spans="1:230" s="470" customFormat="1" outlineLevel="1" x14ac:dyDescent="0.25">
      <c r="A140" s="1031">
        <v>41998</v>
      </c>
      <c r="B140" s="1031"/>
      <c r="C140" s="471"/>
      <c r="D140" s="469"/>
      <c r="H140" s="1006"/>
      <c r="I140" s="37"/>
      <c r="J140" s="1006"/>
      <c r="K140" s="37"/>
      <c r="L140" s="1006"/>
      <c r="M140" s="37"/>
      <c r="N140" s="1006"/>
      <c r="O140" s="37"/>
      <c r="P140" s="1006"/>
      <c r="Q140" s="37"/>
      <c r="R140" s="1006"/>
      <c r="S140" s="37"/>
      <c r="T140" s="37"/>
      <c r="U140" s="37"/>
      <c r="V140" s="1006"/>
      <c r="W140" s="37"/>
      <c r="X140" s="1006"/>
      <c r="Y140" s="37"/>
      <c r="Z140" s="1006"/>
      <c r="AA140" s="37"/>
      <c r="AB140" s="1006"/>
      <c r="AC140" s="37"/>
      <c r="AD140" s="1006"/>
      <c r="AE140" s="37"/>
      <c r="AF140" s="1006"/>
      <c r="AG140" s="37"/>
      <c r="AH140" s="37"/>
      <c r="AI140" s="37"/>
      <c r="AJ140" s="1006"/>
      <c r="AK140" s="37"/>
      <c r="AL140" s="1006"/>
      <c r="AM140" s="37"/>
      <c r="AN140" s="1006"/>
      <c r="AO140" s="37"/>
      <c r="AP140" s="1006"/>
      <c r="AQ140" s="37"/>
      <c r="AR140" s="37"/>
      <c r="AS140" s="37"/>
      <c r="AT140" s="37"/>
      <c r="AU140" s="37"/>
      <c r="AV140" s="37"/>
      <c r="AW140" s="37"/>
      <c r="AX140" s="1006"/>
      <c r="AY140" s="37"/>
      <c r="AZ140" s="1006"/>
      <c r="BA140" s="37"/>
      <c r="BB140" s="1006"/>
      <c r="BC140" s="37"/>
      <c r="BD140" s="1006"/>
      <c r="BE140" s="37"/>
      <c r="BF140" s="1006"/>
      <c r="BG140" s="37"/>
      <c r="BH140" s="37"/>
      <c r="BI140" s="37"/>
      <c r="BJ140" s="37"/>
      <c r="BK140" s="37"/>
      <c r="BL140" s="1006"/>
      <c r="BM140" s="37"/>
      <c r="BN140" s="1006"/>
      <c r="BO140" s="37"/>
      <c r="BP140" s="1006"/>
      <c r="BQ140" s="37"/>
      <c r="BR140" s="1006"/>
      <c r="BS140" s="37"/>
      <c r="BT140" s="1006"/>
      <c r="BU140" s="1006"/>
      <c r="BV140" s="1006"/>
      <c r="BW140" s="1006"/>
      <c r="BX140" s="37"/>
      <c r="BY140" s="37"/>
      <c r="BZ140" s="1006"/>
      <c r="CA140" s="37"/>
      <c r="CB140" s="1006"/>
      <c r="CC140" s="37"/>
      <c r="CD140" s="1006"/>
      <c r="CE140" s="37"/>
      <c r="CF140" s="1006"/>
      <c r="CG140" s="37"/>
      <c r="CH140" s="1006"/>
      <c r="CI140" s="1006"/>
      <c r="CJ140" s="1006"/>
      <c r="CK140" s="1006"/>
      <c r="CL140" s="37"/>
      <c r="CM140" s="37"/>
      <c r="CO140" s="1016"/>
      <c r="CQ140" s="1012"/>
      <c r="CS140" s="1012"/>
      <c r="CU140" s="1012"/>
      <c r="CW140" s="1012"/>
      <c r="CY140" s="1012"/>
      <c r="DA140" s="1012"/>
      <c r="DC140" s="1012"/>
      <c r="DE140" s="1012"/>
      <c r="DG140" s="1012"/>
      <c r="DI140" s="1012"/>
      <c r="DK140" s="1012"/>
      <c r="DM140" s="1012"/>
      <c r="DO140" s="1012"/>
      <c r="DQ140" s="1012"/>
      <c r="DS140" s="1012"/>
      <c r="DU140" s="1012"/>
      <c r="DW140" s="1012"/>
      <c r="DY140" s="1012"/>
      <c r="EA140" s="1012"/>
      <c r="EC140" s="1012"/>
      <c r="EE140" s="1012"/>
      <c r="EG140" s="1012"/>
      <c r="EI140" s="1012"/>
      <c r="EK140" s="1012"/>
      <c r="EM140" s="1012"/>
      <c r="EO140" s="1012"/>
      <c r="EQ140" s="1012"/>
      <c r="ES140" s="1012"/>
      <c r="EU140" s="1012"/>
      <c r="EW140" s="1012"/>
      <c r="EY140" s="1012"/>
      <c r="FA140" s="1012"/>
      <c r="FC140" s="1012"/>
      <c r="FE140" s="1012"/>
      <c r="FG140" s="1012"/>
      <c r="FH140" s="1015"/>
      <c r="FI140" s="37"/>
      <c r="FK140" s="1013"/>
      <c r="FL140" s="1012"/>
      <c r="FM140" s="1012"/>
      <c r="FN140" s="1012"/>
      <c r="FP140" s="1014"/>
      <c r="FQ140" s="1014"/>
      <c r="FR140" s="1014"/>
      <c r="FS140" s="1014"/>
      <c r="FT140" s="1014"/>
      <c r="FU140" s="1014"/>
      <c r="FV140" s="1014"/>
      <c r="FW140" s="1014"/>
      <c r="FX140" s="1014"/>
      <c r="FY140" s="1014"/>
      <c r="FZ140" s="1014"/>
      <c r="GA140" s="1014"/>
      <c r="GB140" s="1014"/>
      <c r="GC140" s="1014"/>
      <c r="GD140" s="1014"/>
      <c r="GE140" s="1014"/>
      <c r="GF140" s="1014"/>
      <c r="GG140" s="1014"/>
      <c r="GH140" s="1014"/>
      <c r="GI140" s="1014"/>
      <c r="GJ140" s="1014"/>
      <c r="GK140" s="1014"/>
      <c r="GL140" s="1014"/>
      <c r="GM140" s="1014"/>
      <c r="GN140" s="1014"/>
      <c r="GO140" s="1014"/>
      <c r="GP140" s="1014"/>
      <c r="GQ140" s="1014"/>
      <c r="GR140" s="1014"/>
      <c r="GS140" s="1014"/>
      <c r="GT140" s="1014"/>
      <c r="GU140" s="1014"/>
      <c r="GV140" s="1014"/>
      <c r="GW140" s="1014"/>
      <c r="GX140" s="1014"/>
      <c r="GY140" s="1014"/>
      <c r="GZ140" s="1014"/>
      <c r="HA140" s="1014"/>
      <c r="HB140" s="1014"/>
      <c r="HC140" s="1014"/>
      <c r="HD140" s="1014"/>
      <c r="HE140" s="1014"/>
      <c r="HF140" s="1014"/>
      <c r="HG140" s="1014"/>
      <c r="HH140" s="1014"/>
      <c r="HI140" s="1014"/>
      <c r="HJ140" s="1014"/>
      <c r="HK140" s="1014"/>
      <c r="HL140" s="1014"/>
      <c r="HM140" s="1014"/>
      <c r="HN140" s="1014"/>
      <c r="HO140" s="1014"/>
      <c r="HP140" s="1014"/>
      <c r="HQ140" s="1014"/>
      <c r="HR140" s="1014"/>
      <c r="HS140" s="1014"/>
      <c r="HT140" s="1014"/>
      <c r="HU140" s="1014"/>
      <c r="HV140" s="1014"/>
    </row>
    <row r="141" spans="1:230" s="470" customFormat="1" outlineLevel="1" x14ac:dyDescent="0.25">
      <c r="A141" s="1031">
        <v>41999</v>
      </c>
      <c r="B141" s="1031"/>
      <c r="C141" s="471"/>
      <c r="D141" s="469"/>
      <c r="H141" s="1006"/>
      <c r="I141" s="37"/>
      <c r="J141" s="1006"/>
      <c r="K141" s="37"/>
      <c r="L141" s="1006"/>
      <c r="M141" s="37"/>
      <c r="N141" s="1006"/>
      <c r="O141" s="37"/>
      <c r="P141" s="1006"/>
      <c r="Q141" s="37"/>
      <c r="R141" s="1006"/>
      <c r="S141" s="37"/>
      <c r="T141" s="37"/>
      <c r="U141" s="37"/>
      <c r="V141" s="1006"/>
      <c r="W141" s="37"/>
      <c r="X141" s="1006"/>
      <c r="Y141" s="37"/>
      <c r="Z141" s="1006"/>
      <c r="AA141" s="37"/>
      <c r="AB141" s="1006"/>
      <c r="AC141" s="37"/>
      <c r="AD141" s="1006"/>
      <c r="AE141" s="37"/>
      <c r="AF141" s="1006"/>
      <c r="AG141" s="37"/>
      <c r="AH141" s="37"/>
      <c r="AI141" s="37"/>
      <c r="AJ141" s="1006"/>
      <c r="AK141" s="37"/>
      <c r="AL141" s="1006"/>
      <c r="AM141" s="37"/>
      <c r="AN141" s="1006"/>
      <c r="AO141" s="37"/>
      <c r="AP141" s="1006"/>
      <c r="AQ141" s="37"/>
      <c r="AR141" s="37"/>
      <c r="AS141" s="37"/>
      <c r="AT141" s="37"/>
      <c r="AU141" s="37"/>
      <c r="AV141" s="37"/>
      <c r="AW141" s="37"/>
      <c r="AX141" s="1006"/>
      <c r="AY141" s="37"/>
      <c r="AZ141" s="1006"/>
      <c r="BA141" s="37"/>
      <c r="BB141" s="1006"/>
      <c r="BC141" s="37"/>
      <c r="BD141" s="1006"/>
      <c r="BE141" s="37"/>
      <c r="BF141" s="1006"/>
      <c r="BG141" s="37"/>
      <c r="BH141" s="37"/>
      <c r="BI141" s="37"/>
      <c r="BJ141" s="37"/>
      <c r="BK141" s="37"/>
      <c r="BL141" s="1006"/>
      <c r="BM141" s="37"/>
      <c r="BN141" s="1006"/>
      <c r="BO141" s="37"/>
      <c r="BP141" s="1006"/>
      <c r="BQ141" s="37"/>
      <c r="BR141" s="1006"/>
      <c r="BS141" s="37"/>
      <c r="BT141" s="1006"/>
      <c r="BU141" s="1006"/>
      <c r="BV141" s="1006"/>
      <c r="BW141" s="1006"/>
      <c r="BX141" s="37"/>
      <c r="BY141" s="37"/>
      <c r="BZ141" s="1006"/>
      <c r="CA141" s="37"/>
      <c r="CB141" s="1006"/>
      <c r="CC141" s="37"/>
      <c r="CD141" s="1006"/>
      <c r="CE141" s="37"/>
      <c r="CF141" s="1006"/>
      <c r="CG141" s="37"/>
      <c r="CH141" s="1006"/>
      <c r="CI141" s="1006"/>
      <c r="CJ141" s="1006"/>
      <c r="CK141" s="1006"/>
      <c r="CL141" s="37"/>
      <c r="CM141" s="37"/>
      <c r="CO141" s="1016"/>
      <c r="CQ141" s="1012"/>
      <c r="CS141" s="1012"/>
      <c r="CU141" s="1012"/>
      <c r="CW141" s="1012"/>
      <c r="CY141" s="1012"/>
      <c r="DA141" s="1012"/>
      <c r="DC141" s="1012"/>
      <c r="DE141" s="1012"/>
      <c r="DG141" s="1012"/>
      <c r="DI141" s="1012"/>
      <c r="DK141" s="1012"/>
      <c r="DM141" s="1012"/>
      <c r="DO141" s="1012"/>
      <c r="DQ141" s="1012"/>
      <c r="DS141" s="1012"/>
      <c r="DU141" s="1012"/>
      <c r="DW141" s="1012"/>
      <c r="DY141" s="1012"/>
      <c r="EA141" s="1012"/>
      <c r="EC141" s="1012"/>
      <c r="EE141" s="1012"/>
      <c r="EG141" s="1012"/>
      <c r="EI141" s="1012"/>
      <c r="EK141" s="1012"/>
      <c r="EM141" s="1012"/>
      <c r="EO141" s="1012"/>
      <c r="EQ141" s="1012"/>
      <c r="ES141" s="1012"/>
      <c r="EU141" s="1012"/>
      <c r="EW141" s="1012"/>
      <c r="EY141" s="1012"/>
      <c r="FA141" s="1012"/>
      <c r="FC141" s="1012"/>
      <c r="FE141" s="1012"/>
      <c r="FG141" s="1012"/>
      <c r="FH141" s="1015"/>
      <c r="FI141" s="37"/>
      <c r="FK141" s="1013"/>
      <c r="FL141" s="1012"/>
      <c r="FM141" s="1012"/>
      <c r="FN141" s="1012"/>
      <c r="FP141" s="1014"/>
      <c r="FQ141" s="1014"/>
      <c r="FR141" s="1014"/>
      <c r="FS141" s="1014"/>
      <c r="FT141" s="1014"/>
      <c r="FU141" s="1014"/>
      <c r="FV141" s="1014"/>
      <c r="FW141" s="1014"/>
      <c r="FX141" s="1014"/>
      <c r="FY141" s="1014"/>
      <c r="FZ141" s="1014"/>
      <c r="GA141" s="1014"/>
      <c r="GB141" s="1014"/>
      <c r="GC141" s="1014"/>
      <c r="GD141" s="1014"/>
      <c r="GE141" s="1014"/>
      <c r="GF141" s="1014"/>
      <c r="GG141" s="1014"/>
      <c r="GH141" s="1014"/>
      <c r="GI141" s="1014"/>
      <c r="GJ141" s="1014"/>
      <c r="GK141" s="1014"/>
      <c r="GL141" s="1014"/>
      <c r="GM141" s="1014"/>
      <c r="GN141" s="1014"/>
      <c r="GO141" s="1014"/>
      <c r="GP141" s="1014"/>
      <c r="GQ141" s="1014"/>
      <c r="GR141" s="1014"/>
      <c r="GS141" s="1014"/>
      <c r="GT141" s="1014"/>
      <c r="GU141" s="1014"/>
      <c r="GV141" s="1014"/>
      <c r="GW141" s="1014"/>
      <c r="GX141" s="1014"/>
      <c r="GY141" s="1014"/>
      <c r="GZ141" s="1014"/>
      <c r="HA141" s="1014"/>
      <c r="HB141" s="1014"/>
      <c r="HC141" s="1014"/>
      <c r="HD141" s="1014"/>
      <c r="HE141" s="1014"/>
      <c r="HF141" s="1014"/>
      <c r="HG141" s="1014"/>
      <c r="HH141" s="1014"/>
      <c r="HI141" s="1014"/>
      <c r="HJ141" s="1014"/>
      <c r="HK141" s="1014"/>
      <c r="HL141" s="1014"/>
      <c r="HM141" s="1014"/>
      <c r="HN141" s="1014"/>
      <c r="HO141" s="1014"/>
      <c r="HP141" s="1014"/>
      <c r="HQ141" s="1014"/>
      <c r="HR141" s="1014"/>
      <c r="HS141" s="1014"/>
      <c r="HT141" s="1014"/>
      <c r="HU141" s="1014"/>
      <c r="HV141" s="1014"/>
    </row>
    <row r="142" spans="1:230" s="470" customFormat="1" outlineLevel="1" x14ac:dyDescent="0.25">
      <c r="A142" s="1031">
        <v>42005</v>
      </c>
      <c r="B142" s="1031"/>
      <c r="C142" s="471"/>
      <c r="D142" s="469"/>
      <c r="H142" s="1006"/>
      <c r="I142" s="37"/>
      <c r="J142" s="1006"/>
      <c r="K142" s="37"/>
      <c r="L142" s="1006"/>
      <c r="M142" s="37"/>
      <c r="N142" s="1006"/>
      <c r="O142" s="37"/>
      <c r="P142" s="1006"/>
      <c r="Q142" s="37"/>
      <c r="R142" s="1006"/>
      <c r="S142" s="37"/>
      <c r="T142" s="37"/>
      <c r="U142" s="37"/>
      <c r="V142" s="1006"/>
      <c r="W142" s="37"/>
      <c r="X142" s="1006"/>
      <c r="Y142" s="37"/>
      <c r="Z142" s="1006"/>
      <c r="AA142" s="37"/>
      <c r="AB142" s="1006"/>
      <c r="AC142" s="37"/>
      <c r="AD142" s="1006"/>
      <c r="AE142" s="37"/>
      <c r="AF142" s="1006"/>
      <c r="AG142" s="37"/>
      <c r="AH142" s="37"/>
      <c r="AI142" s="37"/>
      <c r="AJ142" s="1006"/>
      <c r="AK142" s="37"/>
      <c r="AL142" s="1006"/>
      <c r="AM142" s="37"/>
      <c r="AN142" s="1006"/>
      <c r="AO142" s="37"/>
      <c r="AP142" s="1006"/>
      <c r="AQ142" s="37"/>
      <c r="AR142" s="37"/>
      <c r="AS142" s="37"/>
      <c r="AT142" s="37"/>
      <c r="AU142" s="37"/>
      <c r="AV142" s="37"/>
      <c r="AW142" s="37"/>
      <c r="AX142" s="1006"/>
      <c r="AY142" s="37"/>
      <c r="AZ142" s="1006"/>
      <c r="BA142" s="37"/>
      <c r="BB142" s="1006"/>
      <c r="BC142" s="37"/>
      <c r="BD142" s="1006"/>
      <c r="BE142" s="37"/>
      <c r="BF142" s="1006"/>
      <c r="BG142" s="37"/>
      <c r="BH142" s="37"/>
      <c r="BI142" s="37"/>
      <c r="BJ142" s="37"/>
      <c r="BK142" s="37"/>
      <c r="BL142" s="1006"/>
      <c r="BM142" s="37"/>
      <c r="BN142" s="1006"/>
      <c r="BO142" s="37"/>
      <c r="BP142" s="1006"/>
      <c r="BQ142" s="37"/>
      <c r="BR142" s="1006"/>
      <c r="BS142" s="37"/>
      <c r="BT142" s="1006"/>
      <c r="BU142" s="1006"/>
      <c r="BV142" s="1006"/>
      <c r="BW142" s="1006"/>
      <c r="BX142" s="37"/>
      <c r="BY142" s="37"/>
      <c r="BZ142" s="1006"/>
      <c r="CA142" s="37"/>
      <c r="CB142" s="1006"/>
      <c r="CC142" s="37"/>
      <c r="CD142" s="1006"/>
      <c r="CE142" s="37"/>
      <c r="CF142" s="1006"/>
      <c r="CG142" s="37"/>
      <c r="CH142" s="1006"/>
      <c r="CI142" s="1006"/>
      <c r="CJ142" s="1006"/>
      <c r="CK142" s="1006"/>
      <c r="CL142" s="37"/>
      <c r="CM142" s="37"/>
      <c r="CO142" s="1016"/>
      <c r="CQ142" s="1012"/>
      <c r="CS142" s="1012"/>
      <c r="CU142" s="1012"/>
      <c r="CW142" s="1012"/>
      <c r="CY142" s="1012"/>
      <c r="DA142" s="1012"/>
      <c r="DC142" s="1012"/>
      <c r="DE142" s="1012"/>
      <c r="DG142" s="1012"/>
      <c r="DI142" s="1012"/>
      <c r="DK142" s="1012"/>
      <c r="DM142" s="1012"/>
      <c r="DO142" s="1012"/>
      <c r="DQ142" s="1012"/>
      <c r="DS142" s="1012"/>
      <c r="DU142" s="1012"/>
      <c r="DW142" s="1012"/>
      <c r="DY142" s="1012"/>
      <c r="EA142" s="1012"/>
      <c r="EC142" s="1012"/>
      <c r="EE142" s="1012"/>
      <c r="EG142" s="1012"/>
      <c r="EI142" s="1012"/>
      <c r="EK142" s="1012"/>
      <c r="EM142" s="1012"/>
      <c r="EO142" s="1012"/>
      <c r="EQ142" s="1012"/>
      <c r="ES142" s="1012"/>
      <c r="EU142" s="1012"/>
      <c r="EW142" s="1012"/>
      <c r="EY142" s="1012"/>
      <c r="FA142" s="1012"/>
      <c r="FC142" s="1012"/>
      <c r="FE142" s="1012"/>
      <c r="FG142" s="1012"/>
      <c r="FH142" s="1015"/>
      <c r="FI142" s="37"/>
      <c r="FK142" s="1013"/>
      <c r="FL142" s="1012"/>
      <c r="FM142" s="1012"/>
      <c r="FN142" s="1012"/>
      <c r="FP142" s="1014"/>
      <c r="FQ142" s="1014"/>
      <c r="FR142" s="1014"/>
      <c r="FS142" s="1014"/>
      <c r="FT142" s="1014"/>
      <c r="FU142" s="1014"/>
      <c r="FV142" s="1014"/>
      <c r="FW142" s="1014"/>
      <c r="FX142" s="1014"/>
      <c r="FY142" s="1014"/>
      <c r="FZ142" s="1014"/>
      <c r="GA142" s="1014"/>
      <c r="GB142" s="1014"/>
      <c r="GC142" s="1014"/>
      <c r="GD142" s="1014"/>
      <c r="GE142" s="1014"/>
      <c r="GF142" s="1014"/>
      <c r="GG142" s="1014"/>
      <c r="GH142" s="1014"/>
      <c r="GI142" s="1014"/>
      <c r="GJ142" s="1014"/>
      <c r="GK142" s="1014"/>
      <c r="GL142" s="1014"/>
      <c r="GM142" s="1014"/>
      <c r="GN142" s="1014"/>
      <c r="GO142" s="1014"/>
      <c r="GP142" s="1014"/>
      <c r="GQ142" s="1014"/>
      <c r="GR142" s="1014"/>
      <c r="GS142" s="1014"/>
      <c r="GT142" s="1014"/>
      <c r="GU142" s="1014"/>
      <c r="GV142" s="1014"/>
      <c r="GW142" s="1014"/>
      <c r="GX142" s="1014"/>
      <c r="GY142" s="1014"/>
      <c r="GZ142" s="1014"/>
      <c r="HA142" s="1014"/>
      <c r="HB142" s="1014"/>
      <c r="HC142" s="1014"/>
      <c r="HD142" s="1014"/>
      <c r="HE142" s="1014"/>
      <c r="HF142" s="1014"/>
      <c r="HG142" s="1014"/>
      <c r="HH142" s="1014"/>
      <c r="HI142" s="1014"/>
      <c r="HJ142" s="1014"/>
      <c r="HK142" s="1014"/>
      <c r="HL142" s="1014"/>
      <c r="HM142" s="1014"/>
      <c r="HN142" s="1014"/>
      <c r="HO142" s="1014"/>
      <c r="HP142" s="1014"/>
      <c r="HQ142" s="1014"/>
      <c r="HR142" s="1014"/>
      <c r="HS142" s="1014"/>
      <c r="HT142" s="1014"/>
      <c r="HU142" s="1014"/>
      <c r="HV142" s="1014"/>
    </row>
    <row r="143" spans="1:230" s="470" customFormat="1" outlineLevel="1" x14ac:dyDescent="0.25">
      <c r="A143" s="1031">
        <v>42023</v>
      </c>
      <c r="B143" s="1031"/>
      <c r="C143" s="471"/>
      <c r="D143" s="469"/>
      <c r="H143" s="1006"/>
      <c r="I143" s="37"/>
      <c r="J143" s="1006"/>
      <c r="K143" s="37"/>
      <c r="L143" s="1006"/>
      <c r="M143" s="37"/>
      <c r="N143" s="1006"/>
      <c r="O143" s="37"/>
      <c r="P143" s="1006"/>
      <c r="Q143" s="37"/>
      <c r="R143" s="1006"/>
      <c r="S143" s="37"/>
      <c r="T143" s="37"/>
      <c r="U143" s="37"/>
      <c r="V143" s="1006"/>
      <c r="W143" s="37"/>
      <c r="X143" s="1006"/>
      <c r="Y143" s="37"/>
      <c r="Z143" s="1006"/>
      <c r="AA143" s="37"/>
      <c r="AB143" s="1006"/>
      <c r="AC143" s="37"/>
      <c r="AD143" s="1006"/>
      <c r="AE143" s="37"/>
      <c r="AF143" s="1006"/>
      <c r="AG143" s="37"/>
      <c r="AH143" s="37"/>
      <c r="AI143" s="37"/>
      <c r="AJ143" s="1006"/>
      <c r="AK143" s="37"/>
      <c r="AL143" s="1006"/>
      <c r="AM143" s="37"/>
      <c r="AN143" s="1006"/>
      <c r="AO143" s="37"/>
      <c r="AP143" s="1006"/>
      <c r="AQ143" s="37"/>
      <c r="AR143" s="37"/>
      <c r="AS143" s="37"/>
      <c r="AT143" s="37"/>
      <c r="AU143" s="37"/>
      <c r="AV143" s="37"/>
      <c r="AW143" s="37"/>
      <c r="AX143" s="1006"/>
      <c r="AY143" s="37"/>
      <c r="AZ143" s="1006"/>
      <c r="BA143" s="37"/>
      <c r="BB143" s="1006"/>
      <c r="BC143" s="37"/>
      <c r="BD143" s="1006"/>
      <c r="BE143" s="37"/>
      <c r="BF143" s="1006"/>
      <c r="BG143" s="37"/>
      <c r="BH143" s="37"/>
      <c r="BI143" s="37"/>
      <c r="BJ143" s="37"/>
      <c r="BK143" s="37"/>
      <c r="BL143" s="1006"/>
      <c r="BM143" s="37"/>
      <c r="BN143" s="1006"/>
      <c r="BO143" s="37"/>
      <c r="BP143" s="1006"/>
      <c r="BQ143" s="37"/>
      <c r="BR143" s="1006"/>
      <c r="BS143" s="37"/>
      <c r="BT143" s="1006"/>
      <c r="BU143" s="1006"/>
      <c r="BV143" s="1006"/>
      <c r="BW143" s="1006"/>
      <c r="BX143" s="37"/>
      <c r="BY143" s="37"/>
      <c r="BZ143" s="1006"/>
      <c r="CA143" s="37"/>
      <c r="CB143" s="1006"/>
      <c r="CC143" s="37"/>
      <c r="CD143" s="1006"/>
      <c r="CE143" s="37"/>
      <c r="CF143" s="1006"/>
      <c r="CG143" s="37"/>
      <c r="CH143" s="1006"/>
      <c r="CI143" s="1006"/>
      <c r="CJ143" s="1006"/>
      <c r="CK143" s="1006"/>
      <c r="CL143" s="37"/>
      <c r="CM143" s="37"/>
      <c r="CO143" s="1016"/>
      <c r="CQ143" s="1012"/>
      <c r="CS143" s="1012"/>
      <c r="CU143" s="1012"/>
      <c r="CW143" s="1012"/>
      <c r="CY143" s="1012"/>
      <c r="DA143" s="1012"/>
      <c r="DC143" s="1012"/>
      <c r="DE143" s="1012"/>
      <c r="DG143" s="1012"/>
      <c r="DI143" s="1012"/>
      <c r="DK143" s="1012"/>
      <c r="DM143" s="1012"/>
      <c r="DO143" s="1012"/>
      <c r="DQ143" s="1012"/>
      <c r="DS143" s="1012"/>
      <c r="DU143" s="1012"/>
      <c r="DW143" s="1012"/>
      <c r="DY143" s="1012"/>
      <c r="EA143" s="1012"/>
      <c r="EC143" s="1012"/>
      <c r="EE143" s="1012"/>
      <c r="EG143" s="1012"/>
      <c r="EI143" s="1012"/>
      <c r="EK143" s="1012"/>
      <c r="EM143" s="1012"/>
      <c r="EO143" s="1012"/>
      <c r="EQ143" s="1012"/>
      <c r="ES143" s="1012"/>
      <c r="EU143" s="1012"/>
      <c r="EW143" s="1012"/>
      <c r="EY143" s="1012"/>
      <c r="FA143" s="1012"/>
      <c r="FC143" s="1012"/>
      <c r="FE143" s="1012"/>
      <c r="FG143" s="1012"/>
      <c r="FH143" s="1015"/>
      <c r="FI143" s="37"/>
      <c r="FK143" s="1013"/>
      <c r="FL143" s="1012"/>
      <c r="FM143" s="1012"/>
      <c r="FN143" s="1012"/>
      <c r="FP143" s="1014"/>
      <c r="FQ143" s="1014"/>
      <c r="FR143" s="1014"/>
      <c r="FS143" s="1014"/>
      <c r="FT143" s="1014"/>
      <c r="FU143" s="1014"/>
      <c r="FV143" s="1014"/>
      <c r="FW143" s="1014"/>
      <c r="FX143" s="1014"/>
      <c r="FY143" s="1014"/>
      <c r="FZ143" s="1014"/>
      <c r="GA143" s="1014"/>
      <c r="GB143" s="1014"/>
      <c r="GC143" s="1014"/>
      <c r="GD143" s="1014"/>
      <c r="GE143" s="1014"/>
      <c r="GF143" s="1014"/>
      <c r="GG143" s="1014"/>
      <c r="GH143" s="1014"/>
      <c r="GI143" s="1014"/>
      <c r="GJ143" s="1014"/>
      <c r="GK143" s="1014"/>
      <c r="GL143" s="1014"/>
      <c r="GM143" s="1014"/>
      <c r="GN143" s="1014"/>
      <c r="GO143" s="1014"/>
      <c r="GP143" s="1014"/>
      <c r="GQ143" s="1014"/>
      <c r="GR143" s="1014"/>
      <c r="GS143" s="1014"/>
      <c r="GT143" s="1014"/>
      <c r="GU143" s="1014"/>
      <c r="GV143" s="1014"/>
      <c r="GW143" s="1014"/>
      <c r="GX143" s="1014"/>
      <c r="GY143" s="1014"/>
      <c r="GZ143" s="1014"/>
      <c r="HA143" s="1014"/>
      <c r="HB143" s="1014"/>
      <c r="HC143" s="1014"/>
      <c r="HD143" s="1014"/>
      <c r="HE143" s="1014"/>
      <c r="HF143" s="1014"/>
      <c r="HG143" s="1014"/>
      <c r="HH143" s="1014"/>
      <c r="HI143" s="1014"/>
      <c r="HJ143" s="1014"/>
      <c r="HK143" s="1014"/>
      <c r="HL143" s="1014"/>
      <c r="HM143" s="1014"/>
      <c r="HN143" s="1014"/>
      <c r="HO143" s="1014"/>
      <c r="HP143" s="1014"/>
      <c r="HQ143" s="1014"/>
      <c r="HR143" s="1014"/>
      <c r="HS143" s="1014"/>
      <c r="HT143" s="1014"/>
      <c r="HU143" s="1014"/>
      <c r="HV143" s="1014"/>
    </row>
    <row r="144" spans="1:230" s="470" customFormat="1" outlineLevel="1" x14ac:dyDescent="0.25">
      <c r="A144" s="1031">
        <v>42097</v>
      </c>
      <c r="B144" s="1031"/>
      <c r="C144" s="471"/>
      <c r="D144" s="469"/>
      <c r="H144" s="1006"/>
      <c r="I144" s="37"/>
      <c r="J144" s="1006"/>
      <c r="K144" s="37"/>
      <c r="L144" s="1006"/>
      <c r="M144" s="37"/>
      <c r="N144" s="1006"/>
      <c r="O144" s="37"/>
      <c r="P144" s="1006"/>
      <c r="Q144" s="37"/>
      <c r="R144" s="1006"/>
      <c r="S144" s="37"/>
      <c r="T144" s="37"/>
      <c r="U144" s="37"/>
      <c r="V144" s="1006"/>
      <c r="W144" s="37"/>
      <c r="X144" s="1006"/>
      <c r="Y144" s="37"/>
      <c r="Z144" s="1006"/>
      <c r="AA144" s="37"/>
      <c r="AB144" s="1006"/>
      <c r="AC144" s="37"/>
      <c r="AD144" s="1006"/>
      <c r="AE144" s="37"/>
      <c r="AF144" s="1006"/>
      <c r="AG144" s="37"/>
      <c r="AH144" s="37"/>
      <c r="AI144" s="37"/>
      <c r="AJ144" s="1006"/>
      <c r="AK144" s="37"/>
      <c r="AL144" s="1006"/>
      <c r="AM144" s="37"/>
      <c r="AN144" s="1006"/>
      <c r="AO144" s="37"/>
      <c r="AP144" s="1006"/>
      <c r="AQ144" s="37"/>
      <c r="AR144" s="37"/>
      <c r="AS144" s="37"/>
      <c r="AT144" s="37"/>
      <c r="AU144" s="37"/>
      <c r="AV144" s="37"/>
      <c r="AW144" s="37"/>
      <c r="AX144" s="1006"/>
      <c r="AY144" s="37"/>
      <c r="AZ144" s="1006"/>
      <c r="BA144" s="37"/>
      <c r="BB144" s="1006"/>
      <c r="BC144" s="37"/>
      <c r="BD144" s="1006"/>
      <c r="BE144" s="37"/>
      <c r="BF144" s="1006"/>
      <c r="BG144" s="37"/>
      <c r="BH144" s="37"/>
      <c r="BI144" s="37"/>
      <c r="BJ144" s="37"/>
      <c r="BK144" s="37"/>
      <c r="BL144" s="1006"/>
      <c r="BM144" s="37"/>
      <c r="BN144" s="1006"/>
      <c r="BO144" s="37"/>
      <c r="BP144" s="1006"/>
      <c r="BQ144" s="37"/>
      <c r="BR144" s="1006"/>
      <c r="BS144" s="37"/>
      <c r="BT144" s="1006"/>
      <c r="BU144" s="1006"/>
      <c r="BV144" s="1006"/>
      <c r="BW144" s="1006"/>
      <c r="BX144" s="37"/>
      <c r="BY144" s="37"/>
      <c r="BZ144" s="1006"/>
      <c r="CA144" s="37"/>
      <c r="CB144" s="1006"/>
      <c r="CC144" s="37"/>
      <c r="CD144" s="1006"/>
      <c r="CE144" s="37"/>
      <c r="CF144" s="1006"/>
      <c r="CG144" s="37"/>
      <c r="CH144" s="1006"/>
      <c r="CI144" s="1006"/>
      <c r="CJ144" s="1006"/>
      <c r="CK144" s="1006"/>
      <c r="CL144" s="37"/>
      <c r="CM144" s="37"/>
      <c r="CO144" s="1016"/>
      <c r="CQ144" s="1012"/>
      <c r="CS144" s="1012"/>
      <c r="CU144" s="1012"/>
      <c r="CW144" s="1012"/>
      <c r="CY144" s="1012"/>
      <c r="DA144" s="1012"/>
      <c r="DC144" s="1012"/>
      <c r="DE144" s="1012"/>
      <c r="DG144" s="1012"/>
      <c r="DI144" s="1012"/>
      <c r="DK144" s="1012"/>
      <c r="DM144" s="1012"/>
      <c r="DO144" s="1012"/>
      <c r="DQ144" s="1012"/>
      <c r="DS144" s="1012"/>
      <c r="DU144" s="1012"/>
      <c r="DW144" s="1012"/>
      <c r="DY144" s="1012"/>
      <c r="EA144" s="1012"/>
      <c r="EC144" s="1012"/>
      <c r="EE144" s="1012"/>
      <c r="EG144" s="1012"/>
      <c r="EI144" s="1012"/>
      <c r="EK144" s="1012"/>
      <c r="EM144" s="1012"/>
      <c r="EO144" s="1012"/>
      <c r="EQ144" s="1012"/>
      <c r="ES144" s="1012"/>
      <c r="EU144" s="1012"/>
      <c r="EW144" s="1012"/>
      <c r="EY144" s="1012"/>
      <c r="FA144" s="1012"/>
      <c r="FC144" s="1012"/>
      <c r="FE144" s="1012"/>
      <c r="FG144" s="1012"/>
      <c r="FH144" s="1015"/>
      <c r="FI144" s="37"/>
      <c r="FK144" s="1013"/>
      <c r="FL144" s="1012"/>
      <c r="FM144" s="1012"/>
      <c r="FN144" s="1012"/>
      <c r="FP144" s="1014"/>
      <c r="FQ144" s="1014"/>
      <c r="FR144" s="1014"/>
      <c r="FS144" s="1014"/>
      <c r="FT144" s="1014"/>
      <c r="FU144" s="1014"/>
      <c r="FV144" s="1014"/>
      <c r="FW144" s="1014"/>
      <c r="FX144" s="1014"/>
      <c r="FY144" s="1014"/>
      <c r="FZ144" s="1014"/>
      <c r="GA144" s="1014"/>
      <c r="GB144" s="1014"/>
      <c r="GC144" s="1014"/>
      <c r="GD144" s="1014"/>
      <c r="GE144" s="1014"/>
      <c r="GF144" s="1014"/>
      <c r="GG144" s="1014"/>
      <c r="GH144" s="1014"/>
      <c r="GI144" s="1014"/>
      <c r="GJ144" s="1014"/>
      <c r="GK144" s="1014"/>
      <c r="GL144" s="1014"/>
      <c r="GM144" s="1014"/>
      <c r="GN144" s="1014"/>
      <c r="GO144" s="1014"/>
      <c r="GP144" s="1014"/>
      <c r="GQ144" s="1014"/>
      <c r="GR144" s="1014"/>
      <c r="GS144" s="1014"/>
      <c r="GT144" s="1014"/>
      <c r="GU144" s="1014"/>
      <c r="GV144" s="1014"/>
      <c r="GW144" s="1014"/>
      <c r="GX144" s="1014"/>
      <c r="GY144" s="1014"/>
      <c r="GZ144" s="1014"/>
      <c r="HA144" s="1014"/>
      <c r="HB144" s="1014"/>
      <c r="HC144" s="1014"/>
      <c r="HD144" s="1014"/>
      <c r="HE144" s="1014"/>
      <c r="HF144" s="1014"/>
      <c r="HG144" s="1014"/>
      <c r="HH144" s="1014"/>
      <c r="HI144" s="1014"/>
      <c r="HJ144" s="1014"/>
      <c r="HK144" s="1014"/>
      <c r="HL144" s="1014"/>
      <c r="HM144" s="1014"/>
      <c r="HN144" s="1014"/>
      <c r="HO144" s="1014"/>
      <c r="HP144" s="1014"/>
      <c r="HQ144" s="1014"/>
      <c r="HR144" s="1014"/>
      <c r="HS144" s="1014"/>
      <c r="HT144" s="1014"/>
      <c r="HU144" s="1014"/>
      <c r="HV144" s="1014"/>
    </row>
    <row r="145" spans="1:230" s="470" customFormat="1" outlineLevel="1" x14ac:dyDescent="0.25">
      <c r="A145" s="1031">
        <v>42149</v>
      </c>
      <c r="B145" s="1031"/>
      <c r="C145" s="471"/>
      <c r="D145" s="469"/>
      <c r="H145" s="1006"/>
      <c r="I145" s="37"/>
      <c r="J145" s="1006"/>
      <c r="K145" s="37"/>
      <c r="L145" s="1006"/>
      <c r="M145" s="37"/>
      <c r="N145" s="1006"/>
      <c r="O145" s="37"/>
      <c r="P145" s="1006"/>
      <c r="Q145" s="37"/>
      <c r="R145" s="1006"/>
      <c r="S145" s="37"/>
      <c r="T145" s="37"/>
      <c r="U145" s="37"/>
      <c r="V145" s="1006"/>
      <c r="W145" s="37"/>
      <c r="X145" s="1006"/>
      <c r="Y145" s="37"/>
      <c r="Z145" s="1006"/>
      <c r="AA145" s="37"/>
      <c r="AB145" s="1006"/>
      <c r="AC145" s="37"/>
      <c r="AD145" s="1006"/>
      <c r="AE145" s="37"/>
      <c r="AF145" s="1006"/>
      <c r="AG145" s="37"/>
      <c r="AH145" s="37"/>
      <c r="AI145" s="37"/>
      <c r="AJ145" s="1006"/>
      <c r="AK145" s="37"/>
      <c r="AL145" s="1006"/>
      <c r="AM145" s="37"/>
      <c r="AN145" s="1006"/>
      <c r="AO145" s="37"/>
      <c r="AP145" s="1006"/>
      <c r="AQ145" s="37"/>
      <c r="AR145" s="37"/>
      <c r="AS145" s="37"/>
      <c r="AT145" s="37"/>
      <c r="AU145" s="37"/>
      <c r="AV145" s="37"/>
      <c r="AW145" s="37"/>
      <c r="AX145" s="1006"/>
      <c r="AY145" s="37"/>
      <c r="AZ145" s="1006"/>
      <c r="BA145" s="37"/>
      <c r="BB145" s="1006"/>
      <c r="BC145" s="37"/>
      <c r="BD145" s="1006"/>
      <c r="BE145" s="37"/>
      <c r="BF145" s="1006"/>
      <c r="BG145" s="37"/>
      <c r="BH145" s="37"/>
      <c r="BI145" s="37"/>
      <c r="BJ145" s="37"/>
      <c r="BK145" s="37"/>
      <c r="BL145" s="1006"/>
      <c r="BM145" s="37"/>
      <c r="BN145" s="1006"/>
      <c r="BO145" s="37"/>
      <c r="BP145" s="1006"/>
      <c r="BQ145" s="37"/>
      <c r="BR145" s="1006"/>
      <c r="BS145" s="37"/>
      <c r="BT145" s="1006"/>
      <c r="BU145" s="1006"/>
      <c r="BV145" s="1006"/>
      <c r="BW145" s="1006"/>
      <c r="BX145" s="37"/>
      <c r="BY145" s="37"/>
      <c r="BZ145" s="1006"/>
      <c r="CA145" s="37"/>
      <c r="CB145" s="1006"/>
      <c r="CC145" s="37"/>
      <c r="CD145" s="1006"/>
      <c r="CE145" s="37"/>
      <c r="CF145" s="1006"/>
      <c r="CG145" s="37"/>
      <c r="CH145" s="1006"/>
      <c r="CI145" s="1006"/>
      <c r="CJ145" s="1006"/>
      <c r="CK145" s="1006"/>
      <c r="CL145" s="37"/>
      <c r="CM145" s="37"/>
      <c r="CO145" s="1016"/>
      <c r="CQ145" s="1012"/>
      <c r="CS145" s="1012"/>
      <c r="CU145" s="1012"/>
      <c r="CW145" s="1012"/>
      <c r="CY145" s="1012"/>
      <c r="DA145" s="1012"/>
      <c r="DC145" s="1012"/>
      <c r="DE145" s="1012"/>
      <c r="DG145" s="1012"/>
      <c r="DI145" s="1012"/>
      <c r="DK145" s="1012"/>
      <c r="DM145" s="1012"/>
      <c r="DO145" s="1012"/>
      <c r="DQ145" s="1012"/>
      <c r="DS145" s="1012"/>
      <c r="DU145" s="1012"/>
      <c r="DW145" s="1012"/>
      <c r="DY145" s="1012"/>
      <c r="EA145" s="1012"/>
      <c r="EC145" s="1012"/>
      <c r="EE145" s="1012"/>
      <c r="EG145" s="1012"/>
      <c r="EI145" s="1012"/>
      <c r="EK145" s="1012"/>
      <c r="EM145" s="1012"/>
      <c r="EO145" s="1012"/>
      <c r="EQ145" s="1012"/>
      <c r="ES145" s="1012"/>
      <c r="EU145" s="1012"/>
      <c r="EW145" s="1012"/>
      <c r="EY145" s="1012"/>
      <c r="FA145" s="1012"/>
      <c r="FC145" s="1012"/>
      <c r="FE145" s="1012"/>
      <c r="FG145" s="1012"/>
      <c r="FH145" s="1015"/>
      <c r="FI145" s="37"/>
      <c r="FK145" s="1013"/>
      <c r="FL145" s="1012"/>
      <c r="FM145" s="1012"/>
      <c r="FN145" s="1012"/>
      <c r="FP145" s="1014"/>
      <c r="FQ145" s="1014"/>
      <c r="FR145" s="1014"/>
      <c r="FS145" s="1014"/>
      <c r="FT145" s="1014"/>
      <c r="FU145" s="1014"/>
      <c r="FV145" s="1014"/>
      <c r="FW145" s="1014"/>
      <c r="FX145" s="1014"/>
      <c r="FY145" s="1014"/>
      <c r="FZ145" s="1014"/>
      <c r="GA145" s="1014"/>
      <c r="GB145" s="1014"/>
      <c r="GC145" s="1014"/>
      <c r="GD145" s="1014"/>
      <c r="GE145" s="1014"/>
      <c r="GF145" s="1014"/>
      <c r="GG145" s="1014"/>
      <c r="GH145" s="1014"/>
      <c r="GI145" s="1014"/>
      <c r="GJ145" s="1014"/>
      <c r="GK145" s="1014"/>
      <c r="GL145" s="1014"/>
      <c r="GM145" s="1014"/>
      <c r="GN145" s="1014"/>
      <c r="GO145" s="1014"/>
      <c r="GP145" s="1014"/>
      <c r="GQ145" s="1014"/>
      <c r="GR145" s="1014"/>
      <c r="GS145" s="1014"/>
      <c r="GT145" s="1014"/>
      <c r="GU145" s="1014"/>
      <c r="GV145" s="1014"/>
      <c r="GW145" s="1014"/>
      <c r="GX145" s="1014"/>
      <c r="GY145" s="1014"/>
      <c r="GZ145" s="1014"/>
      <c r="HA145" s="1014"/>
      <c r="HB145" s="1014"/>
      <c r="HC145" s="1014"/>
      <c r="HD145" s="1014"/>
      <c r="HE145" s="1014"/>
      <c r="HF145" s="1014"/>
      <c r="HG145" s="1014"/>
      <c r="HH145" s="1014"/>
      <c r="HI145" s="1014"/>
      <c r="HJ145" s="1014"/>
      <c r="HK145" s="1014"/>
      <c r="HL145" s="1014"/>
      <c r="HM145" s="1014"/>
      <c r="HN145" s="1014"/>
      <c r="HO145" s="1014"/>
      <c r="HP145" s="1014"/>
      <c r="HQ145" s="1014"/>
      <c r="HR145" s="1014"/>
      <c r="HS145" s="1014"/>
      <c r="HT145" s="1014"/>
      <c r="HU145" s="1014"/>
      <c r="HV145" s="1014"/>
    </row>
    <row r="146" spans="1:230" s="470" customFormat="1" outlineLevel="1" x14ac:dyDescent="0.25">
      <c r="A146" s="1031">
        <v>42188</v>
      </c>
      <c r="B146" s="1031"/>
      <c r="C146" s="471"/>
      <c r="D146" s="469"/>
      <c r="H146" s="1006"/>
      <c r="I146" s="37"/>
      <c r="J146" s="1006"/>
      <c r="K146" s="37"/>
      <c r="L146" s="1006"/>
      <c r="M146" s="37"/>
      <c r="N146" s="1006"/>
      <c r="O146" s="37"/>
      <c r="P146" s="1006"/>
      <c r="Q146" s="37"/>
      <c r="R146" s="1006"/>
      <c r="S146" s="37"/>
      <c r="T146" s="37"/>
      <c r="U146" s="37"/>
      <c r="V146" s="1006"/>
      <c r="W146" s="37"/>
      <c r="X146" s="1006"/>
      <c r="Y146" s="37"/>
      <c r="Z146" s="1006"/>
      <c r="AA146" s="37"/>
      <c r="AB146" s="1006"/>
      <c r="AC146" s="37"/>
      <c r="AD146" s="1006"/>
      <c r="AE146" s="37"/>
      <c r="AF146" s="1006"/>
      <c r="AG146" s="37"/>
      <c r="AH146" s="37"/>
      <c r="AI146" s="37"/>
      <c r="AJ146" s="1006"/>
      <c r="AK146" s="37"/>
      <c r="AL146" s="1006"/>
      <c r="AM146" s="37"/>
      <c r="AN146" s="1006"/>
      <c r="AO146" s="37"/>
      <c r="AP146" s="1006"/>
      <c r="AQ146" s="37"/>
      <c r="AR146" s="37"/>
      <c r="AS146" s="37"/>
      <c r="AT146" s="37"/>
      <c r="AU146" s="37"/>
      <c r="AV146" s="37"/>
      <c r="AW146" s="37"/>
      <c r="AX146" s="1006"/>
      <c r="AY146" s="37"/>
      <c r="AZ146" s="1006"/>
      <c r="BA146" s="37"/>
      <c r="BB146" s="1006"/>
      <c r="BC146" s="37"/>
      <c r="BD146" s="1006"/>
      <c r="BE146" s="37"/>
      <c r="BF146" s="1006"/>
      <c r="BG146" s="37"/>
      <c r="BH146" s="37"/>
      <c r="BI146" s="37"/>
      <c r="BJ146" s="37"/>
      <c r="BK146" s="37"/>
      <c r="BL146" s="1006"/>
      <c r="BM146" s="37"/>
      <c r="BN146" s="1006"/>
      <c r="BO146" s="37"/>
      <c r="BP146" s="1006"/>
      <c r="BQ146" s="37"/>
      <c r="BR146" s="1006"/>
      <c r="BS146" s="37"/>
      <c r="BT146" s="1006"/>
      <c r="BU146" s="1006"/>
      <c r="BV146" s="1006"/>
      <c r="BW146" s="1006"/>
      <c r="BX146" s="37"/>
      <c r="BY146" s="37"/>
      <c r="BZ146" s="1006"/>
      <c r="CA146" s="37"/>
      <c r="CB146" s="1006"/>
      <c r="CC146" s="37"/>
      <c r="CD146" s="1006"/>
      <c r="CE146" s="37"/>
      <c r="CF146" s="1006"/>
      <c r="CG146" s="37"/>
      <c r="CH146" s="1006"/>
      <c r="CI146" s="1006"/>
      <c r="CJ146" s="1006"/>
      <c r="CK146" s="1006"/>
      <c r="CL146" s="37"/>
      <c r="CM146" s="37"/>
      <c r="CO146" s="1016"/>
      <c r="CQ146" s="1012"/>
      <c r="CS146" s="1012"/>
      <c r="CU146" s="1012"/>
      <c r="CW146" s="1012"/>
      <c r="CY146" s="1012"/>
      <c r="DA146" s="1012"/>
      <c r="DC146" s="1012"/>
      <c r="DE146" s="1012"/>
      <c r="DG146" s="1012"/>
      <c r="DI146" s="1012"/>
      <c r="DK146" s="1012"/>
      <c r="DM146" s="1012"/>
      <c r="DO146" s="1012"/>
      <c r="DQ146" s="1012"/>
      <c r="DS146" s="1012"/>
      <c r="DU146" s="1012"/>
      <c r="DW146" s="1012"/>
      <c r="DY146" s="1012"/>
      <c r="EA146" s="1012"/>
      <c r="EC146" s="1012"/>
      <c r="EE146" s="1012"/>
      <c r="EG146" s="1012"/>
      <c r="EI146" s="1012"/>
      <c r="EK146" s="1012"/>
      <c r="EM146" s="1012"/>
      <c r="EO146" s="1012"/>
      <c r="EQ146" s="1012"/>
      <c r="ES146" s="1012"/>
      <c r="EU146" s="1012"/>
      <c r="EW146" s="1012"/>
      <c r="EY146" s="1012"/>
      <c r="FA146" s="1012"/>
      <c r="FC146" s="1012"/>
      <c r="FE146" s="1012"/>
      <c r="FG146" s="1012"/>
      <c r="FH146" s="1015"/>
      <c r="FI146" s="37"/>
      <c r="FK146" s="1013"/>
      <c r="FL146" s="1012"/>
      <c r="FM146" s="1012"/>
      <c r="FN146" s="1012"/>
      <c r="FP146" s="1014"/>
      <c r="FQ146" s="1014"/>
      <c r="FR146" s="1014"/>
      <c r="FS146" s="1014"/>
      <c r="FT146" s="1014"/>
      <c r="FU146" s="1014"/>
      <c r="FV146" s="1014"/>
      <c r="FW146" s="1014"/>
      <c r="FX146" s="1014"/>
      <c r="FY146" s="1014"/>
      <c r="FZ146" s="1014"/>
      <c r="GA146" s="1014"/>
      <c r="GB146" s="1014"/>
      <c r="GC146" s="1014"/>
      <c r="GD146" s="1014"/>
      <c r="GE146" s="1014"/>
      <c r="GF146" s="1014"/>
      <c r="GG146" s="1014"/>
      <c r="GH146" s="1014"/>
      <c r="GI146" s="1014"/>
      <c r="GJ146" s="1014"/>
      <c r="GK146" s="1014"/>
      <c r="GL146" s="1014"/>
      <c r="GM146" s="1014"/>
      <c r="GN146" s="1014"/>
      <c r="GO146" s="1014"/>
      <c r="GP146" s="1014"/>
      <c r="GQ146" s="1014"/>
      <c r="GR146" s="1014"/>
      <c r="GS146" s="1014"/>
      <c r="GT146" s="1014"/>
      <c r="GU146" s="1014"/>
      <c r="GV146" s="1014"/>
      <c r="GW146" s="1014"/>
      <c r="GX146" s="1014"/>
      <c r="GY146" s="1014"/>
      <c r="GZ146" s="1014"/>
      <c r="HA146" s="1014"/>
      <c r="HB146" s="1014"/>
      <c r="HC146" s="1014"/>
      <c r="HD146" s="1014"/>
      <c r="HE146" s="1014"/>
      <c r="HF146" s="1014"/>
      <c r="HG146" s="1014"/>
      <c r="HH146" s="1014"/>
      <c r="HI146" s="1014"/>
      <c r="HJ146" s="1014"/>
      <c r="HK146" s="1014"/>
      <c r="HL146" s="1014"/>
      <c r="HM146" s="1014"/>
      <c r="HN146" s="1014"/>
      <c r="HO146" s="1014"/>
      <c r="HP146" s="1014"/>
      <c r="HQ146" s="1014"/>
      <c r="HR146" s="1014"/>
      <c r="HS146" s="1014"/>
      <c r="HT146" s="1014"/>
      <c r="HU146" s="1014"/>
      <c r="HV146" s="1014"/>
    </row>
    <row r="147" spans="1:230" s="470" customFormat="1" outlineLevel="1" x14ac:dyDescent="0.25">
      <c r="A147" s="1031">
        <v>42254</v>
      </c>
      <c r="B147" s="1031"/>
      <c r="C147" s="471"/>
      <c r="D147" s="469"/>
      <c r="H147" s="1006"/>
      <c r="I147" s="37"/>
      <c r="J147" s="1006"/>
      <c r="K147" s="37"/>
      <c r="L147" s="1006"/>
      <c r="M147" s="37"/>
      <c r="N147" s="1006"/>
      <c r="O147" s="37"/>
      <c r="P147" s="1006"/>
      <c r="Q147" s="37"/>
      <c r="R147" s="1006"/>
      <c r="S147" s="37"/>
      <c r="T147" s="37"/>
      <c r="U147" s="37"/>
      <c r="V147" s="1006"/>
      <c r="W147" s="37"/>
      <c r="X147" s="1006"/>
      <c r="Y147" s="37"/>
      <c r="Z147" s="1006"/>
      <c r="AA147" s="37"/>
      <c r="AB147" s="1006"/>
      <c r="AC147" s="37"/>
      <c r="AD147" s="1006"/>
      <c r="AE147" s="37"/>
      <c r="AF147" s="1006"/>
      <c r="AG147" s="37"/>
      <c r="AH147" s="37"/>
      <c r="AI147" s="37"/>
      <c r="AJ147" s="1006"/>
      <c r="AK147" s="37"/>
      <c r="AL147" s="1006"/>
      <c r="AM147" s="37"/>
      <c r="AN147" s="1006"/>
      <c r="AO147" s="37"/>
      <c r="AP147" s="1006"/>
      <c r="AQ147" s="37"/>
      <c r="AR147" s="37"/>
      <c r="AS147" s="37"/>
      <c r="AT147" s="37"/>
      <c r="AU147" s="37"/>
      <c r="AV147" s="37"/>
      <c r="AW147" s="37"/>
      <c r="AX147" s="1006"/>
      <c r="AY147" s="37"/>
      <c r="AZ147" s="1006"/>
      <c r="BA147" s="37"/>
      <c r="BB147" s="1006"/>
      <c r="BC147" s="37"/>
      <c r="BD147" s="1006"/>
      <c r="BE147" s="37"/>
      <c r="BF147" s="1006"/>
      <c r="BG147" s="37"/>
      <c r="BH147" s="37"/>
      <c r="BI147" s="37"/>
      <c r="BJ147" s="37"/>
      <c r="BK147" s="37"/>
      <c r="BL147" s="1006"/>
      <c r="BM147" s="37"/>
      <c r="BN147" s="1006"/>
      <c r="BO147" s="37"/>
      <c r="BP147" s="1006"/>
      <c r="BQ147" s="37"/>
      <c r="BR147" s="1006"/>
      <c r="BS147" s="37"/>
      <c r="BT147" s="1006"/>
      <c r="BU147" s="1006"/>
      <c r="BV147" s="1006"/>
      <c r="BW147" s="1006"/>
      <c r="BX147" s="37"/>
      <c r="BY147" s="37"/>
      <c r="BZ147" s="1006"/>
      <c r="CA147" s="37"/>
      <c r="CB147" s="1006"/>
      <c r="CC147" s="37"/>
      <c r="CD147" s="1006"/>
      <c r="CE147" s="37"/>
      <c r="CF147" s="1006"/>
      <c r="CG147" s="37"/>
      <c r="CH147" s="1006"/>
      <c r="CI147" s="1006"/>
      <c r="CJ147" s="1006"/>
      <c r="CK147" s="1006"/>
      <c r="CL147" s="37"/>
      <c r="CM147" s="37"/>
      <c r="CO147" s="1016"/>
      <c r="CQ147" s="1012"/>
      <c r="CS147" s="1012"/>
      <c r="CU147" s="1012"/>
      <c r="CW147" s="1012"/>
      <c r="CY147" s="1012"/>
      <c r="DA147" s="1012"/>
      <c r="DC147" s="1012"/>
      <c r="DE147" s="1012"/>
      <c r="DG147" s="1012"/>
      <c r="DI147" s="1012"/>
      <c r="DK147" s="1012"/>
      <c r="DM147" s="1012"/>
      <c r="DO147" s="1012"/>
      <c r="DQ147" s="1012"/>
      <c r="DS147" s="1012"/>
      <c r="DU147" s="1012"/>
      <c r="DW147" s="1012"/>
      <c r="DY147" s="1012"/>
      <c r="EA147" s="1012"/>
      <c r="EC147" s="1012"/>
      <c r="EE147" s="1012"/>
      <c r="EG147" s="1012"/>
      <c r="EI147" s="1012"/>
      <c r="EK147" s="1012"/>
      <c r="EM147" s="1012"/>
      <c r="EO147" s="1012"/>
      <c r="EQ147" s="1012"/>
      <c r="ES147" s="1012"/>
      <c r="EU147" s="1012"/>
      <c r="EW147" s="1012"/>
      <c r="EY147" s="1012"/>
      <c r="FA147" s="1012"/>
      <c r="FC147" s="1012"/>
      <c r="FE147" s="1012"/>
      <c r="FG147" s="1012"/>
      <c r="FH147" s="1015"/>
      <c r="FI147" s="37"/>
      <c r="FK147" s="1013"/>
      <c r="FL147" s="1012"/>
      <c r="FM147" s="1012"/>
      <c r="FN147" s="1012"/>
      <c r="FP147" s="1014"/>
      <c r="FQ147" s="1014"/>
      <c r="FR147" s="1014"/>
      <c r="FS147" s="1014"/>
      <c r="FT147" s="1014"/>
      <c r="FU147" s="1014"/>
      <c r="FV147" s="1014"/>
      <c r="FW147" s="1014"/>
      <c r="FX147" s="1014"/>
      <c r="FY147" s="1014"/>
      <c r="FZ147" s="1014"/>
      <c r="GA147" s="1014"/>
      <c r="GB147" s="1014"/>
      <c r="GC147" s="1014"/>
      <c r="GD147" s="1014"/>
      <c r="GE147" s="1014"/>
      <c r="GF147" s="1014"/>
      <c r="GG147" s="1014"/>
      <c r="GH147" s="1014"/>
      <c r="GI147" s="1014"/>
      <c r="GJ147" s="1014"/>
      <c r="GK147" s="1014"/>
      <c r="GL147" s="1014"/>
      <c r="GM147" s="1014"/>
      <c r="GN147" s="1014"/>
      <c r="GO147" s="1014"/>
      <c r="GP147" s="1014"/>
      <c r="GQ147" s="1014"/>
      <c r="GR147" s="1014"/>
      <c r="GS147" s="1014"/>
      <c r="GT147" s="1014"/>
      <c r="GU147" s="1014"/>
      <c r="GV147" s="1014"/>
      <c r="GW147" s="1014"/>
      <c r="GX147" s="1014"/>
      <c r="GY147" s="1014"/>
      <c r="GZ147" s="1014"/>
      <c r="HA147" s="1014"/>
      <c r="HB147" s="1014"/>
      <c r="HC147" s="1014"/>
      <c r="HD147" s="1014"/>
      <c r="HE147" s="1014"/>
      <c r="HF147" s="1014"/>
      <c r="HG147" s="1014"/>
      <c r="HH147" s="1014"/>
      <c r="HI147" s="1014"/>
      <c r="HJ147" s="1014"/>
      <c r="HK147" s="1014"/>
      <c r="HL147" s="1014"/>
      <c r="HM147" s="1014"/>
      <c r="HN147" s="1014"/>
      <c r="HO147" s="1014"/>
      <c r="HP147" s="1014"/>
      <c r="HQ147" s="1014"/>
      <c r="HR147" s="1014"/>
      <c r="HS147" s="1014"/>
      <c r="HT147" s="1014"/>
      <c r="HU147" s="1014"/>
      <c r="HV147" s="1014"/>
    </row>
    <row r="148" spans="1:230" s="470" customFormat="1" outlineLevel="1" x14ac:dyDescent="0.25">
      <c r="A148" s="1031">
        <v>42319</v>
      </c>
      <c r="B148" s="1031"/>
      <c r="C148" s="471"/>
      <c r="D148" s="469"/>
      <c r="H148" s="1006"/>
      <c r="I148" s="37"/>
      <c r="J148" s="1006"/>
      <c r="K148" s="37"/>
      <c r="L148" s="1006"/>
      <c r="M148" s="37"/>
      <c r="N148" s="1006"/>
      <c r="O148" s="37"/>
      <c r="P148" s="1006"/>
      <c r="Q148" s="37"/>
      <c r="R148" s="1006"/>
      <c r="S148" s="37"/>
      <c r="T148" s="37"/>
      <c r="U148" s="37"/>
      <c r="V148" s="1006"/>
      <c r="W148" s="37"/>
      <c r="X148" s="1006"/>
      <c r="Y148" s="37"/>
      <c r="Z148" s="1006"/>
      <c r="AA148" s="37"/>
      <c r="AB148" s="1006"/>
      <c r="AC148" s="37"/>
      <c r="AD148" s="1006"/>
      <c r="AE148" s="37"/>
      <c r="AF148" s="1006"/>
      <c r="AG148" s="37"/>
      <c r="AH148" s="37"/>
      <c r="AI148" s="37"/>
      <c r="AJ148" s="1006"/>
      <c r="AK148" s="37"/>
      <c r="AL148" s="1006"/>
      <c r="AM148" s="37"/>
      <c r="AN148" s="1006"/>
      <c r="AO148" s="37"/>
      <c r="AP148" s="1006"/>
      <c r="AQ148" s="37"/>
      <c r="AR148" s="37"/>
      <c r="AS148" s="37"/>
      <c r="AT148" s="37"/>
      <c r="AU148" s="37"/>
      <c r="AV148" s="37"/>
      <c r="AW148" s="37"/>
      <c r="AX148" s="1006"/>
      <c r="AY148" s="37"/>
      <c r="AZ148" s="1006"/>
      <c r="BA148" s="37"/>
      <c r="BB148" s="1006"/>
      <c r="BC148" s="37"/>
      <c r="BD148" s="1006"/>
      <c r="BE148" s="37"/>
      <c r="BF148" s="1006"/>
      <c r="BG148" s="37"/>
      <c r="BH148" s="37"/>
      <c r="BI148" s="37"/>
      <c r="BJ148" s="37"/>
      <c r="BK148" s="37"/>
      <c r="BL148" s="1006"/>
      <c r="BM148" s="37"/>
      <c r="BN148" s="1006"/>
      <c r="BO148" s="37"/>
      <c r="BP148" s="1006"/>
      <c r="BQ148" s="37"/>
      <c r="BR148" s="1006"/>
      <c r="BS148" s="37"/>
      <c r="BT148" s="1006"/>
      <c r="BU148" s="1006"/>
      <c r="BV148" s="1006"/>
      <c r="BW148" s="1006"/>
      <c r="BX148" s="37"/>
      <c r="BY148" s="37"/>
      <c r="BZ148" s="1006"/>
      <c r="CA148" s="37"/>
      <c r="CB148" s="1006"/>
      <c r="CC148" s="37"/>
      <c r="CD148" s="1006"/>
      <c r="CE148" s="37"/>
      <c r="CF148" s="1006"/>
      <c r="CG148" s="37"/>
      <c r="CH148" s="1006"/>
      <c r="CI148" s="1006"/>
      <c r="CJ148" s="1006"/>
      <c r="CK148" s="1006"/>
      <c r="CL148" s="37"/>
      <c r="CM148" s="37"/>
      <c r="CO148" s="1016"/>
      <c r="CQ148" s="1012"/>
      <c r="CS148" s="1012"/>
      <c r="CU148" s="1012"/>
      <c r="CW148" s="1012"/>
      <c r="CY148" s="1012"/>
      <c r="DA148" s="1012"/>
      <c r="DC148" s="1012"/>
      <c r="DE148" s="1012"/>
      <c r="DG148" s="1012"/>
      <c r="DI148" s="1012"/>
      <c r="DK148" s="1012"/>
      <c r="DM148" s="1012"/>
      <c r="DO148" s="1012"/>
      <c r="DQ148" s="1012"/>
      <c r="DS148" s="1012"/>
      <c r="DU148" s="1012"/>
      <c r="DW148" s="1012"/>
      <c r="DY148" s="1012"/>
      <c r="EA148" s="1012"/>
      <c r="EC148" s="1012"/>
      <c r="EE148" s="1012"/>
      <c r="EG148" s="1012"/>
      <c r="EI148" s="1012"/>
      <c r="EK148" s="1012"/>
      <c r="EM148" s="1012"/>
      <c r="EO148" s="1012"/>
      <c r="EQ148" s="1012"/>
      <c r="ES148" s="1012"/>
      <c r="EU148" s="1012"/>
      <c r="EW148" s="1012"/>
      <c r="EY148" s="1012"/>
      <c r="FA148" s="1012"/>
      <c r="FC148" s="1012"/>
      <c r="FE148" s="1012"/>
      <c r="FG148" s="1012"/>
      <c r="FH148" s="1015"/>
      <c r="FI148" s="37"/>
      <c r="FK148" s="1013"/>
      <c r="FL148" s="1012"/>
      <c r="FM148" s="1012"/>
      <c r="FN148" s="1012"/>
      <c r="FP148" s="1014"/>
      <c r="FQ148" s="1014"/>
      <c r="FR148" s="1014"/>
      <c r="FS148" s="1014"/>
      <c r="FT148" s="1014"/>
      <c r="FU148" s="1014"/>
      <c r="FV148" s="1014"/>
      <c r="FW148" s="1014"/>
      <c r="FX148" s="1014"/>
      <c r="FY148" s="1014"/>
      <c r="FZ148" s="1014"/>
      <c r="GA148" s="1014"/>
      <c r="GB148" s="1014"/>
      <c r="GC148" s="1014"/>
      <c r="GD148" s="1014"/>
      <c r="GE148" s="1014"/>
      <c r="GF148" s="1014"/>
      <c r="GG148" s="1014"/>
      <c r="GH148" s="1014"/>
      <c r="GI148" s="1014"/>
      <c r="GJ148" s="1014"/>
      <c r="GK148" s="1014"/>
      <c r="GL148" s="1014"/>
      <c r="GM148" s="1014"/>
      <c r="GN148" s="1014"/>
      <c r="GO148" s="1014"/>
      <c r="GP148" s="1014"/>
      <c r="GQ148" s="1014"/>
      <c r="GR148" s="1014"/>
      <c r="GS148" s="1014"/>
      <c r="GT148" s="1014"/>
      <c r="GU148" s="1014"/>
      <c r="GV148" s="1014"/>
      <c r="GW148" s="1014"/>
      <c r="GX148" s="1014"/>
      <c r="GY148" s="1014"/>
      <c r="GZ148" s="1014"/>
      <c r="HA148" s="1014"/>
      <c r="HB148" s="1014"/>
      <c r="HC148" s="1014"/>
      <c r="HD148" s="1014"/>
      <c r="HE148" s="1014"/>
      <c r="HF148" s="1014"/>
      <c r="HG148" s="1014"/>
      <c r="HH148" s="1014"/>
      <c r="HI148" s="1014"/>
      <c r="HJ148" s="1014"/>
      <c r="HK148" s="1014"/>
      <c r="HL148" s="1014"/>
      <c r="HM148" s="1014"/>
      <c r="HN148" s="1014"/>
      <c r="HO148" s="1014"/>
      <c r="HP148" s="1014"/>
      <c r="HQ148" s="1014"/>
      <c r="HR148" s="1014"/>
      <c r="HS148" s="1014"/>
      <c r="HT148" s="1014"/>
      <c r="HU148" s="1014"/>
      <c r="HV148" s="1014"/>
    </row>
    <row r="149" spans="1:230" s="470" customFormat="1" outlineLevel="1" x14ac:dyDescent="0.25">
      <c r="A149" s="1031">
        <v>42334</v>
      </c>
      <c r="B149" s="1031"/>
      <c r="C149" s="471"/>
      <c r="D149" s="469"/>
      <c r="H149" s="1006"/>
      <c r="I149" s="37"/>
      <c r="J149" s="1006"/>
      <c r="K149" s="37"/>
      <c r="L149" s="1006"/>
      <c r="M149" s="37"/>
      <c r="N149" s="1006"/>
      <c r="O149" s="37"/>
      <c r="P149" s="1006"/>
      <c r="Q149" s="37"/>
      <c r="R149" s="1006"/>
      <c r="S149" s="37"/>
      <c r="T149" s="37"/>
      <c r="U149" s="37"/>
      <c r="V149" s="1006"/>
      <c r="W149" s="37"/>
      <c r="X149" s="1006"/>
      <c r="Y149" s="37"/>
      <c r="Z149" s="1006"/>
      <c r="AA149" s="37"/>
      <c r="AB149" s="1006"/>
      <c r="AC149" s="37"/>
      <c r="AD149" s="1006"/>
      <c r="AE149" s="37"/>
      <c r="AF149" s="1006"/>
      <c r="AG149" s="37"/>
      <c r="AH149" s="37"/>
      <c r="AI149" s="37"/>
      <c r="AJ149" s="1006"/>
      <c r="AK149" s="37"/>
      <c r="AL149" s="1006"/>
      <c r="AM149" s="37"/>
      <c r="AN149" s="1006"/>
      <c r="AO149" s="37"/>
      <c r="AP149" s="1006"/>
      <c r="AQ149" s="37"/>
      <c r="AR149" s="37"/>
      <c r="AS149" s="37"/>
      <c r="AT149" s="37"/>
      <c r="AU149" s="37"/>
      <c r="AV149" s="37"/>
      <c r="AW149" s="37"/>
      <c r="AX149" s="1006"/>
      <c r="AY149" s="37"/>
      <c r="AZ149" s="1006"/>
      <c r="BA149" s="37"/>
      <c r="BB149" s="1006"/>
      <c r="BC149" s="37"/>
      <c r="BD149" s="1006"/>
      <c r="BE149" s="37"/>
      <c r="BF149" s="1006"/>
      <c r="BG149" s="37"/>
      <c r="BH149" s="37"/>
      <c r="BI149" s="37"/>
      <c r="BJ149" s="37"/>
      <c r="BK149" s="37"/>
      <c r="BL149" s="1006"/>
      <c r="BM149" s="37"/>
      <c r="BN149" s="1006"/>
      <c r="BO149" s="37"/>
      <c r="BP149" s="1006"/>
      <c r="BQ149" s="37"/>
      <c r="BR149" s="1006"/>
      <c r="BS149" s="37"/>
      <c r="BT149" s="1006"/>
      <c r="BU149" s="1006"/>
      <c r="BV149" s="1006"/>
      <c r="BW149" s="1006"/>
      <c r="BX149" s="37"/>
      <c r="BY149" s="37"/>
      <c r="BZ149" s="1006"/>
      <c r="CA149" s="37"/>
      <c r="CB149" s="1006"/>
      <c r="CC149" s="37"/>
      <c r="CD149" s="1006"/>
      <c r="CE149" s="37"/>
      <c r="CF149" s="1006"/>
      <c r="CG149" s="37"/>
      <c r="CH149" s="1006"/>
      <c r="CI149" s="1006"/>
      <c r="CJ149" s="1006"/>
      <c r="CK149" s="1006"/>
      <c r="CL149" s="37"/>
      <c r="CM149" s="37"/>
      <c r="CO149" s="1016"/>
      <c r="CQ149" s="1012"/>
      <c r="CS149" s="1012"/>
      <c r="CU149" s="1012"/>
      <c r="CW149" s="1012"/>
      <c r="CY149" s="1012"/>
      <c r="DA149" s="1012"/>
      <c r="DC149" s="1012"/>
      <c r="DE149" s="1012"/>
      <c r="DG149" s="1012"/>
      <c r="DI149" s="1012"/>
      <c r="DK149" s="1012"/>
      <c r="DM149" s="1012"/>
      <c r="DO149" s="1012"/>
      <c r="DQ149" s="1012"/>
      <c r="DS149" s="1012"/>
      <c r="DU149" s="1012"/>
      <c r="DW149" s="1012"/>
      <c r="DY149" s="1012"/>
      <c r="EA149" s="1012"/>
      <c r="EC149" s="1012"/>
      <c r="EE149" s="1012"/>
      <c r="EG149" s="1012"/>
      <c r="EI149" s="1012"/>
      <c r="EK149" s="1012"/>
      <c r="EM149" s="1012"/>
      <c r="EO149" s="1012"/>
      <c r="EQ149" s="1012"/>
      <c r="ES149" s="1012"/>
      <c r="EU149" s="1012"/>
      <c r="EW149" s="1012"/>
      <c r="EY149" s="1012"/>
      <c r="FA149" s="1012"/>
      <c r="FC149" s="1012"/>
      <c r="FE149" s="1012"/>
      <c r="FG149" s="1012"/>
      <c r="FH149" s="1015"/>
      <c r="FI149" s="37"/>
      <c r="FK149" s="1013"/>
      <c r="FL149" s="1012"/>
      <c r="FM149" s="1012"/>
      <c r="FN149" s="1012"/>
      <c r="FP149" s="1014"/>
      <c r="FQ149" s="1014"/>
      <c r="FR149" s="1014"/>
      <c r="FS149" s="1014"/>
      <c r="FT149" s="1014"/>
      <c r="FU149" s="1014"/>
      <c r="FV149" s="1014"/>
      <c r="FW149" s="1014"/>
      <c r="FX149" s="1014"/>
      <c r="FY149" s="1014"/>
      <c r="FZ149" s="1014"/>
      <c r="GA149" s="1014"/>
      <c r="GB149" s="1014"/>
      <c r="GC149" s="1014"/>
      <c r="GD149" s="1014"/>
      <c r="GE149" s="1014"/>
      <c r="GF149" s="1014"/>
      <c r="GG149" s="1014"/>
      <c r="GH149" s="1014"/>
      <c r="GI149" s="1014"/>
      <c r="GJ149" s="1014"/>
      <c r="GK149" s="1014"/>
      <c r="GL149" s="1014"/>
      <c r="GM149" s="1014"/>
      <c r="GN149" s="1014"/>
      <c r="GO149" s="1014"/>
      <c r="GP149" s="1014"/>
      <c r="GQ149" s="1014"/>
      <c r="GR149" s="1014"/>
      <c r="GS149" s="1014"/>
      <c r="GT149" s="1014"/>
      <c r="GU149" s="1014"/>
      <c r="GV149" s="1014"/>
      <c r="GW149" s="1014"/>
      <c r="GX149" s="1014"/>
      <c r="GY149" s="1014"/>
      <c r="GZ149" s="1014"/>
      <c r="HA149" s="1014"/>
      <c r="HB149" s="1014"/>
      <c r="HC149" s="1014"/>
      <c r="HD149" s="1014"/>
      <c r="HE149" s="1014"/>
      <c r="HF149" s="1014"/>
      <c r="HG149" s="1014"/>
      <c r="HH149" s="1014"/>
      <c r="HI149" s="1014"/>
      <c r="HJ149" s="1014"/>
      <c r="HK149" s="1014"/>
      <c r="HL149" s="1014"/>
      <c r="HM149" s="1014"/>
      <c r="HN149" s="1014"/>
      <c r="HO149" s="1014"/>
      <c r="HP149" s="1014"/>
      <c r="HQ149" s="1014"/>
      <c r="HR149" s="1014"/>
      <c r="HS149" s="1014"/>
      <c r="HT149" s="1014"/>
      <c r="HU149" s="1014"/>
      <c r="HV149" s="1014"/>
    </row>
    <row r="150" spans="1:230" s="470" customFormat="1" outlineLevel="1" x14ac:dyDescent="0.25">
      <c r="A150" s="1031">
        <v>42335</v>
      </c>
      <c r="B150" s="1031"/>
      <c r="C150" s="471"/>
      <c r="D150" s="469"/>
      <c r="H150" s="1006"/>
      <c r="I150" s="37"/>
      <c r="J150" s="1006"/>
      <c r="K150" s="37"/>
      <c r="L150" s="1006"/>
      <c r="M150" s="37"/>
      <c r="N150" s="1006"/>
      <c r="O150" s="37"/>
      <c r="P150" s="1006"/>
      <c r="Q150" s="37"/>
      <c r="R150" s="1006"/>
      <c r="S150" s="37"/>
      <c r="T150" s="37"/>
      <c r="U150" s="37"/>
      <c r="V150" s="1006"/>
      <c r="W150" s="37"/>
      <c r="X150" s="1006"/>
      <c r="Y150" s="37"/>
      <c r="Z150" s="1006"/>
      <c r="AA150" s="37"/>
      <c r="AB150" s="1006"/>
      <c r="AC150" s="37"/>
      <c r="AD150" s="1006"/>
      <c r="AE150" s="37"/>
      <c r="AF150" s="1006"/>
      <c r="AG150" s="37"/>
      <c r="AH150" s="37"/>
      <c r="AI150" s="37"/>
      <c r="AJ150" s="1006"/>
      <c r="AK150" s="37"/>
      <c r="AL150" s="1006"/>
      <c r="AM150" s="37"/>
      <c r="AN150" s="1006"/>
      <c r="AO150" s="37"/>
      <c r="AP150" s="1006"/>
      <c r="AQ150" s="37"/>
      <c r="AR150" s="37"/>
      <c r="AS150" s="37"/>
      <c r="AT150" s="37"/>
      <c r="AU150" s="37"/>
      <c r="AV150" s="37"/>
      <c r="AW150" s="37"/>
      <c r="AX150" s="1006"/>
      <c r="AY150" s="37"/>
      <c r="AZ150" s="1006"/>
      <c r="BA150" s="37"/>
      <c r="BB150" s="1006"/>
      <c r="BC150" s="37"/>
      <c r="BD150" s="1006"/>
      <c r="BE150" s="37"/>
      <c r="BF150" s="1006"/>
      <c r="BG150" s="37"/>
      <c r="BH150" s="37"/>
      <c r="BI150" s="37"/>
      <c r="BJ150" s="37"/>
      <c r="BK150" s="37"/>
      <c r="BL150" s="1006"/>
      <c r="BM150" s="37"/>
      <c r="BN150" s="1006"/>
      <c r="BO150" s="37"/>
      <c r="BP150" s="1006"/>
      <c r="BQ150" s="37"/>
      <c r="BR150" s="1006"/>
      <c r="BS150" s="37"/>
      <c r="BT150" s="1006"/>
      <c r="BU150" s="1006"/>
      <c r="BV150" s="1006"/>
      <c r="BW150" s="1006"/>
      <c r="BX150" s="37"/>
      <c r="BY150" s="37"/>
      <c r="BZ150" s="1006"/>
      <c r="CA150" s="37"/>
      <c r="CB150" s="1006"/>
      <c r="CC150" s="37"/>
      <c r="CD150" s="1006"/>
      <c r="CE150" s="37"/>
      <c r="CF150" s="1006"/>
      <c r="CG150" s="37"/>
      <c r="CH150" s="1006"/>
      <c r="CI150" s="1006"/>
      <c r="CJ150" s="1006"/>
      <c r="CK150" s="1006"/>
      <c r="CL150" s="37"/>
      <c r="CM150" s="37"/>
      <c r="CO150" s="1016"/>
      <c r="CQ150" s="1012"/>
      <c r="CS150" s="1012"/>
      <c r="CU150" s="1012"/>
      <c r="CW150" s="1012"/>
      <c r="CY150" s="1012"/>
      <c r="DA150" s="1012"/>
      <c r="DC150" s="1012"/>
      <c r="DE150" s="1012"/>
      <c r="DG150" s="1012"/>
      <c r="DI150" s="1012"/>
      <c r="DK150" s="1012"/>
      <c r="DM150" s="1012"/>
      <c r="DO150" s="1012"/>
      <c r="DQ150" s="1012"/>
      <c r="DS150" s="1012"/>
      <c r="DU150" s="1012"/>
      <c r="DW150" s="1012"/>
      <c r="DY150" s="1012"/>
      <c r="EA150" s="1012"/>
      <c r="EC150" s="1012"/>
      <c r="EE150" s="1012"/>
      <c r="EG150" s="1012"/>
      <c r="EI150" s="1012"/>
      <c r="EK150" s="1012"/>
      <c r="EM150" s="1012"/>
      <c r="EO150" s="1012"/>
      <c r="EQ150" s="1012"/>
      <c r="ES150" s="1012"/>
      <c r="EU150" s="1012"/>
      <c r="EW150" s="1012"/>
      <c r="EY150" s="1012"/>
      <c r="FA150" s="1012"/>
      <c r="FC150" s="1012"/>
      <c r="FE150" s="1012"/>
      <c r="FG150" s="1012"/>
      <c r="FH150" s="1015"/>
      <c r="FI150" s="37"/>
      <c r="FK150" s="1013"/>
      <c r="FL150" s="1012"/>
      <c r="FM150" s="1012"/>
      <c r="FN150" s="1012"/>
      <c r="FP150" s="1014"/>
      <c r="FQ150" s="1014"/>
      <c r="FR150" s="1014"/>
      <c r="FS150" s="1014"/>
      <c r="FT150" s="1014"/>
      <c r="FU150" s="1014"/>
      <c r="FV150" s="1014"/>
      <c r="FW150" s="1014"/>
      <c r="FX150" s="1014"/>
      <c r="FY150" s="1014"/>
      <c r="FZ150" s="1014"/>
      <c r="GA150" s="1014"/>
      <c r="GB150" s="1014"/>
      <c r="GC150" s="1014"/>
      <c r="GD150" s="1014"/>
      <c r="GE150" s="1014"/>
      <c r="GF150" s="1014"/>
      <c r="GG150" s="1014"/>
      <c r="GH150" s="1014"/>
      <c r="GI150" s="1014"/>
      <c r="GJ150" s="1014"/>
      <c r="GK150" s="1014"/>
      <c r="GL150" s="1014"/>
      <c r="GM150" s="1014"/>
      <c r="GN150" s="1014"/>
      <c r="GO150" s="1014"/>
      <c r="GP150" s="1014"/>
      <c r="GQ150" s="1014"/>
      <c r="GR150" s="1014"/>
      <c r="GS150" s="1014"/>
      <c r="GT150" s="1014"/>
      <c r="GU150" s="1014"/>
      <c r="GV150" s="1014"/>
      <c r="GW150" s="1014"/>
      <c r="GX150" s="1014"/>
      <c r="GY150" s="1014"/>
      <c r="GZ150" s="1014"/>
      <c r="HA150" s="1014"/>
      <c r="HB150" s="1014"/>
      <c r="HC150" s="1014"/>
      <c r="HD150" s="1014"/>
      <c r="HE150" s="1014"/>
      <c r="HF150" s="1014"/>
      <c r="HG150" s="1014"/>
      <c r="HH150" s="1014"/>
      <c r="HI150" s="1014"/>
      <c r="HJ150" s="1014"/>
      <c r="HK150" s="1014"/>
      <c r="HL150" s="1014"/>
      <c r="HM150" s="1014"/>
      <c r="HN150" s="1014"/>
      <c r="HO150" s="1014"/>
      <c r="HP150" s="1014"/>
      <c r="HQ150" s="1014"/>
      <c r="HR150" s="1014"/>
      <c r="HS150" s="1014"/>
      <c r="HT150" s="1014"/>
      <c r="HU150" s="1014"/>
      <c r="HV150" s="1014"/>
    </row>
    <row r="151" spans="1:230" s="470" customFormat="1" outlineLevel="1" x14ac:dyDescent="0.25">
      <c r="A151" s="1031">
        <v>42361</v>
      </c>
      <c r="B151" s="1031"/>
      <c r="C151" s="471"/>
      <c r="D151" s="469"/>
      <c r="H151" s="1006"/>
      <c r="I151" s="37"/>
      <c r="J151" s="1006"/>
      <c r="K151" s="37"/>
      <c r="L151" s="1006"/>
      <c r="M151" s="37"/>
      <c r="N151" s="1006"/>
      <c r="O151" s="37"/>
      <c r="P151" s="1006"/>
      <c r="Q151" s="37"/>
      <c r="R151" s="1006"/>
      <c r="S151" s="37"/>
      <c r="T151" s="37"/>
      <c r="U151" s="37"/>
      <c r="V151" s="1006"/>
      <c r="W151" s="37"/>
      <c r="X151" s="1006"/>
      <c r="Y151" s="37"/>
      <c r="Z151" s="1006"/>
      <c r="AA151" s="37"/>
      <c r="AB151" s="1006"/>
      <c r="AC151" s="37"/>
      <c r="AD151" s="1006"/>
      <c r="AE151" s="37"/>
      <c r="AF151" s="1006"/>
      <c r="AG151" s="37"/>
      <c r="AH151" s="37"/>
      <c r="AI151" s="37"/>
      <c r="AJ151" s="1006"/>
      <c r="AK151" s="37"/>
      <c r="AL151" s="1006"/>
      <c r="AM151" s="37"/>
      <c r="AN151" s="1006"/>
      <c r="AO151" s="37"/>
      <c r="AP151" s="1006"/>
      <c r="AQ151" s="37"/>
      <c r="AR151" s="37"/>
      <c r="AS151" s="37"/>
      <c r="AT151" s="37"/>
      <c r="AU151" s="37"/>
      <c r="AV151" s="37"/>
      <c r="AW151" s="37"/>
      <c r="AX151" s="1006"/>
      <c r="AY151" s="37"/>
      <c r="AZ151" s="1006"/>
      <c r="BA151" s="37"/>
      <c r="BB151" s="1006"/>
      <c r="BC151" s="37"/>
      <c r="BD151" s="1006"/>
      <c r="BE151" s="37"/>
      <c r="BF151" s="1006"/>
      <c r="BG151" s="37"/>
      <c r="BH151" s="37"/>
      <c r="BI151" s="37"/>
      <c r="BJ151" s="37"/>
      <c r="BK151" s="37"/>
      <c r="BL151" s="1006"/>
      <c r="BM151" s="37"/>
      <c r="BN151" s="1006"/>
      <c r="BO151" s="37"/>
      <c r="BP151" s="1006"/>
      <c r="BQ151" s="37"/>
      <c r="BR151" s="1006"/>
      <c r="BS151" s="37"/>
      <c r="BT151" s="1006"/>
      <c r="BU151" s="1006"/>
      <c r="BV151" s="1006"/>
      <c r="BW151" s="1006"/>
      <c r="BX151" s="37"/>
      <c r="BY151" s="37"/>
      <c r="BZ151" s="1006"/>
      <c r="CA151" s="37"/>
      <c r="CB151" s="1006"/>
      <c r="CC151" s="37"/>
      <c r="CD151" s="1006"/>
      <c r="CE151" s="37"/>
      <c r="CF151" s="1006"/>
      <c r="CG151" s="37"/>
      <c r="CH151" s="1006"/>
      <c r="CI151" s="1006"/>
      <c r="CJ151" s="1006"/>
      <c r="CK151" s="1006"/>
      <c r="CL151" s="37"/>
      <c r="CM151" s="37"/>
      <c r="CO151" s="1016"/>
      <c r="CQ151" s="1012"/>
      <c r="CS151" s="1012"/>
      <c r="CU151" s="1012"/>
      <c r="CW151" s="1012"/>
      <c r="CY151" s="1012"/>
      <c r="DA151" s="1012"/>
      <c r="DC151" s="1012"/>
      <c r="DE151" s="1012"/>
      <c r="DG151" s="1012"/>
      <c r="DI151" s="1012"/>
      <c r="DK151" s="1012"/>
      <c r="DM151" s="1012"/>
      <c r="DO151" s="1012"/>
      <c r="DQ151" s="1012"/>
      <c r="DS151" s="1012"/>
      <c r="DU151" s="1012"/>
      <c r="DW151" s="1012"/>
      <c r="DY151" s="1012"/>
      <c r="EA151" s="1012"/>
      <c r="EC151" s="1012"/>
      <c r="EE151" s="1012"/>
      <c r="EG151" s="1012"/>
      <c r="EI151" s="1012"/>
      <c r="EK151" s="1012"/>
      <c r="EM151" s="1012"/>
      <c r="EO151" s="1012"/>
      <c r="EQ151" s="1012"/>
      <c r="ES151" s="1012"/>
      <c r="EU151" s="1012"/>
      <c r="EW151" s="1012"/>
      <c r="EY151" s="1012"/>
      <c r="FA151" s="1012"/>
      <c r="FC151" s="1012"/>
      <c r="FE151" s="1012"/>
      <c r="FG151" s="1012"/>
      <c r="FH151" s="1015"/>
      <c r="FI151" s="37"/>
      <c r="FK151" s="1013"/>
      <c r="FL151" s="1012"/>
      <c r="FM151" s="1012"/>
      <c r="FN151" s="1012"/>
      <c r="FP151" s="1014"/>
      <c r="FQ151" s="1014"/>
      <c r="FR151" s="1014"/>
      <c r="FS151" s="1014"/>
      <c r="FT151" s="1014"/>
      <c r="FU151" s="1014"/>
      <c r="FV151" s="1014"/>
      <c r="FW151" s="1014"/>
      <c r="FX151" s="1014"/>
      <c r="FY151" s="1014"/>
      <c r="FZ151" s="1014"/>
      <c r="GA151" s="1014"/>
      <c r="GB151" s="1014"/>
      <c r="GC151" s="1014"/>
      <c r="GD151" s="1014"/>
      <c r="GE151" s="1014"/>
      <c r="GF151" s="1014"/>
      <c r="GG151" s="1014"/>
      <c r="GH151" s="1014"/>
      <c r="GI151" s="1014"/>
      <c r="GJ151" s="1014"/>
      <c r="GK151" s="1014"/>
      <c r="GL151" s="1014"/>
      <c r="GM151" s="1014"/>
      <c r="GN151" s="1014"/>
      <c r="GO151" s="1014"/>
      <c r="GP151" s="1014"/>
      <c r="GQ151" s="1014"/>
      <c r="GR151" s="1014"/>
      <c r="GS151" s="1014"/>
      <c r="GT151" s="1014"/>
      <c r="GU151" s="1014"/>
      <c r="GV151" s="1014"/>
      <c r="GW151" s="1014"/>
      <c r="GX151" s="1014"/>
      <c r="GY151" s="1014"/>
      <c r="GZ151" s="1014"/>
      <c r="HA151" s="1014"/>
      <c r="HB151" s="1014"/>
      <c r="HC151" s="1014"/>
      <c r="HD151" s="1014"/>
      <c r="HE151" s="1014"/>
      <c r="HF151" s="1014"/>
      <c r="HG151" s="1014"/>
      <c r="HH151" s="1014"/>
      <c r="HI151" s="1014"/>
      <c r="HJ151" s="1014"/>
      <c r="HK151" s="1014"/>
      <c r="HL151" s="1014"/>
      <c r="HM151" s="1014"/>
      <c r="HN151" s="1014"/>
      <c r="HO151" s="1014"/>
      <c r="HP151" s="1014"/>
      <c r="HQ151" s="1014"/>
      <c r="HR151" s="1014"/>
      <c r="HS151" s="1014"/>
      <c r="HT151" s="1014"/>
      <c r="HU151" s="1014"/>
      <c r="HV151" s="1014"/>
    </row>
    <row r="152" spans="1:230" s="470" customFormat="1" outlineLevel="1" x14ac:dyDescent="0.25">
      <c r="A152" s="1031">
        <v>42362</v>
      </c>
      <c r="B152" s="1031"/>
      <c r="C152" s="471"/>
      <c r="D152" s="469"/>
      <c r="H152" s="1006"/>
      <c r="I152" s="37"/>
      <c r="J152" s="1006"/>
      <c r="K152" s="37"/>
      <c r="L152" s="1006"/>
      <c r="M152" s="37"/>
      <c r="N152" s="1006"/>
      <c r="O152" s="37"/>
      <c r="P152" s="1006"/>
      <c r="Q152" s="37"/>
      <c r="R152" s="1006"/>
      <c r="S152" s="37"/>
      <c r="T152" s="37"/>
      <c r="U152" s="37"/>
      <c r="V152" s="1006"/>
      <c r="W152" s="37"/>
      <c r="X152" s="1006"/>
      <c r="Y152" s="37"/>
      <c r="Z152" s="1006"/>
      <c r="AA152" s="37"/>
      <c r="AB152" s="1006"/>
      <c r="AC152" s="37"/>
      <c r="AD152" s="1006"/>
      <c r="AE152" s="37"/>
      <c r="AF152" s="1006"/>
      <c r="AG152" s="37"/>
      <c r="AH152" s="37"/>
      <c r="AI152" s="37"/>
      <c r="AJ152" s="1006"/>
      <c r="AK152" s="37"/>
      <c r="AL152" s="1006"/>
      <c r="AM152" s="37"/>
      <c r="AN152" s="1006"/>
      <c r="AO152" s="37"/>
      <c r="AP152" s="1006"/>
      <c r="AQ152" s="37"/>
      <c r="AR152" s="37"/>
      <c r="AS152" s="37"/>
      <c r="AT152" s="37"/>
      <c r="AU152" s="37"/>
      <c r="AV152" s="37"/>
      <c r="AW152" s="37"/>
      <c r="AX152" s="1006"/>
      <c r="AY152" s="37"/>
      <c r="AZ152" s="1006"/>
      <c r="BA152" s="37"/>
      <c r="BB152" s="1006"/>
      <c r="BC152" s="37"/>
      <c r="BD152" s="1006"/>
      <c r="BE152" s="37"/>
      <c r="BF152" s="1006"/>
      <c r="BG152" s="37"/>
      <c r="BH152" s="37"/>
      <c r="BI152" s="37"/>
      <c r="BJ152" s="37"/>
      <c r="BK152" s="37"/>
      <c r="BL152" s="1006"/>
      <c r="BM152" s="37"/>
      <c r="BN152" s="1006"/>
      <c r="BO152" s="37"/>
      <c r="BP152" s="1006"/>
      <c r="BQ152" s="37"/>
      <c r="BR152" s="1006"/>
      <c r="BS152" s="37"/>
      <c r="BT152" s="1006"/>
      <c r="BU152" s="1006"/>
      <c r="BV152" s="1006"/>
      <c r="BW152" s="1006"/>
      <c r="BX152" s="37"/>
      <c r="BY152" s="37"/>
      <c r="BZ152" s="1006"/>
      <c r="CA152" s="37"/>
      <c r="CB152" s="1006"/>
      <c r="CC152" s="37"/>
      <c r="CD152" s="1006"/>
      <c r="CE152" s="37"/>
      <c r="CF152" s="1006"/>
      <c r="CG152" s="37"/>
      <c r="CH152" s="1006"/>
      <c r="CI152" s="1006"/>
      <c r="CJ152" s="1006"/>
      <c r="CK152" s="1006"/>
      <c r="CL152" s="37"/>
      <c r="CM152" s="37"/>
      <c r="CO152" s="1016"/>
      <c r="CQ152" s="1012"/>
      <c r="CS152" s="1012"/>
      <c r="CU152" s="1012"/>
      <c r="CW152" s="1012"/>
      <c r="CY152" s="1012"/>
      <c r="DA152" s="1012"/>
      <c r="DC152" s="1012"/>
      <c r="DE152" s="1012"/>
      <c r="DG152" s="1012"/>
      <c r="DI152" s="1012"/>
      <c r="DK152" s="1012"/>
      <c r="DM152" s="1012"/>
      <c r="DO152" s="1012"/>
      <c r="DQ152" s="1012"/>
      <c r="DS152" s="1012"/>
      <c r="DU152" s="1012"/>
      <c r="DW152" s="1012"/>
      <c r="DY152" s="1012"/>
      <c r="EA152" s="1012"/>
      <c r="EC152" s="1012"/>
      <c r="EE152" s="1012"/>
      <c r="EG152" s="1012"/>
      <c r="EI152" s="1012"/>
      <c r="EK152" s="1012"/>
      <c r="EM152" s="1012"/>
      <c r="EO152" s="1012"/>
      <c r="EQ152" s="1012"/>
      <c r="ES152" s="1012"/>
      <c r="EU152" s="1012"/>
      <c r="EW152" s="1012"/>
      <c r="EY152" s="1012"/>
      <c r="FA152" s="1012"/>
      <c r="FC152" s="1012"/>
      <c r="FE152" s="1012"/>
      <c r="FG152" s="1012"/>
      <c r="FH152" s="1015"/>
      <c r="FI152" s="37"/>
      <c r="FK152" s="1013"/>
      <c r="FL152" s="1012"/>
      <c r="FM152" s="1012"/>
      <c r="FN152" s="1012"/>
      <c r="FP152" s="1014"/>
      <c r="FQ152" s="1014"/>
      <c r="FR152" s="1014"/>
      <c r="FS152" s="1014"/>
      <c r="FT152" s="1014"/>
      <c r="FU152" s="1014"/>
      <c r="FV152" s="1014"/>
      <c r="FW152" s="1014"/>
      <c r="FX152" s="1014"/>
      <c r="FY152" s="1014"/>
      <c r="FZ152" s="1014"/>
      <c r="GA152" s="1014"/>
      <c r="GB152" s="1014"/>
      <c r="GC152" s="1014"/>
      <c r="GD152" s="1014"/>
      <c r="GE152" s="1014"/>
      <c r="GF152" s="1014"/>
      <c r="GG152" s="1014"/>
      <c r="GH152" s="1014"/>
      <c r="GI152" s="1014"/>
      <c r="GJ152" s="1014"/>
      <c r="GK152" s="1014"/>
      <c r="GL152" s="1014"/>
      <c r="GM152" s="1014"/>
      <c r="GN152" s="1014"/>
      <c r="GO152" s="1014"/>
      <c r="GP152" s="1014"/>
      <c r="GQ152" s="1014"/>
      <c r="GR152" s="1014"/>
      <c r="GS152" s="1014"/>
      <c r="GT152" s="1014"/>
      <c r="GU152" s="1014"/>
      <c r="GV152" s="1014"/>
      <c r="GW152" s="1014"/>
      <c r="GX152" s="1014"/>
      <c r="GY152" s="1014"/>
      <c r="GZ152" s="1014"/>
      <c r="HA152" s="1014"/>
      <c r="HB152" s="1014"/>
      <c r="HC152" s="1014"/>
      <c r="HD152" s="1014"/>
      <c r="HE152" s="1014"/>
      <c r="HF152" s="1014"/>
      <c r="HG152" s="1014"/>
      <c r="HH152" s="1014"/>
      <c r="HI152" s="1014"/>
      <c r="HJ152" s="1014"/>
      <c r="HK152" s="1014"/>
      <c r="HL152" s="1014"/>
      <c r="HM152" s="1014"/>
      <c r="HN152" s="1014"/>
      <c r="HO152" s="1014"/>
      <c r="HP152" s="1014"/>
      <c r="HQ152" s="1014"/>
      <c r="HR152" s="1014"/>
      <c r="HS152" s="1014"/>
      <c r="HT152" s="1014"/>
      <c r="HU152" s="1014"/>
      <c r="HV152" s="1014"/>
    </row>
    <row r="153" spans="1:230" s="470" customFormat="1" outlineLevel="1" x14ac:dyDescent="0.25">
      <c r="A153" s="1031">
        <v>42363</v>
      </c>
      <c r="B153" s="1031"/>
      <c r="C153" s="471"/>
      <c r="D153" s="469"/>
      <c r="H153" s="1006"/>
      <c r="I153" s="37"/>
      <c r="J153" s="1006"/>
      <c r="K153" s="37"/>
      <c r="L153" s="1006"/>
      <c r="M153" s="37"/>
      <c r="N153" s="1006"/>
      <c r="O153" s="37"/>
      <c r="P153" s="1006"/>
      <c r="Q153" s="37"/>
      <c r="R153" s="1006"/>
      <c r="S153" s="37"/>
      <c r="T153" s="37"/>
      <c r="U153" s="37"/>
      <c r="V153" s="1006"/>
      <c r="W153" s="37"/>
      <c r="X153" s="1006"/>
      <c r="Y153" s="37"/>
      <c r="Z153" s="1006"/>
      <c r="AA153" s="37"/>
      <c r="AB153" s="1006"/>
      <c r="AC153" s="37"/>
      <c r="AD153" s="1006"/>
      <c r="AE153" s="37"/>
      <c r="AF153" s="1006"/>
      <c r="AG153" s="37"/>
      <c r="AH153" s="37"/>
      <c r="AI153" s="37"/>
      <c r="AJ153" s="1006"/>
      <c r="AK153" s="37"/>
      <c r="AL153" s="1006"/>
      <c r="AM153" s="37"/>
      <c r="AN153" s="1006"/>
      <c r="AO153" s="37"/>
      <c r="AP153" s="1006"/>
      <c r="AQ153" s="37"/>
      <c r="AR153" s="37"/>
      <c r="AS153" s="37"/>
      <c r="AT153" s="37"/>
      <c r="AU153" s="37"/>
      <c r="AV153" s="37"/>
      <c r="AW153" s="37"/>
      <c r="AX153" s="1006"/>
      <c r="AY153" s="37"/>
      <c r="AZ153" s="1006"/>
      <c r="BA153" s="37"/>
      <c r="BB153" s="1006"/>
      <c r="BC153" s="37"/>
      <c r="BD153" s="1006"/>
      <c r="BE153" s="37"/>
      <c r="BF153" s="1006"/>
      <c r="BG153" s="37"/>
      <c r="BH153" s="37"/>
      <c r="BI153" s="37"/>
      <c r="BJ153" s="37"/>
      <c r="BK153" s="37"/>
      <c r="BL153" s="1006"/>
      <c r="BM153" s="37"/>
      <c r="BN153" s="1006"/>
      <c r="BO153" s="37"/>
      <c r="BP153" s="1006"/>
      <c r="BQ153" s="37"/>
      <c r="BR153" s="1006"/>
      <c r="BS153" s="37"/>
      <c r="BT153" s="1006"/>
      <c r="BU153" s="1006"/>
      <c r="BV153" s="1006"/>
      <c r="BW153" s="1006"/>
      <c r="BX153" s="37"/>
      <c r="BY153" s="37"/>
      <c r="BZ153" s="1006"/>
      <c r="CA153" s="37"/>
      <c r="CB153" s="1006"/>
      <c r="CC153" s="37"/>
      <c r="CD153" s="1006"/>
      <c r="CE153" s="37"/>
      <c r="CF153" s="1006"/>
      <c r="CG153" s="37"/>
      <c r="CH153" s="1006"/>
      <c r="CI153" s="1006"/>
      <c r="CJ153" s="1006"/>
      <c r="CK153" s="1006"/>
      <c r="CL153" s="37"/>
      <c r="CM153" s="37"/>
      <c r="CO153" s="1016"/>
      <c r="CQ153" s="1012"/>
      <c r="CS153" s="1012"/>
      <c r="CU153" s="1012"/>
      <c r="CW153" s="1012"/>
      <c r="CY153" s="1012"/>
      <c r="DA153" s="1012"/>
      <c r="DC153" s="1012"/>
      <c r="DE153" s="1012"/>
      <c r="DG153" s="1012"/>
      <c r="DI153" s="1012"/>
      <c r="DK153" s="1012"/>
      <c r="DM153" s="1012"/>
      <c r="DO153" s="1012"/>
      <c r="DQ153" s="1012"/>
      <c r="DS153" s="1012"/>
      <c r="DU153" s="1012"/>
      <c r="DW153" s="1012"/>
      <c r="DY153" s="1012"/>
      <c r="EA153" s="1012"/>
      <c r="EC153" s="1012"/>
      <c r="EE153" s="1012"/>
      <c r="EG153" s="1012"/>
      <c r="EI153" s="1012"/>
      <c r="EK153" s="1012"/>
      <c r="EM153" s="1012"/>
      <c r="EO153" s="1012"/>
      <c r="EQ153" s="1012"/>
      <c r="ES153" s="1012"/>
      <c r="EU153" s="1012"/>
      <c r="EW153" s="1012"/>
      <c r="EY153" s="1012"/>
      <c r="FA153" s="1012"/>
      <c r="FC153" s="1012"/>
      <c r="FE153" s="1012"/>
      <c r="FG153" s="1012"/>
      <c r="FH153" s="1015"/>
      <c r="FI153" s="37"/>
      <c r="FK153" s="1013"/>
      <c r="FL153" s="1012"/>
      <c r="FM153" s="1012"/>
      <c r="FN153" s="1012"/>
      <c r="FP153" s="1014"/>
      <c r="FQ153" s="1014"/>
      <c r="FR153" s="1014"/>
      <c r="FS153" s="1014"/>
      <c r="FT153" s="1014"/>
      <c r="FU153" s="1014"/>
      <c r="FV153" s="1014"/>
      <c r="FW153" s="1014"/>
      <c r="FX153" s="1014"/>
      <c r="FY153" s="1014"/>
      <c r="FZ153" s="1014"/>
      <c r="GA153" s="1014"/>
      <c r="GB153" s="1014"/>
      <c r="GC153" s="1014"/>
      <c r="GD153" s="1014"/>
      <c r="GE153" s="1014"/>
      <c r="GF153" s="1014"/>
      <c r="GG153" s="1014"/>
      <c r="GH153" s="1014"/>
      <c r="GI153" s="1014"/>
      <c r="GJ153" s="1014"/>
      <c r="GK153" s="1014"/>
      <c r="GL153" s="1014"/>
      <c r="GM153" s="1014"/>
      <c r="GN153" s="1014"/>
      <c r="GO153" s="1014"/>
      <c r="GP153" s="1014"/>
      <c r="GQ153" s="1014"/>
      <c r="GR153" s="1014"/>
      <c r="GS153" s="1014"/>
      <c r="GT153" s="1014"/>
      <c r="GU153" s="1014"/>
      <c r="GV153" s="1014"/>
      <c r="GW153" s="1014"/>
      <c r="GX153" s="1014"/>
      <c r="GY153" s="1014"/>
      <c r="GZ153" s="1014"/>
      <c r="HA153" s="1014"/>
      <c r="HB153" s="1014"/>
      <c r="HC153" s="1014"/>
      <c r="HD153" s="1014"/>
      <c r="HE153" s="1014"/>
      <c r="HF153" s="1014"/>
      <c r="HG153" s="1014"/>
      <c r="HH153" s="1014"/>
      <c r="HI153" s="1014"/>
      <c r="HJ153" s="1014"/>
      <c r="HK153" s="1014"/>
      <c r="HL153" s="1014"/>
      <c r="HM153" s="1014"/>
      <c r="HN153" s="1014"/>
      <c r="HO153" s="1014"/>
      <c r="HP153" s="1014"/>
      <c r="HQ153" s="1014"/>
      <c r="HR153" s="1014"/>
      <c r="HS153" s="1014"/>
      <c r="HT153" s="1014"/>
      <c r="HU153" s="1014"/>
      <c r="HV153" s="1014"/>
    </row>
    <row r="154" spans="1:230" s="470" customFormat="1" outlineLevel="1" x14ac:dyDescent="0.25">
      <c r="A154" s="1031">
        <v>42370</v>
      </c>
      <c r="B154" s="1031"/>
      <c r="C154" s="471"/>
      <c r="D154" s="469"/>
      <c r="H154" s="1006"/>
      <c r="I154" s="37"/>
      <c r="J154" s="1006"/>
      <c r="K154" s="37"/>
      <c r="L154" s="1006"/>
      <c r="M154" s="37"/>
      <c r="N154" s="1006"/>
      <c r="O154" s="37"/>
      <c r="P154" s="1006"/>
      <c r="Q154" s="37"/>
      <c r="R154" s="1006"/>
      <c r="S154" s="37"/>
      <c r="T154" s="37"/>
      <c r="U154" s="37"/>
      <c r="V154" s="1006"/>
      <c r="W154" s="37"/>
      <c r="X154" s="1006"/>
      <c r="Y154" s="37"/>
      <c r="Z154" s="1006"/>
      <c r="AA154" s="37"/>
      <c r="AB154" s="1006"/>
      <c r="AC154" s="37"/>
      <c r="AD154" s="1006"/>
      <c r="AE154" s="37"/>
      <c r="AF154" s="1006"/>
      <c r="AG154" s="37"/>
      <c r="AH154" s="37"/>
      <c r="AI154" s="37"/>
      <c r="AJ154" s="1006"/>
      <c r="AK154" s="37"/>
      <c r="AL154" s="1006"/>
      <c r="AM154" s="37"/>
      <c r="AN154" s="1006"/>
      <c r="AO154" s="37"/>
      <c r="AP154" s="1006"/>
      <c r="AQ154" s="37"/>
      <c r="AR154" s="37"/>
      <c r="AS154" s="37"/>
      <c r="AT154" s="37"/>
      <c r="AU154" s="37"/>
      <c r="AV154" s="37"/>
      <c r="AW154" s="37"/>
      <c r="AX154" s="1006"/>
      <c r="AY154" s="37"/>
      <c r="AZ154" s="1006"/>
      <c r="BA154" s="37"/>
      <c r="BB154" s="1006"/>
      <c r="BC154" s="37"/>
      <c r="BD154" s="1006"/>
      <c r="BE154" s="37"/>
      <c r="BF154" s="1006"/>
      <c r="BG154" s="37"/>
      <c r="BH154" s="37"/>
      <c r="BI154" s="37"/>
      <c r="BJ154" s="37"/>
      <c r="BK154" s="37"/>
      <c r="BL154" s="1006"/>
      <c r="BM154" s="37"/>
      <c r="BN154" s="1006"/>
      <c r="BO154" s="37"/>
      <c r="BP154" s="1006"/>
      <c r="BQ154" s="37"/>
      <c r="BR154" s="1006"/>
      <c r="BS154" s="37"/>
      <c r="BT154" s="1006"/>
      <c r="BU154" s="1006"/>
      <c r="BV154" s="1006"/>
      <c r="BW154" s="1006"/>
      <c r="BX154" s="37"/>
      <c r="BY154" s="37"/>
      <c r="BZ154" s="1006"/>
      <c r="CA154" s="37"/>
      <c r="CB154" s="1006"/>
      <c r="CC154" s="37"/>
      <c r="CD154" s="1006"/>
      <c r="CE154" s="37"/>
      <c r="CF154" s="1006"/>
      <c r="CG154" s="37"/>
      <c r="CH154" s="1006"/>
      <c r="CI154" s="1006"/>
      <c r="CJ154" s="1006"/>
      <c r="CK154" s="1006"/>
      <c r="CL154" s="37"/>
      <c r="CM154" s="37"/>
      <c r="CO154" s="1016"/>
      <c r="CQ154" s="1012"/>
      <c r="CS154" s="1012"/>
      <c r="CU154" s="1012"/>
      <c r="CW154" s="1012"/>
      <c r="CY154" s="1012"/>
      <c r="DA154" s="1012"/>
      <c r="DC154" s="1012"/>
      <c r="DE154" s="1012"/>
      <c r="DG154" s="1012"/>
      <c r="DI154" s="1012"/>
      <c r="DK154" s="1012"/>
      <c r="DM154" s="1012"/>
      <c r="DO154" s="1012"/>
      <c r="DQ154" s="1012"/>
      <c r="DS154" s="1012"/>
      <c r="DU154" s="1012"/>
      <c r="DW154" s="1012"/>
      <c r="DY154" s="1012"/>
      <c r="EA154" s="1012"/>
      <c r="EC154" s="1012"/>
      <c r="EE154" s="1012"/>
      <c r="EG154" s="1012"/>
      <c r="EI154" s="1012"/>
      <c r="EK154" s="1012"/>
      <c r="EM154" s="1012"/>
      <c r="EO154" s="1012"/>
      <c r="EQ154" s="1012"/>
      <c r="ES154" s="1012"/>
      <c r="EU154" s="1012"/>
      <c r="EW154" s="1012"/>
      <c r="EY154" s="1012"/>
      <c r="FA154" s="1012"/>
      <c r="FC154" s="1012"/>
      <c r="FE154" s="1012"/>
      <c r="FG154" s="1012"/>
      <c r="FH154" s="1015"/>
      <c r="FI154" s="37"/>
      <c r="FK154" s="1013"/>
      <c r="FL154" s="1012"/>
      <c r="FM154" s="1012"/>
      <c r="FN154" s="1012"/>
      <c r="FP154" s="1014"/>
      <c r="FQ154" s="1014"/>
      <c r="FR154" s="1014"/>
      <c r="FS154" s="1014"/>
      <c r="FT154" s="1014"/>
      <c r="FU154" s="1014"/>
      <c r="FV154" s="1014"/>
      <c r="FW154" s="1014"/>
      <c r="FX154" s="1014"/>
      <c r="FY154" s="1014"/>
      <c r="FZ154" s="1014"/>
      <c r="GA154" s="1014"/>
      <c r="GB154" s="1014"/>
      <c r="GC154" s="1014"/>
      <c r="GD154" s="1014"/>
      <c r="GE154" s="1014"/>
      <c r="GF154" s="1014"/>
      <c r="GG154" s="1014"/>
      <c r="GH154" s="1014"/>
      <c r="GI154" s="1014"/>
      <c r="GJ154" s="1014"/>
      <c r="GK154" s="1014"/>
      <c r="GL154" s="1014"/>
      <c r="GM154" s="1014"/>
      <c r="GN154" s="1014"/>
      <c r="GO154" s="1014"/>
      <c r="GP154" s="1014"/>
      <c r="GQ154" s="1014"/>
      <c r="GR154" s="1014"/>
      <c r="GS154" s="1014"/>
      <c r="GT154" s="1014"/>
      <c r="GU154" s="1014"/>
      <c r="GV154" s="1014"/>
      <c r="GW154" s="1014"/>
      <c r="GX154" s="1014"/>
      <c r="GY154" s="1014"/>
      <c r="GZ154" s="1014"/>
      <c r="HA154" s="1014"/>
      <c r="HB154" s="1014"/>
      <c r="HC154" s="1014"/>
      <c r="HD154" s="1014"/>
      <c r="HE154" s="1014"/>
      <c r="HF154" s="1014"/>
      <c r="HG154" s="1014"/>
      <c r="HH154" s="1014"/>
      <c r="HI154" s="1014"/>
      <c r="HJ154" s="1014"/>
      <c r="HK154" s="1014"/>
      <c r="HL154" s="1014"/>
      <c r="HM154" s="1014"/>
      <c r="HN154" s="1014"/>
      <c r="HO154" s="1014"/>
      <c r="HP154" s="1014"/>
      <c r="HQ154" s="1014"/>
      <c r="HR154" s="1014"/>
      <c r="HS154" s="1014"/>
      <c r="HT154" s="1014"/>
      <c r="HU154" s="1014"/>
      <c r="HV154" s="1014"/>
    </row>
    <row r="155" spans="1:230" s="470" customFormat="1" outlineLevel="1" x14ac:dyDescent="0.25">
      <c r="A155" s="1031">
        <v>42387</v>
      </c>
      <c r="B155" s="1031"/>
      <c r="C155" s="471"/>
      <c r="D155" s="469"/>
      <c r="H155" s="1006"/>
      <c r="I155" s="37"/>
      <c r="J155" s="1006"/>
      <c r="K155" s="37"/>
      <c r="L155" s="1006"/>
      <c r="M155" s="37"/>
      <c r="N155" s="1006"/>
      <c r="O155" s="37"/>
      <c r="P155" s="1006"/>
      <c r="Q155" s="37"/>
      <c r="R155" s="1006"/>
      <c r="S155" s="37"/>
      <c r="T155" s="37"/>
      <c r="U155" s="37"/>
      <c r="V155" s="1006"/>
      <c r="W155" s="37"/>
      <c r="X155" s="1006"/>
      <c r="Y155" s="37"/>
      <c r="Z155" s="1006"/>
      <c r="AA155" s="37"/>
      <c r="AB155" s="1006"/>
      <c r="AC155" s="37"/>
      <c r="AD155" s="1006"/>
      <c r="AE155" s="37"/>
      <c r="AF155" s="1006"/>
      <c r="AG155" s="37"/>
      <c r="AH155" s="37"/>
      <c r="AI155" s="37"/>
      <c r="AJ155" s="1006"/>
      <c r="AK155" s="37"/>
      <c r="AL155" s="1006"/>
      <c r="AM155" s="37"/>
      <c r="AN155" s="1006"/>
      <c r="AO155" s="37"/>
      <c r="AP155" s="1006"/>
      <c r="AQ155" s="37"/>
      <c r="AR155" s="37"/>
      <c r="AS155" s="37"/>
      <c r="AT155" s="37"/>
      <c r="AU155" s="37"/>
      <c r="AV155" s="37"/>
      <c r="AW155" s="37"/>
      <c r="AX155" s="1006"/>
      <c r="AY155" s="37"/>
      <c r="AZ155" s="1006"/>
      <c r="BA155" s="37"/>
      <c r="BB155" s="1006"/>
      <c r="BC155" s="37"/>
      <c r="BD155" s="1006"/>
      <c r="BE155" s="37"/>
      <c r="BF155" s="1006"/>
      <c r="BG155" s="37"/>
      <c r="BH155" s="37"/>
      <c r="BI155" s="37"/>
      <c r="BJ155" s="37"/>
      <c r="BK155" s="37"/>
      <c r="BL155" s="1006"/>
      <c r="BM155" s="37"/>
      <c r="BN155" s="1006"/>
      <c r="BO155" s="37"/>
      <c r="BP155" s="1006"/>
      <c r="BQ155" s="37"/>
      <c r="BR155" s="1006"/>
      <c r="BS155" s="37"/>
      <c r="BT155" s="1006"/>
      <c r="BU155" s="1006"/>
      <c r="BV155" s="1006"/>
      <c r="BW155" s="1006"/>
      <c r="BX155" s="37"/>
      <c r="BY155" s="37"/>
      <c r="BZ155" s="1006"/>
      <c r="CA155" s="37"/>
      <c r="CB155" s="1006"/>
      <c r="CC155" s="37"/>
      <c r="CD155" s="1006"/>
      <c r="CE155" s="37"/>
      <c r="CF155" s="1006"/>
      <c r="CG155" s="37"/>
      <c r="CH155" s="1006"/>
      <c r="CI155" s="1006"/>
      <c r="CJ155" s="1006"/>
      <c r="CK155" s="1006"/>
      <c r="CL155" s="37"/>
      <c r="CM155" s="37"/>
      <c r="CO155" s="1016"/>
      <c r="CQ155" s="1012"/>
      <c r="CS155" s="1012"/>
      <c r="CU155" s="1012"/>
      <c r="CW155" s="1012"/>
      <c r="CY155" s="1012"/>
      <c r="DA155" s="1012"/>
      <c r="DC155" s="1012"/>
      <c r="DE155" s="1012"/>
      <c r="DG155" s="1012"/>
      <c r="DI155" s="1012"/>
      <c r="DK155" s="1012"/>
      <c r="DM155" s="1012"/>
      <c r="DO155" s="1012"/>
      <c r="DQ155" s="1012"/>
      <c r="DS155" s="1012"/>
      <c r="DU155" s="1012"/>
      <c r="DW155" s="1012"/>
      <c r="DY155" s="1012"/>
      <c r="EA155" s="1012"/>
      <c r="EC155" s="1012"/>
      <c r="EE155" s="1012"/>
      <c r="EG155" s="1012"/>
      <c r="EI155" s="1012"/>
      <c r="EK155" s="1012"/>
      <c r="EM155" s="1012"/>
      <c r="EO155" s="1012"/>
      <c r="EQ155" s="1012"/>
      <c r="ES155" s="1012"/>
      <c r="EU155" s="1012"/>
      <c r="EW155" s="1012"/>
      <c r="EY155" s="1012"/>
      <c r="FA155" s="1012"/>
      <c r="FC155" s="1012"/>
      <c r="FE155" s="1012"/>
      <c r="FG155" s="1012"/>
      <c r="FH155" s="1015"/>
      <c r="FI155" s="37"/>
      <c r="FK155" s="1013"/>
      <c r="FL155" s="1012"/>
      <c r="FM155" s="1012"/>
      <c r="FN155" s="1012"/>
      <c r="FP155" s="1014"/>
      <c r="FQ155" s="1014"/>
      <c r="FR155" s="1014"/>
      <c r="FS155" s="1014"/>
      <c r="FT155" s="1014"/>
      <c r="FU155" s="1014"/>
      <c r="FV155" s="1014"/>
      <c r="FW155" s="1014"/>
      <c r="FX155" s="1014"/>
      <c r="FY155" s="1014"/>
      <c r="FZ155" s="1014"/>
      <c r="GA155" s="1014"/>
      <c r="GB155" s="1014"/>
      <c r="GC155" s="1014"/>
      <c r="GD155" s="1014"/>
      <c r="GE155" s="1014"/>
      <c r="GF155" s="1014"/>
      <c r="GG155" s="1014"/>
      <c r="GH155" s="1014"/>
      <c r="GI155" s="1014"/>
      <c r="GJ155" s="1014"/>
      <c r="GK155" s="1014"/>
      <c r="GL155" s="1014"/>
      <c r="GM155" s="1014"/>
      <c r="GN155" s="1014"/>
      <c r="GO155" s="1014"/>
      <c r="GP155" s="1014"/>
      <c r="GQ155" s="1014"/>
      <c r="GR155" s="1014"/>
      <c r="GS155" s="1014"/>
      <c r="GT155" s="1014"/>
      <c r="GU155" s="1014"/>
      <c r="GV155" s="1014"/>
      <c r="GW155" s="1014"/>
      <c r="GX155" s="1014"/>
      <c r="GY155" s="1014"/>
      <c r="GZ155" s="1014"/>
      <c r="HA155" s="1014"/>
      <c r="HB155" s="1014"/>
      <c r="HC155" s="1014"/>
      <c r="HD155" s="1014"/>
      <c r="HE155" s="1014"/>
      <c r="HF155" s="1014"/>
      <c r="HG155" s="1014"/>
      <c r="HH155" s="1014"/>
      <c r="HI155" s="1014"/>
      <c r="HJ155" s="1014"/>
      <c r="HK155" s="1014"/>
      <c r="HL155" s="1014"/>
      <c r="HM155" s="1014"/>
      <c r="HN155" s="1014"/>
      <c r="HO155" s="1014"/>
      <c r="HP155" s="1014"/>
      <c r="HQ155" s="1014"/>
      <c r="HR155" s="1014"/>
      <c r="HS155" s="1014"/>
      <c r="HT155" s="1014"/>
      <c r="HU155" s="1014"/>
      <c r="HV155" s="1014"/>
    </row>
    <row r="156" spans="1:230" s="470" customFormat="1" outlineLevel="1" x14ac:dyDescent="0.25">
      <c r="A156" s="1031">
        <v>42454</v>
      </c>
      <c r="B156" s="1031"/>
      <c r="C156" s="471"/>
      <c r="D156" s="469"/>
      <c r="H156" s="1006"/>
      <c r="I156" s="37"/>
      <c r="J156" s="1006"/>
      <c r="K156" s="37"/>
      <c r="L156" s="1006"/>
      <c r="M156" s="37"/>
      <c r="N156" s="1006"/>
      <c r="O156" s="37"/>
      <c r="P156" s="1006"/>
      <c r="Q156" s="37"/>
      <c r="R156" s="1006"/>
      <c r="S156" s="37"/>
      <c r="T156" s="37"/>
      <c r="U156" s="37"/>
      <c r="V156" s="1006"/>
      <c r="W156" s="37"/>
      <c r="X156" s="1006"/>
      <c r="Y156" s="37"/>
      <c r="Z156" s="1006"/>
      <c r="AA156" s="37"/>
      <c r="AB156" s="1006"/>
      <c r="AC156" s="37"/>
      <c r="AD156" s="1006"/>
      <c r="AE156" s="37"/>
      <c r="AF156" s="1006"/>
      <c r="AG156" s="37"/>
      <c r="AH156" s="37"/>
      <c r="AI156" s="37"/>
      <c r="AJ156" s="1006"/>
      <c r="AK156" s="37"/>
      <c r="AL156" s="1006"/>
      <c r="AM156" s="37"/>
      <c r="AN156" s="1006"/>
      <c r="AO156" s="37"/>
      <c r="AP156" s="1006"/>
      <c r="AQ156" s="37"/>
      <c r="AR156" s="37"/>
      <c r="AS156" s="37"/>
      <c r="AT156" s="37"/>
      <c r="AU156" s="37"/>
      <c r="AV156" s="37"/>
      <c r="AW156" s="37"/>
      <c r="AX156" s="1006"/>
      <c r="AY156" s="37"/>
      <c r="AZ156" s="1006"/>
      <c r="BA156" s="37"/>
      <c r="BB156" s="1006"/>
      <c r="BC156" s="37"/>
      <c r="BD156" s="1006"/>
      <c r="BE156" s="37"/>
      <c r="BF156" s="1006"/>
      <c r="BG156" s="37"/>
      <c r="BH156" s="37"/>
      <c r="BI156" s="37"/>
      <c r="BJ156" s="37"/>
      <c r="BK156" s="37"/>
      <c r="BL156" s="1006"/>
      <c r="BM156" s="37"/>
      <c r="BN156" s="1006"/>
      <c r="BO156" s="37"/>
      <c r="BP156" s="1006"/>
      <c r="BQ156" s="37"/>
      <c r="BR156" s="1006"/>
      <c r="BS156" s="37"/>
      <c r="BT156" s="1006"/>
      <c r="BU156" s="1006"/>
      <c r="BV156" s="1006"/>
      <c r="BW156" s="1006"/>
      <c r="BX156" s="37"/>
      <c r="BY156" s="37"/>
      <c r="BZ156" s="1006"/>
      <c r="CA156" s="37"/>
      <c r="CB156" s="1006"/>
      <c r="CC156" s="37"/>
      <c r="CD156" s="1006"/>
      <c r="CE156" s="37"/>
      <c r="CF156" s="1006"/>
      <c r="CG156" s="37"/>
      <c r="CH156" s="1006"/>
      <c r="CI156" s="1006"/>
      <c r="CJ156" s="1006"/>
      <c r="CK156" s="1006"/>
      <c r="CL156" s="37"/>
      <c r="CM156" s="37"/>
      <c r="CO156" s="1016"/>
      <c r="CQ156" s="1012"/>
      <c r="CS156" s="1012"/>
      <c r="CU156" s="1012"/>
      <c r="CW156" s="1012"/>
      <c r="CY156" s="1012"/>
      <c r="DA156" s="1012"/>
      <c r="DC156" s="1012"/>
      <c r="DE156" s="1012"/>
      <c r="DG156" s="1012"/>
      <c r="DI156" s="1012"/>
      <c r="DK156" s="1012"/>
      <c r="DM156" s="1012"/>
      <c r="DO156" s="1012"/>
      <c r="DQ156" s="1012"/>
      <c r="DS156" s="1012"/>
      <c r="DU156" s="1012"/>
      <c r="DW156" s="1012"/>
      <c r="DY156" s="1012"/>
      <c r="EA156" s="1012"/>
      <c r="EC156" s="1012"/>
      <c r="EE156" s="1012"/>
      <c r="EG156" s="1012"/>
      <c r="EI156" s="1012"/>
      <c r="EK156" s="1012"/>
      <c r="EM156" s="1012"/>
      <c r="EO156" s="1012"/>
      <c r="EQ156" s="1012"/>
      <c r="ES156" s="1012"/>
      <c r="EU156" s="1012"/>
      <c r="EW156" s="1012"/>
      <c r="EY156" s="1012"/>
      <c r="FA156" s="1012"/>
      <c r="FC156" s="1012"/>
      <c r="FE156" s="1012"/>
      <c r="FG156" s="1012"/>
      <c r="FH156" s="1015"/>
      <c r="FI156" s="37"/>
      <c r="FK156" s="1013"/>
      <c r="FL156" s="1012"/>
      <c r="FM156" s="1012"/>
      <c r="FN156" s="1012"/>
      <c r="FP156" s="1014"/>
      <c r="FQ156" s="1014"/>
      <c r="FR156" s="1014"/>
      <c r="FS156" s="1014"/>
      <c r="FT156" s="1014"/>
      <c r="FU156" s="1014"/>
      <c r="FV156" s="1014"/>
      <c r="FW156" s="1014"/>
      <c r="FX156" s="1014"/>
      <c r="FY156" s="1014"/>
      <c r="FZ156" s="1014"/>
      <c r="GA156" s="1014"/>
      <c r="GB156" s="1014"/>
      <c r="GC156" s="1014"/>
      <c r="GD156" s="1014"/>
      <c r="GE156" s="1014"/>
      <c r="GF156" s="1014"/>
      <c r="GG156" s="1014"/>
      <c r="GH156" s="1014"/>
      <c r="GI156" s="1014"/>
      <c r="GJ156" s="1014"/>
      <c r="GK156" s="1014"/>
      <c r="GL156" s="1014"/>
      <c r="GM156" s="1014"/>
      <c r="GN156" s="1014"/>
      <c r="GO156" s="1014"/>
      <c r="GP156" s="1014"/>
      <c r="GQ156" s="1014"/>
      <c r="GR156" s="1014"/>
      <c r="GS156" s="1014"/>
      <c r="GT156" s="1014"/>
      <c r="GU156" s="1014"/>
      <c r="GV156" s="1014"/>
      <c r="GW156" s="1014"/>
      <c r="GX156" s="1014"/>
      <c r="GY156" s="1014"/>
      <c r="GZ156" s="1014"/>
      <c r="HA156" s="1014"/>
      <c r="HB156" s="1014"/>
      <c r="HC156" s="1014"/>
      <c r="HD156" s="1014"/>
      <c r="HE156" s="1014"/>
      <c r="HF156" s="1014"/>
      <c r="HG156" s="1014"/>
      <c r="HH156" s="1014"/>
      <c r="HI156" s="1014"/>
      <c r="HJ156" s="1014"/>
      <c r="HK156" s="1014"/>
      <c r="HL156" s="1014"/>
      <c r="HM156" s="1014"/>
      <c r="HN156" s="1014"/>
      <c r="HO156" s="1014"/>
      <c r="HP156" s="1014"/>
      <c r="HQ156" s="1014"/>
      <c r="HR156" s="1014"/>
      <c r="HS156" s="1014"/>
      <c r="HT156" s="1014"/>
      <c r="HU156" s="1014"/>
      <c r="HV156" s="1014"/>
    </row>
    <row r="157" spans="1:230" s="470" customFormat="1" outlineLevel="1" x14ac:dyDescent="0.25">
      <c r="A157" s="1031">
        <v>42520</v>
      </c>
      <c r="B157" s="1031"/>
      <c r="C157" s="471"/>
      <c r="D157" s="469"/>
      <c r="H157" s="1006"/>
      <c r="I157" s="37"/>
      <c r="J157" s="1006"/>
      <c r="K157" s="37"/>
      <c r="L157" s="1006"/>
      <c r="M157" s="37"/>
      <c r="N157" s="1006"/>
      <c r="O157" s="37"/>
      <c r="P157" s="1006"/>
      <c r="Q157" s="37"/>
      <c r="R157" s="1006"/>
      <c r="S157" s="37"/>
      <c r="T157" s="37"/>
      <c r="U157" s="37"/>
      <c r="V157" s="1006"/>
      <c r="W157" s="37"/>
      <c r="X157" s="1006"/>
      <c r="Y157" s="37"/>
      <c r="Z157" s="1006"/>
      <c r="AA157" s="37"/>
      <c r="AB157" s="1006"/>
      <c r="AC157" s="37"/>
      <c r="AD157" s="1006"/>
      <c r="AE157" s="37"/>
      <c r="AF157" s="1006"/>
      <c r="AG157" s="37"/>
      <c r="AH157" s="37"/>
      <c r="AI157" s="37"/>
      <c r="AJ157" s="1006"/>
      <c r="AK157" s="37"/>
      <c r="AL157" s="1006"/>
      <c r="AM157" s="37"/>
      <c r="AN157" s="1006"/>
      <c r="AO157" s="37"/>
      <c r="AP157" s="1006"/>
      <c r="AQ157" s="37"/>
      <c r="AR157" s="37"/>
      <c r="AS157" s="37"/>
      <c r="AT157" s="37"/>
      <c r="AU157" s="37"/>
      <c r="AV157" s="37"/>
      <c r="AW157" s="37"/>
      <c r="AX157" s="1006"/>
      <c r="AY157" s="37"/>
      <c r="AZ157" s="1006"/>
      <c r="BA157" s="37"/>
      <c r="BB157" s="1006"/>
      <c r="BC157" s="37"/>
      <c r="BD157" s="1006"/>
      <c r="BE157" s="37"/>
      <c r="BF157" s="1006"/>
      <c r="BG157" s="37"/>
      <c r="BH157" s="37"/>
      <c r="BI157" s="37"/>
      <c r="BJ157" s="37"/>
      <c r="BK157" s="37"/>
      <c r="BL157" s="1006"/>
      <c r="BM157" s="37"/>
      <c r="BN157" s="1006"/>
      <c r="BO157" s="37"/>
      <c r="BP157" s="1006"/>
      <c r="BQ157" s="37"/>
      <c r="BR157" s="1006"/>
      <c r="BS157" s="37"/>
      <c r="BT157" s="1006"/>
      <c r="BU157" s="1006"/>
      <c r="BV157" s="1006"/>
      <c r="BW157" s="1006"/>
      <c r="BX157" s="37"/>
      <c r="BY157" s="37"/>
      <c r="BZ157" s="1006"/>
      <c r="CA157" s="37"/>
      <c r="CB157" s="1006"/>
      <c r="CC157" s="37"/>
      <c r="CD157" s="1006"/>
      <c r="CE157" s="37"/>
      <c r="CF157" s="1006"/>
      <c r="CG157" s="37"/>
      <c r="CH157" s="1006"/>
      <c r="CI157" s="1006"/>
      <c r="CJ157" s="1006"/>
      <c r="CK157" s="1006"/>
      <c r="CL157" s="37"/>
      <c r="CM157" s="37"/>
      <c r="CO157" s="1016"/>
      <c r="CQ157" s="1012"/>
      <c r="CS157" s="1012"/>
      <c r="CU157" s="1012"/>
      <c r="CW157" s="1012"/>
      <c r="CY157" s="1012"/>
      <c r="DA157" s="1012"/>
      <c r="DC157" s="1012"/>
      <c r="DE157" s="1012"/>
      <c r="DG157" s="1012"/>
      <c r="DI157" s="1012"/>
      <c r="DK157" s="1012"/>
      <c r="DM157" s="1012"/>
      <c r="DO157" s="1012"/>
      <c r="DQ157" s="1012"/>
      <c r="DS157" s="1012"/>
      <c r="DU157" s="1012"/>
      <c r="DW157" s="1012"/>
      <c r="DY157" s="1012"/>
      <c r="EA157" s="1012"/>
      <c r="EC157" s="1012"/>
      <c r="EE157" s="1012"/>
      <c r="EG157" s="1012"/>
      <c r="EI157" s="1012"/>
      <c r="EK157" s="1012"/>
      <c r="EM157" s="1012"/>
      <c r="EO157" s="1012"/>
      <c r="EQ157" s="1012"/>
      <c r="ES157" s="1012"/>
      <c r="EU157" s="1012"/>
      <c r="EW157" s="1012"/>
      <c r="EY157" s="1012"/>
      <c r="FA157" s="1012"/>
      <c r="FC157" s="1012"/>
      <c r="FE157" s="1012"/>
      <c r="FG157" s="1012"/>
      <c r="FH157" s="1015"/>
      <c r="FI157" s="37"/>
      <c r="FK157" s="1013"/>
      <c r="FL157" s="1012"/>
      <c r="FM157" s="1012"/>
      <c r="FN157" s="1012"/>
      <c r="FP157" s="1014"/>
      <c r="FQ157" s="1014"/>
      <c r="FR157" s="1014"/>
      <c r="FS157" s="1014"/>
      <c r="FT157" s="1014"/>
      <c r="FU157" s="1014"/>
      <c r="FV157" s="1014"/>
      <c r="FW157" s="1014"/>
      <c r="FX157" s="1014"/>
      <c r="FY157" s="1014"/>
      <c r="FZ157" s="1014"/>
      <c r="GA157" s="1014"/>
      <c r="GB157" s="1014"/>
      <c r="GC157" s="1014"/>
      <c r="GD157" s="1014"/>
      <c r="GE157" s="1014"/>
      <c r="GF157" s="1014"/>
      <c r="GG157" s="1014"/>
      <c r="GH157" s="1014"/>
      <c r="GI157" s="1014"/>
      <c r="GJ157" s="1014"/>
      <c r="GK157" s="1014"/>
      <c r="GL157" s="1014"/>
      <c r="GM157" s="1014"/>
      <c r="GN157" s="1014"/>
      <c r="GO157" s="1014"/>
      <c r="GP157" s="1014"/>
      <c r="GQ157" s="1014"/>
      <c r="GR157" s="1014"/>
      <c r="GS157" s="1014"/>
      <c r="GT157" s="1014"/>
      <c r="GU157" s="1014"/>
      <c r="GV157" s="1014"/>
      <c r="GW157" s="1014"/>
      <c r="GX157" s="1014"/>
      <c r="GY157" s="1014"/>
      <c r="GZ157" s="1014"/>
      <c r="HA157" s="1014"/>
      <c r="HB157" s="1014"/>
      <c r="HC157" s="1014"/>
      <c r="HD157" s="1014"/>
      <c r="HE157" s="1014"/>
      <c r="HF157" s="1014"/>
      <c r="HG157" s="1014"/>
      <c r="HH157" s="1014"/>
      <c r="HI157" s="1014"/>
      <c r="HJ157" s="1014"/>
      <c r="HK157" s="1014"/>
      <c r="HL157" s="1014"/>
      <c r="HM157" s="1014"/>
      <c r="HN157" s="1014"/>
      <c r="HO157" s="1014"/>
      <c r="HP157" s="1014"/>
      <c r="HQ157" s="1014"/>
      <c r="HR157" s="1014"/>
      <c r="HS157" s="1014"/>
      <c r="HT157" s="1014"/>
      <c r="HU157" s="1014"/>
      <c r="HV157" s="1014"/>
    </row>
    <row r="158" spans="1:230" s="470" customFormat="1" outlineLevel="1" x14ac:dyDescent="0.25">
      <c r="A158" s="1031">
        <v>42555</v>
      </c>
      <c r="B158" s="1031"/>
      <c r="C158" s="471"/>
      <c r="D158" s="469"/>
      <c r="H158" s="1006"/>
      <c r="I158" s="37"/>
      <c r="J158" s="1006"/>
      <c r="K158" s="37"/>
      <c r="L158" s="1006"/>
      <c r="M158" s="37"/>
      <c r="N158" s="1006"/>
      <c r="O158" s="37"/>
      <c r="P158" s="1006"/>
      <c r="Q158" s="37"/>
      <c r="R158" s="1006"/>
      <c r="S158" s="37"/>
      <c r="T158" s="37"/>
      <c r="U158" s="37"/>
      <c r="V158" s="1006"/>
      <c r="W158" s="37"/>
      <c r="X158" s="1006"/>
      <c r="Y158" s="37"/>
      <c r="Z158" s="1006"/>
      <c r="AA158" s="37"/>
      <c r="AB158" s="1006"/>
      <c r="AC158" s="37"/>
      <c r="AD158" s="1006"/>
      <c r="AE158" s="37"/>
      <c r="AF158" s="1006"/>
      <c r="AG158" s="37"/>
      <c r="AH158" s="37"/>
      <c r="AI158" s="37"/>
      <c r="AJ158" s="1006"/>
      <c r="AK158" s="37"/>
      <c r="AL158" s="1006"/>
      <c r="AM158" s="37"/>
      <c r="AN158" s="1006"/>
      <c r="AO158" s="37"/>
      <c r="AP158" s="1006"/>
      <c r="AQ158" s="37"/>
      <c r="AR158" s="37"/>
      <c r="AS158" s="37"/>
      <c r="AT158" s="37"/>
      <c r="AU158" s="37"/>
      <c r="AV158" s="37"/>
      <c r="AW158" s="37"/>
      <c r="AX158" s="1006"/>
      <c r="AY158" s="37"/>
      <c r="AZ158" s="1006"/>
      <c r="BA158" s="37"/>
      <c r="BB158" s="1006"/>
      <c r="BC158" s="37"/>
      <c r="BD158" s="1006"/>
      <c r="BE158" s="37"/>
      <c r="BF158" s="1006"/>
      <c r="BG158" s="37"/>
      <c r="BH158" s="37"/>
      <c r="BI158" s="37"/>
      <c r="BJ158" s="37"/>
      <c r="BK158" s="37"/>
      <c r="BL158" s="1006"/>
      <c r="BM158" s="37"/>
      <c r="BN158" s="1006"/>
      <c r="BO158" s="37"/>
      <c r="BP158" s="1006"/>
      <c r="BQ158" s="37"/>
      <c r="BR158" s="1006"/>
      <c r="BS158" s="37"/>
      <c r="BT158" s="1006"/>
      <c r="BU158" s="1006"/>
      <c r="BV158" s="1006"/>
      <c r="BW158" s="1006"/>
      <c r="BX158" s="37"/>
      <c r="BY158" s="37"/>
      <c r="BZ158" s="1006"/>
      <c r="CA158" s="37"/>
      <c r="CB158" s="1006"/>
      <c r="CC158" s="37"/>
      <c r="CD158" s="1006"/>
      <c r="CE158" s="37"/>
      <c r="CF158" s="1006"/>
      <c r="CG158" s="37"/>
      <c r="CH158" s="1006"/>
      <c r="CI158" s="1006"/>
      <c r="CJ158" s="1006"/>
      <c r="CK158" s="1006"/>
      <c r="CL158" s="37"/>
      <c r="CM158" s="37"/>
      <c r="CO158" s="1016"/>
      <c r="CQ158" s="1012"/>
      <c r="CS158" s="1012"/>
      <c r="CU158" s="1012"/>
      <c r="CW158" s="1012"/>
      <c r="CY158" s="1012"/>
      <c r="DA158" s="1012"/>
      <c r="DC158" s="1012"/>
      <c r="DE158" s="1012"/>
      <c r="DG158" s="1012"/>
      <c r="DI158" s="1012"/>
      <c r="DK158" s="1012"/>
      <c r="DM158" s="1012"/>
      <c r="DO158" s="1012"/>
      <c r="DQ158" s="1012"/>
      <c r="DS158" s="1012"/>
      <c r="DU158" s="1012"/>
      <c r="DW158" s="1012"/>
      <c r="DY158" s="1012"/>
      <c r="EA158" s="1012"/>
      <c r="EC158" s="1012"/>
      <c r="EE158" s="1012"/>
      <c r="EG158" s="1012"/>
      <c r="EI158" s="1012"/>
      <c r="EK158" s="1012"/>
      <c r="EM158" s="1012"/>
      <c r="EO158" s="1012"/>
      <c r="EQ158" s="1012"/>
      <c r="ES158" s="1012"/>
      <c r="EU158" s="1012"/>
      <c r="EW158" s="1012"/>
      <c r="EY158" s="1012"/>
      <c r="FA158" s="1012"/>
      <c r="FC158" s="1012"/>
      <c r="FE158" s="1012"/>
      <c r="FG158" s="1012"/>
      <c r="FH158" s="1015"/>
      <c r="FI158" s="37"/>
      <c r="FK158" s="1013"/>
      <c r="FL158" s="1012"/>
      <c r="FM158" s="1012"/>
      <c r="FN158" s="1012"/>
      <c r="FP158" s="1014"/>
      <c r="FQ158" s="1014"/>
      <c r="FR158" s="1014"/>
      <c r="FS158" s="1014"/>
      <c r="FT158" s="1014"/>
      <c r="FU158" s="1014"/>
      <c r="FV158" s="1014"/>
      <c r="FW158" s="1014"/>
      <c r="FX158" s="1014"/>
      <c r="FY158" s="1014"/>
      <c r="FZ158" s="1014"/>
      <c r="GA158" s="1014"/>
      <c r="GB158" s="1014"/>
      <c r="GC158" s="1014"/>
      <c r="GD158" s="1014"/>
      <c r="GE158" s="1014"/>
      <c r="GF158" s="1014"/>
      <c r="GG158" s="1014"/>
      <c r="GH158" s="1014"/>
      <c r="GI158" s="1014"/>
      <c r="GJ158" s="1014"/>
      <c r="GK158" s="1014"/>
      <c r="GL158" s="1014"/>
      <c r="GM158" s="1014"/>
      <c r="GN158" s="1014"/>
      <c r="GO158" s="1014"/>
      <c r="GP158" s="1014"/>
      <c r="GQ158" s="1014"/>
      <c r="GR158" s="1014"/>
      <c r="GS158" s="1014"/>
      <c r="GT158" s="1014"/>
      <c r="GU158" s="1014"/>
      <c r="GV158" s="1014"/>
      <c r="GW158" s="1014"/>
      <c r="GX158" s="1014"/>
      <c r="GY158" s="1014"/>
      <c r="GZ158" s="1014"/>
      <c r="HA158" s="1014"/>
      <c r="HB158" s="1014"/>
      <c r="HC158" s="1014"/>
      <c r="HD158" s="1014"/>
      <c r="HE158" s="1014"/>
      <c r="HF158" s="1014"/>
      <c r="HG158" s="1014"/>
      <c r="HH158" s="1014"/>
      <c r="HI158" s="1014"/>
      <c r="HJ158" s="1014"/>
      <c r="HK158" s="1014"/>
      <c r="HL158" s="1014"/>
      <c r="HM158" s="1014"/>
      <c r="HN158" s="1014"/>
      <c r="HO158" s="1014"/>
      <c r="HP158" s="1014"/>
      <c r="HQ158" s="1014"/>
      <c r="HR158" s="1014"/>
      <c r="HS158" s="1014"/>
      <c r="HT158" s="1014"/>
      <c r="HU158" s="1014"/>
      <c r="HV158" s="1014"/>
    </row>
    <row r="159" spans="1:230" s="470" customFormat="1" outlineLevel="1" x14ac:dyDescent="0.25">
      <c r="A159" s="1031">
        <v>42618</v>
      </c>
      <c r="B159" s="1031"/>
      <c r="C159" s="471"/>
      <c r="D159" s="469"/>
      <c r="H159" s="1006"/>
      <c r="I159" s="37"/>
      <c r="J159" s="1006"/>
      <c r="K159" s="37"/>
      <c r="L159" s="1006"/>
      <c r="M159" s="37"/>
      <c r="N159" s="1006"/>
      <c r="O159" s="37"/>
      <c r="P159" s="1006"/>
      <c r="Q159" s="37"/>
      <c r="R159" s="1006"/>
      <c r="S159" s="37"/>
      <c r="T159" s="37"/>
      <c r="U159" s="37"/>
      <c r="V159" s="1006"/>
      <c r="W159" s="37"/>
      <c r="X159" s="1006"/>
      <c r="Y159" s="37"/>
      <c r="Z159" s="1006"/>
      <c r="AA159" s="37"/>
      <c r="AB159" s="1006"/>
      <c r="AC159" s="37"/>
      <c r="AD159" s="1006"/>
      <c r="AE159" s="37"/>
      <c r="AF159" s="1006"/>
      <c r="AG159" s="37"/>
      <c r="AH159" s="37"/>
      <c r="AI159" s="37"/>
      <c r="AJ159" s="1006"/>
      <c r="AK159" s="37"/>
      <c r="AL159" s="1006"/>
      <c r="AM159" s="37"/>
      <c r="AN159" s="1006"/>
      <c r="AO159" s="37"/>
      <c r="AP159" s="1006"/>
      <c r="AQ159" s="37"/>
      <c r="AR159" s="37"/>
      <c r="AS159" s="37"/>
      <c r="AT159" s="37"/>
      <c r="AU159" s="37"/>
      <c r="AV159" s="37"/>
      <c r="AW159" s="37"/>
      <c r="AX159" s="1006"/>
      <c r="AY159" s="37"/>
      <c r="AZ159" s="1006"/>
      <c r="BA159" s="37"/>
      <c r="BB159" s="1006"/>
      <c r="BC159" s="37"/>
      <c r="BD159" s="1006"/>
      <c r="BE159" s="37"/>
      <c r="BF159" s="1006"/>
      <c r="BG159" s="37"/>
      <c r="BH159" s="37"/>
      <c r="BI159" s="37"/>
      <c r="BJ159" s="37"/>
      <c r="BK159" s="37"/>
      <c r="BL159" s="1006"/>
      <c r="BM159" s="37"/>
      <c r="BN159" s="1006"/>
      <c r="BO159" s="37"/>
      <c r="BP159" s="1006"/>
      <c r="BQ159" s="37"/>
      <c r="BR159" s="1006"/>
      <c r="BS159" s="37"/>
      <c r="BT159" s="1006"/>
      <c r="BU159" s="1006"/>
      <c r="BV159" s="1006"/>
      <c r="BW159" s="1006"/>
      <c r="BX159" s="37"/>
      <c r="BY159" s="37"/>
      <c r="BZ159" s="1006"/>
      <c r="CA159" s="37"/>
      <c r="CB159" s="1006"/>
      <c r="CC159" s="37"/>
      <c r="CD159" s="1006"/>
      <c r="CE159" s="37"/>
      <c r="CF159" s="1006"/>
      <c r="CG159" s="37"/>
      <c r="CH159" s="1006"/>
      <c r="CI159" s="1006"/>
      <c r="CJ159" s="1006"/>
      <c r="CK159" s="1006"/>
      <c r="CL159" s="37"/>
      <c r="CM159" s="37"/>
      <c r="CO159" s="1016"/>
      <c r="CQ159" s="1012"/>
      <c r="CS159" s="1012"/>
      <c r="CU159" s="1012"/>
      <c r="CW159" s="1012"/>
      <c r="CY159" s="1012"/>
      <c r="DA159" s="1012"/>
      <c r="DC159" s="1012"/>
      <c r="DE159" s="1012"/>
      <c r="DG159" s="1012"/>
      <c r="DI159" s="1012"/>
      <c r="DK159" s="1012"/>
      <c r="DM159" s="1012"/>
      <c r="DO159" s="1012"/>
      <c r="DQ159" s="1012"/>
      <c r="DS159" s="1012"/>
      <c r="DU159" s="1012"/>
      <c r="DW159" s="1012"/>
      <c r="DY159" s="1012"/>
      <c r="EA159" s="1012"/>
      <c r="EC159" s="1012"/>
      <c r="EE159" s="1012"/>
      <c r="EG159" s="1012"/>
      <c r="EI159" s="1012"/>
      <c r="EK159" s="1012"/>
      <c r="EM159" s="1012"/>
      <c r="EO159" s="1012"/>
      <c r="EQ159" s="1012"/>
      <c r="ES159" s="1012"/>
      <c r="EU159" s="1012"/>
      <c r="EW159" s="1012"/>
      <c r="EY159" s="1012"/>
      <c r="FA159" s="1012"/>
      <c r="FC159" s="1012"/>
      <c r="FE159" s="1012"/>
      <c r="FG159" s="1012"/>
      <c r="FH159" s="1015"/>
      <c r="FI159" s="37"/>
      <c r="FK159" s="1013"/>
      <c r="FL159" s="1012"/>
      <c r="FM159" s="1012"/>
      <c r="FN159" s="1012"/>
      <c r="FP159" s="1014"/>
      <c r="FQ159" s="1014"/>
      <c r="FR159" s="1014"/>
      <c r="FS159" s="1014"/>
      <c r="FT159" s="1014"/>
      <c r="FU159" s="1014"/>
      <c r="FV159" s="1014"/>
      <c r="FW159" s="1014"/>
      <c r="FX159" s="1014"/>
      <c r="FY159" s="1014"/>
      <c r="FZ159" s="1014"/>
      <c r="GA159" s="1014"/>
      <c r="GB159" s="1014"/>
      <c r="GC159" s="1014"/>
      <c r="GD159" s="1014"/>
      <c r="GE159" s="1014"/>
      <c r="GF159" s="1014"/>
      <c r="GG159" s="1014"/>
      <c r="GH159" s="1014"/>
      <c r="GI159" s="1014"/>
      <c r="GJ159" s="1014"/>
      <c r="GK159" s="1014"/>
      <c r="GL159" s="1014"/>
      <c r="GM159" s="1014"/>
      <c r="GN159" s="1014"/>
      <c r="GO159" s="1014"/>
      <c r="GP159" s="1014"/>
      <c r="GQ159" s="1014"/>
      <c r="GR159" s="1014"/>
      <c r="GS159" s="1014"/>
      <c r="GT159" s="1014"/>
      <c r="GU159" s="1014"/>
      <c r="GV159" s="1014"/>
      <c r="GW159" s="1014"/>
      <c r="GX159" s="1014"/>
      <c r="GY159" s="1014"/>
      <c r="GZ159" s="1014"/>
      <c r="HA159" s="1014"/>
      <c r="HB159" s="1014"/>
      <c r="HC159" s="1014"/>
      <c r="HD159" s="1014"/>
      <c r="HE159" s="1014"/>
      <c r="HF159" s="1014"/>
      <c r="HG159" s="1014"/>
      <c r="HH159" s="1014"/>
      <c r="HI159" s="1014"/>
      <c r="HJ159" s="1014"/>
      <c r="HK159" s="1014"/>
      <c r="HL159" s="1014"/>
      <c r="HM159" s="1014"/>
      <c r="HN159" s="1014"/>
      <c r="HO159" s="1014"/>
      <c r="HP159" s="1014"/>
      <c r="HQ159" s="1014"/>
      <c r="HR159" s="1014"/>
      <c r="HS159" s="1014"/>
      <c r="HT159" s="1014"/>
      <c r="HU159" s="1014"/>
      <c r="HV159" s="1014"/>
    </row>
    <row r="160" spans="1:230" s="470" customFormat="1" outlineLevel="1" x14ac:dyDescent="0.25">
      <c r="A160" s="1031">
        <v>42685</v>
      </c>
      <c r="B160" s="1031"/>
      <c r="C160" s="471"/>
      <c r="D160" s="469"/>
      <c r="H160" s="1006"/>
      <c r="I160" s="37"/>
      <c r="J160" s="1006"/>
      <c r="K160" s="37"/>
      <c r="L160" s="1006"/>
      <c r="M160" s="37"/>
      <c r="N160" s="1006"/>
      <c r="O160" s="37"/>
      <c r="P160" s="1006"/>
      <c r="Q160" s="37"/>
      <c r="R160" s="1006"/>
      <c r="S160" s="37"/>
      <c r="T160" s="37"/>
      <c r="U160" s="37"/>
      <c r="V160" s="1006"/>
      <c r="W160" s="37"/>
      <c r="X160" s="1006"/>
      <c r="Y160" s="37"/>
      <c r="Z160" s="1006"/>
      <c r="AA160" s="37"/>
      <c r="AB160" s="1006"/>
      <c r="AC160" s="37"/>
      <c r="AD160" s="1006"/>
      <c r="AE160" s="37"/>
      <c r="AF160" s="1006"/>
      <c r="AG160" s="37"/>
      <c r="AH160" s="37"/>
      <c r="AI160" s="37"/>
      <c r="AJ160" s="1006"/>
      <c r="AK160" s="37"/>
      <c r="AL160" s="1006"/>
      <c r="AM160" s="37"/>
      <c r="AN160" s="1006"/>
      <c r="AO160" s="37"/>
      <c r="AP160" s="1006"/>
      <c r="AQ160" s="37"/>
      <c r="AR160" s="37"/>
      <c r="AS160" s="37"/>
      <c r="AT160" s="37"/>
      <c r="AU160" s="37"/>
      <c r="AV160" s="37"/>
      <c r="AW160" s="37"/>
      <c r="AX160" s="1006"/>
      <c r="AY160" s="37"/>
      <c r="AZ160" s="1006"/>
      <c r="BA160" s="37"/>
      <c r="BB160" s="1006"/>
      <c r="BC160" s="37"/>
      <c r="BD160" s="1006"/>
      <c r="BE160" s="37"/>
      <c r="BF160" s="1006"/>
      <c r="BG160" s="37"/>
      <c r="BH160" s="37"/>
      <c r="BI160" s="37"/>
      <c r="BJ160" s="37"/>
      <c r="BK160" s="37"/>
      <c r="BL160" s="1006"/>
      <c r="BM160" s="37"/>
      <c r="BN160" s="1006"/>
      <c r="BO160" s="37"/>
      <c r="BP160" s="1006"/>
      <c r="BQ160" s="37"/>
      <c r="BR160" s="1006"/>
      <c r="BS160" s="37"/>
      <c r="BT160" s="1006"/>
      <c r="BU160" s="1006"/>
      <c r="BV160" s="1006"/>
      <c r="BW160" s="1006"/>
      <c r="BX160" s="37"/>
      <c r="BY160" s="37"/>
      <c r="BZ160" s="1006"/>
      <c r="CA160" s="37"/>
      <c r="CB160" s="1006"/>
      <c r="CC160" s="37"/>
      <c r="CD160" s="1006"/>
      <c r="CE160" s="37"/>
      <c r="CF160" s="1006"/>
      <c r="CG160" s="37"/>
      <c r="CH160" s="1006"/>
      <c r="CI160" s="1006"/>
      <c r="CJ160" s="1006"/>
      <c r="CK160" s="1006"/>
      <c r="CL160" s="37"/>
      <c r="CM160" s="37"/>
      <c r="CO160" s="1016"/>
      <c r="CQ160" s="1012"/>
      <c r="CS160" s="1012"/>
      <c r="CU160" s="1012"/>
      <c r="CW160" s="1012"/>
      <c r="CY160" s="1012"/>
      <c r="DA160" s="1012"/>
      <c r="DC160" s="1012"/>
      <c r="DE160" s="1012"/>
      <c r="DG160" s="1012"/>
      <c r="DI160" s="1012"/>
      <c r="DK160" s="1012"/>
      <c r="DM160" s="1012"/>
      <c r="DO160" s="1012"/>
      <c r="DQ160" s="1012"/>
      <c r="DS160" s="1012"/>
      <c r="DU160" s="1012"/>
      <c r="DW160" s="1012"/>
      <c r="DY160" s="1012"/>
      <c r="EA160" s="1012"/>
      <c r="EC160" s="1012"/>
      <c r="EE160" s="1012"/>
      <c r="EG160" s="1012"/>
      <c r="EI160" s="1012"/>
      <c r="EK160" s="1012"/>
      <c r="EM160" s="1012"/>
      <c r="EO160" s="1012"/>
      <c r="EQ160" s="1012"/>
      <c r="ES160" s="1012"/>
      <c r="EU160" s="1012"/>
      <c r="EW160" s="1012"/>
      <c r="EY160" s="1012"/>
      <c r="FA160" s="1012"/>
      <c r="FC160" s="1012"/>
      <c r="FE160" s="1012"/>
      <c r="FG160" s="1012"/>
      <c r="FH160" s="1015"/>
      <c r="FI160" s="37"/>
      <c r="FK160" s="1013"/>
      <c r="FL160" s="1012"/>
      <c r="FM160" s="1012"/>
      <c r="FN160" s="1012"/>
      <c r="FP160" s="1014"/>
      <c r="FQ160" s="1014"/>
      <c r="FR160" s="1014"/>
      <c r="FS160" s="1014"/>
      <c r="FT160" s="1014"/>
      <c r="FU160" s="1014"/>
      <c r="FV160" s="1014"/>
      <c r="FW160" s="1014"/>
      <c r="FX160" s="1014"/>
      <c r="FY160" s="1014"/>
      <c r="FZ160" s="1014"/>
      <c r="GA160" s="1014"/>
      <c r="GB160" s="1014"/>
      <c r="GC160" s="1014"/>
      <c r="GD160" s="1014"/>
      <c r="GE160" s="1014"/>
      <c r="GF160" s="1014"/>
      <c r="GG160" s="1014"/>
      <c r="GH160" s="1014"/>
      <c r="GI160" s="1014"/>
      <c r="GJ160" s="1014"/>
      <c r="GK160" s="1014"/>
      <c r="GL160" s="1014"/>
      <c r="GM160" s="1014"/>
      <c r="GN160" s="1014"/>
      <c r="GO160" s="1014"/>
      <c r="GP160" s="1014"/>
      <c r="GQ160" s="1014"/>
      <c r="GR160" s="1014"/>
      <c r="GS160" s="1014"/>
      <c r="GT160" s="1014"/>
      <c r="GU160" s="1014"/>
      <c r="GV160" s="1014"/>
      <c r="GW160" s="1014"/>
      <c r="GX160" s="1014"/>
      <c r="GY160" s="1014"/>
      <c r="GZ160" s="1014"/>
      <c r="HA160" s="1014"/>
      <c r="HB160" s="1014"/>
      <c r="HC160" s="1014"/>
      <c r="HD160" s="1014"/>
      <c r="HE160" s="1014"/>
      <c r="HF160" s="1014"/>
      <c r="HG160" s="1014"/>
      <c r="HH160" s="1014"/>
      <c r="HI160" s="1014"/>
      <c r="HJ160" s="1014"/>
      <c r="HK160" s="1014"/>
      <c r="HL160" s="1014"/>
      <c r="HM160" s="1014"/>
      <c r="HN160" s="1014"/>
      <c r="HO160" s="1014"/>
      <c r="HP160" s="1014"/>
      <c r="HQ160" s="1014"/>
      <c r="HR160" s="1014"/>
      <c r="HS160" s="1014"/>
      <c r="HT160" s="1014"/>
      <c r="HU160" s="1014"/>
      <c r="HV160" s="1014"/>
    </row>
    <row r="161" spans="1:230" s="470" customFormat="1" outlineLevel="1" x14ac:dyDescent="0.25">
      <c r="A161" s="1031">
        <v>42688</v>
      </c>
      <c r="B161" s="1031"/>
      <c r="C161" s="471"/>
      <c r="D161" s="469"/>
      <c r="H161" s="1006"/>
      <c r="I161" s="37"/>
      <c r="J161" s="1006"/>
      <c r="K161" s="37"/>
      <c r="L161" s="1006"/>
      <c r="M161" s="37"/>
      <c r="N161" s="1006"/>
      <c r="O161" s="37"/>
      <c r="P161" s="1006"/>
      <c r="Q161" s="37"/>
      <c r="R161" s="1006"/>
      <c r="S161" s="37"/>
      <c r="T161" s="37"/>
      <c r="U161" s="37"/>
      <c r="V161" s="1006"/>
      <c r="W161" s="37"/>
      <c r="X161" s="1006"/>
      <c r="Y161" s="37"/>
      <c r="Z161" s="1006"/>
      <c r="AA161" s="37"/>
      <c r="AB161" s="1006"/>
      <c r="AC161" s="37"/>
      <c r="AD161" s="1006"/>
      <c r="AE161" s="37"/>
      <c r="AF161" s="1006"/>
      <c r="AG161" s="37"/>
      <c r="AH161" s="37"/>
      <c r="AI161" s="37"/>
      <c r="AJ161" s="1006"/>
      <c r="AK161" s="37"/>
      <c r="AL161" s="1006"/>
      <c r="AM161" s="37"/>
      <c r="AN161" s="1006"/>
      <c r="AO161" s="37"/>
      <c r="AP161" s="1006"/>
      <c r="AQ161" s="37"/>
      <c r="AR161" s="37"/>
      <c r="AS161" s="37"/>
      <c r="AT161" s="37"/>
      <c r="AU161" s="37"/>
      <c r="AV161" s="37"/>
      <c r="AW161" s="37"/>
      <c r="AX161" s="1006"/>
      <c r="AY161" s="37"/>
      <c r="AZ161" s="1006"/>
      <c r="BA161" s="37"/>
      <c r="BB161" s="1006"/>
      <c r="BC161" s="37"/>
      <c r="BD161" s="1006"/>
      <c r="BE161" s="37"/>
      <c r="BF161" s="1006"/>
      <c r="BG161" s="37"/>
      <c r="BH161" s="37"/>
      <c r="BI161" s="37"/>
      <c r="BJ161" s="37"/>
      <c r="BK161" s="37"/>
      <c r="BL161" s="1006"/>
      <c r="BM161" s="37"/>
      <c r="BN161" s="1006"/>
      <c r="BO161" s="37"/>
      <c r="BP161" s="1006"/>
      <c r="BQ161" s="37"/>
      <c r="BR161" s="1006"/>
      <c r="BS161" s="37"/>
      <c r="BT161" s="1006"/>
      <c r="BU161" s="1006"/>
      <c r="BV161" s="1006"/>
      <c r="BW161" s="1006"/>
      <c r="BX161" s="37"/>
      <c r="BY161" s="37"/>
      <c r="BZ161" s="1006"/>
      <c r="CA161" s="37"/>
      <c r="CB161" s="1006"/>
      <c r="CC161" s="37"/>
      <c r="CD161" s="1006"/>
      <c r="CE161" s="37"/>
      <c r="CF161" s="1006"/>
      <c r="CG161" s="37"/>
      <c r="CH161" s="1006"/>
      <c r="CI161" s="1006"/>
      <c r="CJ161" s="1006"/>
      <c r="CK161" s="1006"/>
      <c r="CL161" s="37"/>
      <c r="CM161" s="37"/>
      <c r="CO161" s="1016"/>
      <c r="CQ161" s="1012"/>
      <c r="CS161" s="1012"/>
      <c r="CU161" s="1012"/>
      <c r="CW161" s="1012"/>
      <c r="CY161" s="1012"/>
      <c r="DA161" s="1012"/>
      <c r="DC161" s="1012"/>
      <c r="DE161" s="1012"/>
      <c r="DG161" s="1012"/>
      <c r="DI161" s="1012"/>
      <c r="DK161" s="1012"/>
      <c r="DM161" s="1012"/>
      <c r="DO161" s="1012"/>
      <c r="DQ161" s="1012"/>
      <c r="DS161" s="1012"/>
      <c r="DU161" s="1012"/>
      <c r="DW161" s="1012"/>
      <c r="DY161" s="1012"/>
      <c r="EA161" s="1012"/>
      <c r="EC161" s="1012"/>
      <c r="EE161" s="1012"/>
      <c r="EG161" s="1012"/>
      <c r="EI161" s="1012"/>
      <c r="EK161" s="1012"/>
      <c r="EM161" s="1012"/>
      <c r="EO161" s="1012"/>
      <c r="EQ161" s="1012"/>
      <c r="ES161" s="1012"/>
      <c r="EU161" s="1012"/>
      <c r="EW161" s="1012"/>
      <c r="EY161" s="1012"/>
      <c r="FA161" s="1012"/>
      <c r="FC161" s="1012"/>
      <c r="FE161" s="1012"/>
      <c r="FG161" s="1012"/>
      <c r="FH161" s="1015"/>
      <c r="FI161" s="37"/>
      <c r="FK161" s="1013"/>
      <c r="FL161" s="1012"/>
      <c r="FM161" s="1012"/>
      <c r="FN161" s="1012"/>
      <c r="FP161" s="1014"/>
      <c r="FQ161" s="1014"/>
      <c r="FR161" s="1014"/>
      <c r="FS161" s="1014"/>
      <c r="FT161" s="1014"/>
      <c r="FU161" s="1014"/>
      <c r="FV161" s="1014"/>
      <c r="FW161" s="1014"/>
      <c r="FX161" s="1014"/>
      <c r="FY161" s="1014"/>
      <c r="FZ161" s="1014"/>
      <c r="GA161" s="1014"/>
      <c r="GB161" s="1014"/>
      <c r="GC161" s="1014"/>
      <c r="GD161" s="1014"/>
      <c r="GE161" s="1014"/>
      <c r="GF161" s="1014"/>
      <c r="GG161" s="1014"/>
      <c r="GH161" s="1014"/>
      <c r="GI161" s="1014"/>
      <c r="GJ161" s="1014"/>
      <c r="GK161" s="1014"/>
      <c r="GL161" s="1014"/>
      <c r="GM161" s="1014"/>
      <c r="GN161" s="1014"/>
      <c r="GO161" s="1014"/>
      <c r="GP161" s="1014"/>
      <c r="GQ161" s="1014"/>
      <c r="GR161" s="1014"/>
      <c r="GS161" s="1014"/>
      <c r="GT161" s="1014"/>
      <c r="GU161" s="1014"/>
      <c r="GV161" s="1014"/>
      <c r="GW161" s="1014"/>
      <c r="GX161" s="1014"/>
      <c r="GY161" s="1014"/>
      <c r="GZ161" s="1014"/>
      <c r="HA161" s="1014"/>
      <c r="HB161" s="1014"/>
      <c r="HC161" s="1014"/>
      <c r="HD161" s="1014"/>
      <c r="HE161" s="1014"/>
      <c r="HF161" s="1014"/>
      <c r="HG161" s="1014"/>
      <c r="HH161" s="1014"/>
      <c r="HI161" s="1014"/>
      <c r="HJ161" s="1014"/>
      <c r="HK161" s="1014"/>
      <c r="HL161" s="1014"/>
      <c r="HM161" s="1014"/>
      <c r="HN161" s="1014"/>
      <c r="HO161" s="1014"/>
      <c r="HP161" s="1014"/>
      <c r="HQ161" s="1014"/>
      <c r="HR161" s="1014"/>
      <c r="HS161" s="1014"/>
      <c r="HT161" s="1014"/>
      <c r="HU161" s="1014"/>
      <c r="HV161" s="1014"/>
    </row>
    <row r="162" spans="1:230" s="470" customFormat="1" outlineLevel="1" x14ac:dyDescent="0.25">
      <c r="A162" s="1031">
        <v>42699</v>
      </c>
      <c r="B162" s="1031"/>
      <c r="C162" s="471"/>
      <c r="D162" s="469"/>
      <c r="H162" s="1006"/>
      <c r="I162" s="37"/>
      <c r="J162" s="1006"/>
      <c r="K162" s="37"/>
      <c r="L162" s="1006"/>
      <c r="M162" s="37"/>
      <c r="N162" s="1006"/>
      <c r="O162" s="37"/>
      <c r="P162" s="1006"/>
      <c r="Q162" s="37"/>
      <c r="R162" s="1006"/>
      <c r="S162" s="37"/>
      <c r="T162" s="37"/>
      <c r="U162" s="37"/>
      <c r="V162" s="1006"/>
      <c r="W162" s="37"/>
      <c r="X162" s="1006"/>
      <c r="Y162" s="37"/>
      <c r="Z162" s="1006"/>
      <c r="AA162" s="37"/>
      <c r="AB162" s="1006"/>
      <c r="AC162" s="37"/>
      <c r="AD162" s="1006"/>
      <c r="AE162" s="37"/>
      <c r="AF162" s="1006"/>
      <c r="AG162" s="37"/>
      <c r="AH162" s="37"/>
      <c r="AI162" s="37"/>
      <c r="AJ162" s="1006"/>
      <c r="AK162" s="37"/>
      <c r="AL162" s="1006"/>
      <c r="AM162" s="37"/>
      <c r="AN162" s="1006"/>
      <c r="AO162" s="37"/>
      <c r="AP162" s="1006"/>
      <c r="AQ162" s="37"/>
      <c r="AR162" s="37"/>
      <c r="AS162" s="37"/>
      <c r="AT162" s="37"/>
      <c r="AU162" s="37"/>
      <c r="AV162" s="37"/>
      <c r="AW162" s="37"/>
      <c r="AX162" s="1006"/>
      <c r="AY162" s="37"/>
      <c r="AZ162" s="1006"/>
      <c r="BA162" s="37"/>
      <c r="BB162" s="1006"/>
      <c r="BC162" s="37"/>
      <c r="BD162" s="1006"/>
      <c r="BE162" s="37"/>
      <c r="BF162" s="1006"/>
      <c r="BG162" s="37"/>
      <c r="BH162" s="37"/>
      <c r="BI162" s="37"/>
      <c r="BJ162" s="37"/>
      <c r="BK162" s="37"/>
      <c r="BL162" s="1006"/>
      <c r="BM162" s="37"/>
      <c r="BN162" s="1006"/>
      <c r="BO162" s="37"/>
      <c r="BP162" s="1006"/>
      <c r="BQ162" s="37"/>
      <c r="BR162" s="1006"/>
      <c r="BS162" s="37"/>
      <c r="BT162" s="1006"/>
      <c r="BU162" s="1006"/>
      <c r="BV162" s="1006"/>
      <c r="BW162" s="1006"/>
      <c r="BX162" s="37"/>
      <c r="BY162" s="37"/>
      <c r="BZ162" s="1006"/>
      <c r="CA162" s="37"/>
      <c r="CB162" s="1006"/>
      <c r="CC162" s="37"/>
      <c r="CD162" s="1006"/>
      <c r="CE162" s="37"/>
      <c r="CF162" s="1006"/>
      <c r="CG162" s="37"/>
      <c r="CH162" s="1006"/>
      <c r="CI162" s="1006"/>
      <c r="CJ162" s="1006"/>
      <c r="CK162" s="1006"/>
      <c r="CL162" s="37"/>
      <c r="CM162" s="37"/>
      <c r="CO162" s="1016"/>
      <c r="CQ162" s="1012"/>
      <c r="CS162" s="1012"/>
      <c r="CU162" s="1012"/>
      <c r="CW162" s="1012"/>
      <c r="CY162" s="1012"/>
      <c r="DA162" s="1012"/>
      <c r="DC162" s="1012"/>
      <c r="DE162" s="1012"/>
      <c r="DG162" s="1012"/>
      <c r="DI162" s="1012"/>
      <c r="DK162" s="1012"/>
      <c r="DM162" s="1012"/>
      <c r="DO162" s="1012"/>
      <c r="DQ162" s="1012"/>
      <c r="DS162" s="1012"/>
      <c r="DU162" s="1012"/>
      <c r="DW162" s="1012"/>
      <c r="DY162" s="1012"/>
      <c r="EA162" s="1012"/>
      <c r="EC162" s="1012"/>
      <c r="EE162" s="1012"/>
      <c r="EG162" s="1012"/>
      <c r="EI162" s="1012"/>
      <c r="EK162" s="1012"/>
      <c r="EM162" s="1012"/>
      <c r="EO162" s="1012"/>
      <c r="EQ162" s="1012"/>
      <c r="ES162" s="1012"/>
      <c r="EU162" s="1012"/>
      <c r="EW162" s="1012"/>
      <c r="EY162" s="1012"/>
      <c r="FA162" s="1012"/>
      <c r="FC162" s="1012"/>
      <c r="FE162" s="1012"/>
      <c r="FG162" s="1012"/>
      <c r="FH162" s="1015"/>
      <c r="FI162" s="37"/>
      <c r="FK162" s="1013"/>
      <c r="FL162" s="1012"/>
      <c r="FM162" s="1012"/>
      <c r="FN162" s="1012"/>
      <c r="FP162" s="1014"/>
      <c r="FQ162" s="1014"/>
      <c r="FR162" s="1014"/>
      <c r="FS162" s="1014"/>
      <c r="FT162" s="1014"/>
      <c r="FU162" s="1014"/>
      <c r="FV162" s="1014"/>
      <c r="FW162" s="1014"/>
      <c r="FX162" s="1014"/>
      <c r="FY162" s="1014"/>
      <c r="FZ162" s="1014"/>
      <c r="GA162" s="1014"/>
      <c r="GB162" s="1014"/>
      <c r="GC162" s="1014"/>
      <c r="GD162" s="1014"/>
      <c r="GE162" s="1014"/>
      <c r="GF162" s="1014"/>
      <c r="GG162" s="1014"/>
      <c r="GH162" s="1014"/>
      <c r="GI162" s="1014"/>
      <c r="GJ162" s="1014"/>
      <c r="GK162" s="1014"/>
      <c r="GL162" s="1014"/>
      <c r="GM162" s="1014"/>
      <c r="GN162" s="1014"/>
      <c r="GO162" s="1014"/>
      <c r="GP162" s="1014"/>
      <c r="GQ162" s="1014"/>
      <c r="GR162" s="1014"/>
      <c r="GS162" s="1014"/>
      <c r="GT162" s="1014"/>
      <c r="GU162" s="1014"/>
      <c r="GV162" s="1014"/>
      <c r="GW162" s="1014"/>
      <c r="GX162" s="1014"/>
      <c r="GY162" s="1014"/>
      <c r="GZ162" s="1014"/>
      <c r="HA162" s="1014"/>
      <c r="HB162" s="1014"/>
      <c r="HC162" s="1014"/>
      <c r="HD162" s="1014"/>
      <c r="HE162" s="1014"/>
      <c r="HF162" s="1014"/>
      <c r="HG162" s="1014"/>
      <c r="HH162" s="1014"/>
      <c r="HI162" s="1014"/>
      <c r="HJ162" s="1014"/>
      <c r="HK162" s="1014"/>
      <c r="HL162" s="1014"/>
      <c r="HM162" s="1014"/>
      <c r="HN162" s="1014"/>
      <c r="HO162" s="1014"/>
      <c r="HP162" s="1014"/>
      <c r="HQ162" s="1014"/>
      <c r="HR162" s="1014"/>
      <c r="HS162" s="1014"/>
      <c r="HT162" s="1014"/>
      <c r="HU162" s="1014"/>
      <c r="HV162" s="1014"/>
    </row>
    <row r="163" spans="1:230" s="470" customFormat="1" outlineLevel="1" x14ac:dyDescent="0.25">
      <c r="A163" s="1031">
        <v>42727</v>
      </c>
      <c r="B163" s="1031"/>
      <c r="C163" s="471"/>
      <c r="D163" s="469"/>
      <c r="H163" s="1006"/>
      <c r="I163" s="37"/>
      <c r="J163" s="1006"/>
      <c r="K163" s="37"/>
      <c r="L163" s="1006"/>
      <c r="M163" s="37"/>
      <c r="N163" s="1006"/>
      <c r="O163" s="37"/>
      <c r="P163" s="1006"/>
      <c r="Q163" s="37"/>
      <c r="R163" s="1006"/>
      <c r="S163" s="37"/>
      <c r="T163" s="37"/>
      <c r="U163" s="37"/>
      <c r="V163" s="1006"/>
      <c r="W163" s="37"/>
      <c r="X163" s="1006"/>
      <c r="Y163" s="37"/>
      <c r="Z163" s="1006"/>
      <c r="AA163" s="37"/>
      <c r="AB163" s="1006"/>
      <c r="AC163" s="37"/>
      <c r="AD163" s="1006"/>
      <c r="AE163" s="37"/>
      <c r="AF163" s="1006"/>
      <c r="AG163" s="37"/>
      <c r="AH163" s="37"/>
      <c r="AI163" s="37"/>
      <c r="AJ163" s="1006"/>
      <c r="AK163" s="37"/>
      <c r="AL163" s="1006"/>
      <c r="AM163" s="37"/>
      <c r="AN163" s="1006"/>
      <c r="AO163" s="37"/>
      <c r="AP163" s="1006"/>
      <c r="AQ163" s="37"/>
      <c r="AR163" s="37"/>
      <c r="AS163" s="37"/>
      <c r="AT163" s="37"/>
      <c r="AU163" s="37"/>
      <c r="AV163" s="37"/>
      <c r="AW163" s="37"/>
      <c r="AX163" s="1006"/>
      <c r="AY163" s="37"/>
      <c r="AZ163" s="1006"/>
      <c r="BA163" s="37"/>
      <c r="BB163" s="1006"/>
      <c r="BC163" s="37"/>
      <c r="BD163" s="1006"/>
      <c r="BE163" s="37"/>
      <c r="BF163" s="1006"/>
      <c r="BG163" s="37"/>
      <c r="BH163" s="37"/>
      <c r="BI163" s="37"/>
      <c r="BJ163" s="37"/>
      <c r="BK163" s="37"/>
      <c r="BL163" s="1006"/>
      <c r="BM163" s="37"/>
      <c r="BN163" s="1006"/>
      <c r="BO163" s="37"/>
      <c r="BP163" s="1006"/>
      <c r="BQ163" s="37"/>
      <c r="BR163" s="1006"/>
      <c r="BS163" s="37"/>
      <c r="BT163" s="1006"/>
      <c r="BU163" s="1006"/>
      <c r="BV163" s="1006"/>
      <c r="BW163" s="1006"/>
      <c r="BX163" s="37"/>
      <c r="BY163" s="37"/>
      <c r="BZ163" s="1006"/>
      <c r="CA163" s="37"/>
      <c r="CB163" s="1006"/>
      <c r="CC163" s="37"/>
      <c r="CD163" s="1006"/>
      <c r="CE163" s="37"/>
      <c r="CF163" s="1006"/>
      <c r="CG163" s="37"/>
      <c r="CH163" s="1006"/>
      <c r="CI163" s="1006"/>
      <c r="CJ163" s="1006"/>
      <c r="CK163" s="1006"/>
      <c r="CL163" s="37"/>
      <c r="CM163" s="37"/>
      <c r="CO163" s="1016"/>
      <c r="CQ163" s="1012"/>
      <c r="CS163" s="1012"/>
      <c r="CU163" s="1012"/>
      <c r="CW163" s="1012"/>
      <c r="CY163" s="1012"/>
      <c r="DA163" s="1012"/>
      <c r="DC163" s="1012"/>
      <c r="DE163" s="1012"/>
      <c r="DG163" s="1012"/>
      <c r="DI163" s="1012"/>
      <c r="DK163" s="1012"/>
      <c r="DM163" s="1012"/>
      <c r="DO163" s="1012"/>
      <c r="DQ163" s="1012"/>
      <c r="DS163" s="1012"/>
      <c r="DU163" s="1012"/>
      <c r="DW163" s="1012"/>
      <c r="DY163" s="1012"/>
      <c r="EA163" s="1012"/>
      <c r="EC163" s="1012"/>
      <c r="EE163" s="1012"/>
      <c r="EG163" s="1012"/>
      <c r="EI163" s="1012"/>
      <c r="EK163" s="1012"/>
      <c r="EM163" s="1012"/>
      <c r="EO163" s="1012"/>
      <c r="EQ163" s="1012"/>
      <c r="ES163" s="1012"/>
      <c r="EU163" s="1012"/>
      <c r="EW163" s="1012"/>
      <c r="EY163" s="1012"/>
      <c r="FA163" s="1012"/>
      <c r="FC163" s="1012"/>
      <c r="FE163" s="1012"/>
      <c r="FG163" s="1012"/>
      <c r="FH163" s="1015"/>
      <c r="FI163" s="37"/>
      <c r="FK163" s="1013"/>
      <c r="FL163" s="1012"/>
      <c r="FM163" s="1012"/>
      <c r="FN163" s="1012"/>
      <c r="FP163" s="1014"/>
      <c r="FQ163" s="1014"/>
      <c r="FR163" s="1014"/>
      <c r="FS163" s="1014"/>
      <c r="FT163" s="1014"/>
      <c r="FU163" s="1014"/>
      <c r="FV163" s="1014"/>
      <c r="FW163" s="1014"/>
      <c r="FX163" s="1014"/>
      <c r="FY163" s="1014"/>
      <c r="FZ163" s="1014"/>
      <c r="GA163" s="1014"/>
      <c r="GB163" s="1014"/>
      <c r="GC163" s="1014"/>
      <c r="GD163" s="1014"/>
      <c r="GE163" s="1014"/>
      <c r="GF163" s="1014"/>
      <c r="GG163" s="1014"/>
      <c r="GH163" s="1014"/>
      <c r="GI163" s="1014"/>
      <c r="GJ163" s="1014"/>
      <c r="GK163" s="1014"/>
      <c r="GL163" s="1014"/>
      <c r="GM163" s="1014"/>
      <c r="GN163" s="1014"/>
      <c r="GO163" s="1014"/>
      <c r="GP163" s="1014"/>
      <c r="GQ163" s="1014"/>
      <c r="GR163" s="1014"/>
      <c r="GS163" s="1014"/>
      <c r="GT163" s="1014"/>
      <c r="GU163" s="1014"/>
      <c r="GV163" s="1014"/>
      <c r="GW163" s="1014"/>
      <c r="GX163" s="1014"/>
      <c r="GY163" s="1014"/>
      <c r="GZ163" s="1014"/>
      <c r="HA163" s="1014"/>
      <c r="HB163" s="1014"/>
      <c r="HC163" s="1014"/>
      <c r="HD163" s="1014"/>
      <c r="HE163" s="1014"/>
      <c r="HF163" s="1014"/>
      <c r="HG163" s="1014"/>
      <c r="HH163" s="1014"/>
      <c r="HI163" s="1014"/>
      <c r="HJ163" s="1014"/>
      <c r="HK163" s="1014"/>
      <c r="HL163" s="1014"/>
      <c r="HM163" s="1014"/>
      <c r="HN163" s="1014"/>
      <c r="HO163" s="1014"/>
      <c r="HP163" s="1014"/>
      <c r="HQ163" s="1014"/>
      <c r="HR163" s="1014"/>
      <c r="HS163" s="1014"/>
      <c r="HT163" s="1014"/>
      <c r="HU163" s="1014"/>
      <c r="HV163" s="1014"/>
    </row>
    <row r="164" spans="1:230" s="470" customFormat="1" outlineLevel="1" x14ac:dyDescent="0.25">
      <c r="A164" s="1031">
        <v>42730</v>
      </c>
      <c r="B164" s="1031"/>
      <c r="C164" s="471"/>
      <c r="D164" s="469"/>
      <c r="H164" s="1006"/>
      <c r="I164" s="37"/>
      <c r="J164" s="1006"/>
      <c r="K164" s="37"/>
      <c r="L164" s="1006"/>
      <c r="M164" s="37"/>
      <c r="N164" s="1006"/>
      <c r="O164" s="37"/>
      <c r="P164" s="1006"/>
      <c r="Q164" s="37"/>
      <c r="R164" s="1006"/>
      <c r="S164" s="37"/>
      <c r="T164" s="37"/>
      <c r="U164" s="37"/>
      <c r="V164" s="1006"/>
      <c r="W164" s="37"/>
      <c r="X164" s="1006"/>
      <c r="Y164" s="37"/>
      <c r="Z164" s="1006"/>
      <c r="AA164" s="37"/>
      <c r="AB164" s="1006"/>
      <c r="AC164" s="37"/>
      <c r="AD164" s="1006"/>
      <c r="AE164" s="37"/>
      <c r="AF164" s="1006"/>
      <c r="AG164" s="37"/>
      <c r="AH164" s="37"/>
      <c r="AI164" s="37"/>
      <c r="AJ164" s="1006"/>
      <c r="AK164" s="37"/>
      <c r="AL164" s="1006"/>
      <c r="AM164" s="37"/>
      <c r="AN164" s="1006"/>
      <c r="AO164" s="37"/>
      <c r="AP164" s="1006"/>
      <c r="AQ164" s="37"/>
      <c r="AR164" s="37"/>
      <c r="AS164" s="37"/>
      <c r="AT164" s="37"/>
      <c r="AU164" s="37"/>
      <c r="AV164" s="37"/>
      <c r="AW164" s="37"/>
      <c r="AX164" s="1006"/>
      <c r="AY164" s="37"/>
      <c r="AZ164" s="1006"/>
      <c r="BA164" s="37"/>
      <c r="BB164" s="1006"/>
      <c r="BC164" s="37"/>
      <c r="BD164" s="1006"/>
      <c r="BE164" s="37"/>
      <c r="BF164" s="1006"/>
      <c r="BG164" s="37"/>
      <c r="BH164" s="37"/>
      <c r="BI164" s="37"/>
      <c r="BJ164" s="37"/>
      <c r="BK164" s="37"/>
      <c r="BL164" s="1006"/>
      <c r="BM164" s="37"/>
      <c r="BN164" s="1006"/>
      <c r="BO164" s="37"/>
      <c r="BP164" s="1006"/>
      <c r="BQ164" s="37"/>
      <c r="BR164" s="1006"/>
      <c r="BS164" s="37"/>
      <c r="BT164" s="1006"/>
      <c r="BU164" s="1006"/>
      <c r="BV164" s="1006"/>
      <c r="BW164" s="1006"/>
      <c r="BX164" s="37"/>
      <c r="BY164" s="37"/>
      <c r="BZ164" s="1006"/>
      <c r="CA164" s="37"/>
      <c r="CB164" s="1006"/>
      <c r="CC164" s="37"/>
      <c r="CD164" s="1006"/>
      <c r="CE164" s="37"/>
      <c r="CF164" s="1006"/>
      <c r="CG164" s="37"/>
      <c r="CH164" s="1006"/>
      <c r="CI164" s="1006"/>
      <c r="CJ164" s="1006"/>
      <c r="CK164" s="1006"/>
      <c r="CL164" s="37"/>
      <c r="CM164" s="37"/>
      <c r="CO164" s="1016"/>
      <c r="CQ164" s="1012"/>
      <c r="CS164" s="1012"/>
      <c r="CU164" s="1012"/>
      <c r="CW164" s="1012"/>
      <c r="CY164" s="1012"/>
      <c r="DA164" s="1012"/>
      <c r="DC164" s="1012"/>
      <c r="DE164" s="1012"/>
      <c r="DG164" s="1012"/>
      <c r="DI164" s="1012"/>
      <c r="DK164" s="1012"/>
      <c r="DM164" s="1012"/>
      <c r="DO164" s="1012"/>
      <c r="DQ164" s="1012"/>
      <c r="DS164" s="1012"/>
      <c r="DU164" s="1012"/>
      <c r="DW164" s="1012"/>
      <c r="DY164" s="1012"/>
      <c r="EA164" s="1012"/>
      <c r="EC164" s="1012"/>
      <c r="EE164" s="1012"/>
      <c r="EG164" s="1012"/>
      <c r="EI164" s="1012"/>
      <c r="EK164" s="1012"/>
      <c r="EM164" s="1012"/>
      <c r="EO164" s="1012"/>
      <c r="EQ164" s="1012"/>
      <c r="ES164" s="1012"/>
      <c r="EU164" s="1012"/>
      <c r="EW164" s="1012"/>
      <c r="EY164" s="1012"/>
      <c r="FA164" s="1012"/>
      <c r="FC164" s="1012"/>
      <c r="FE164" s="1012"/>
      <c r="FG164" s="1012"/>
      <c r="FH164" s="1015"/>
      <c r="FI164" s="37"/>
      <c r="FK164" s="1013"/>
      <c r="FL164" s="1012"/>
      <c r="FM164" s="1012"/>
      <c r="FN164" s="1012"/>
      <c r="FP164" s="1014"/>
      <c r="FQ164" s="1014"/>
      <c r="FR164" s="1014"/>
      <c r="FS164" s="1014"/>
      <c r="FT164" s="1014"/>
      <c r="FU164" s="1014"/>
      <c r="FV164" s="1014"/>
      <c r="FW164" s="1014"/>
      <c r="FX164" s="1014"/>
      <c r="FY164" s="1014"/>
      <c r="FZ164" s="1014"/>
      <c r="GA164" s="1014"/>
      <c r="GB164" s="1014"/>
      <c r="GC164" s="1014"/>
      <c r="GD164" s="1014"/>
      <c r="GE164" s="1014"/>
      <c r="GF164" s="1014"/>
      <c r="GG164" s="1014"/>
      <c r="GH164" s="1014"/>
      <c r="GI164" s="1014"/>
      <c r="GJ164" s="1014"/>
      <c r="GK164" s="1014"/>
      <c r="GL164" s="1014"/>
      <c r="GM164" s="1014"/>
      <c r="GN164" s="1014"/>
      <c r="GO164" s="1014"/>
      <c r="GP164" s="1014"/>
      <c r="GQ164" s="1014"/>
      <c r="GR164" s="1014"/>
      <c r="GS164" s="1014"/>
      <c r="GT164" s="1014"/>
      <c r="GU164" s="1014"/>
      <c r="GV164" s="1014"/>
      <c r="GW164" s="1014"/>
      <c r="GX164" s="1014"/>
      <c r="GY164" s="1014"/>
      <c r="GZ164" s="1014"/>
      <c r="HA164" s="1014"/>
      <c r="HB164" s="1014"/>
      <c r="HC164" s="1014"/>
      <c r="HD164" s="1014"/>
      <c r="HE164" s="1014"/>
      <c r="HF164" s="1014"/>
      <c r="HG164" s="1014"/>
      <c r="HH164" s="1014"/>
      <c r="HI164" s="1014"/>
      <c r="HJ164" s="1014"/>
      <c r="HK164" s="1014"/>
      <c r="HL164" s="1014"/>
      <c r="HM164" s="1014"/>
      <c r="HN164" s="1014"/>
      <c r="HO164" s="1014"/>
      <c r="HP164" s="1014"/>
      <c r="HQ164" s="1014"/>
      <c r="HR164" s="1014"/>
      <c r="HS164" s="1014"/>
      <c r="HT164" s="1014"/>
      <c r="HU164" s="1014"/>
      <c r="HV164" s="1014"/>
    </row>
    <row r="165" spans="1:230" s="470" customFormat="1" outlineLevel="1" x14ac:dyDescent="0.25">
      <c r="A165" s="1031">
        <v>42731</v>
      </c>
      <c r="B165" s="1031"/>
      <c r="C165" s="471"/>
      <c r="D165" s="469"/>
      <c r="H165" s="1006"/>
      <c r="I165" s="37"/>
      <c r="J165" s="1006"/>
      <c r="K165" s="37"/>
      <c r="L165" s="1006"/>
      <c r="M165" s="37"/>
      <c r="N165" s="1006"/>
      <c r="O165" s="37"/>
      <c r="P165" s="1006"/>
      <c r="Q165" s="37"/>
      <c r="R165" s="1006"/>
      <c r="S165" s="37"/>
      <c r="T165" s="37"/>
      <c r="U165" s="37"/>
      <c r="V165" s="1006"/>
      <c r="W165" s="37"/>
      <c r="X165" s="1006"/>
      <c r="Y165" s="37"/>
      <c r="Z165" s="1006"/>
      <c r="AA165" s="37"/>
      <c r="AB165" s="1006"/>
      <c r="AC165" s="37"/>
      <c r="AD165" s="1006"/>
      <c r="AE165" s="37"/>
      <c r="AF165" s="1006"/>
      <c r="AG165" s="37"/>
      <c r="AH165" s="37"/>
      <c r="AI165" s="37"/>
      <c r="AJ165" s="1006"/>
      <c r="AK165" s="37"/>
      <c r="AL165" s="1006"/>
      <c r="AM165" s="37"/>
      <c r="AN165" s="1006"/>
      <c r="AO165" s="37"/>
      <c r="AP165" s="1006"/>
      <c r="AQ165" s="37"/>
      <c r="AR165" s="37"/>
      <c r="AS165" s="37"/>
      <c r="AT165" s="37"/>
      <c r="AU165" s="37"/>
      <c r="AV165" s="37"/>
      <c r="AW165" s="37"/>
      <c r="AX165" s="1006"/>
      <c r="AY165" s="37"/>
      <c r="AZ165" s="1006"/>
      <c r="BA165" s="37"/>
      <c r="BB165" s="1006"/>
      <c r="BC165" s="37"/>
      <c r="BD165" s="1006"/>
      <c r="BE165" s="37"/>
      <c r="BF165" s="1006"/>
      <c r="BG165" s="37"/>
      <c r="BH165" s="37"/>
      <c r="BI165" s="37"/>
      <c r="BJ165" s="37"/>
      <c r="BK165" s="37"/>
      <c r="BL165" s="1006"/>
      <c r="BM165" s="37"/>
      <c r="BN165" s="1006"/>
      <c r="BO165" s="37"/>
      <c r="BP165" s="1006"/>
      <c r="BQ165" s="37"/>
      <c r="BR165" s="1006"/>
      <c r="BS165" s="37"/>
      <c r="BT165" s="1006"/>
      <c r="BU165" s="1006"/>
      <c r="BV165" s="1006"/>
      <c r="BW165" s="1006"/>
      <c r="BX165" s="37"/>
      <c r="BY165" s="37"/>
      <c r="BZ165" s="1006"/>
      <c r="CA165" s="37"/>
      <c r="CB165" s="1006"/>
      <c r="CC165" s="37"/>
      <c r="CD165" s="1006"/>
      <c r="CE165" s="37"/>
      <c r="CF165" s="1006"/>
      <c r="CG165" s="37"/>
      <c r="CH165" s="1006"/>
      <c r="CI165" s="1006"/>
      <c r="CJ165" s="1006"/>
      <c r="CK165" s="1006"/>
      <c r="CL165" s="37"/>
      <c r="CM165" s="37"/>
      <c r="CO165" s="1016"/>
      <c r="CQ165" s="1012"/>
      <c r="CS165" s="1012"/>
      <c r="CU165" s="1012"/>
      <c r="CW165" s="1012"/>
      <c r="CY165" s="1012"/>
      <c r="DA165" s="1012"/>
      <c r="DC165" s="1012"/>
      <c r="DE165" s="1012"/>
      <c r="DG165" s="1012"/>
      <c r="DI165" s="1012"/>
      <c r="DK165" s="1012"/>
      <c r="DM165" s="1012"/>
      <c r="DO165" s="1012"/>
      <c r="DQ165" s="1012"/>
      <c r="DS165" s="1012"/>
      <c r="DU165" s="1012"/>
      <c r="DW165" s="1012"/>
      <c r="DY165" s="1012"/>
      <c r="EA165" s="1012"/>
      <c r="EC165" s="1012"/>
      <c r="EE165" s="1012"/>
      <c r="EG165" s="1012"/>
      <c r="EI165" s="1012"/>
      <c r="EK165" s="1012"/>
      <c r="EM165" s="1012"/>
      <c r="EO165" s="1012"/>
      <c r="EQ165" s="1012"/>
      <c r="ES165" s="1012"/>
      <c r="EU165" s="1012"/>
      <c r="EW165" s="1012"/>
      <c r="EY165" s="1012"/>
      <c r="FA165" s="1012"/>
      <c r="FC165" s="1012"/>
      <c r="FE165" s="1012"/>
      <c r="FG165" s="1012"/>
      <c r="FH165" s="1015"/>
      <c r="FI165" s="37"/>
      <c r="FK165" s="1013"/>
      <c r="FL165" s="1012"/>
      <c r="FM165" s="1012"/>
      <c r="FN165" s="1012"/>
      <c r="FP165" s="1014"/>
      <c r="FQ165" s="1014"/>
      <c r="FR165" s="1014"/>
      <c r="FS165" s="1014"/>
      <c r="FT165" s="1014"/>
      <c r="FU165" s="1014"/>
      <c r="FV165" s="1014"/>
      <c r="FW165" s="1014"/>
      <c r="FX165" s="1014"/>
      <c r="FY165" s="1014"/>
      <c r="FZ165" s="1014"/>
      <c r="GA165" s="1014"/>
      <c r="GB165" s="1014"/>
      <c r="GC165" s="1014"/>
      <c r="GD165" s="1014"/>
      <c r="GE165" s="1014"/>
      <c r="GF165" s="1014"/>
      <c r="GG165" s="1014"/>
      <c r="GH165" s="1014"/>
      <c r="GI165" s="1014"/>
      <c r="GJ165" s="1014"/>
      <c r="GK165" s="1014"/>
      <c r="GL165" s="1014"/>
      <c r="GM165" s="1014"/>
      <c r="GN165" s="1014"/>
      <c r="GO165" s="1014"/>
      <c r="GP165" s="1014"/>
      <c r="GQ165" s="1014"/>
      <c r="GR165" s="1014"/>
      <c r="GS165" s="1014"/>
      <c r="GT165" s="1014"/>
      <c r="GU165" s="1014"/>
      <c r="GV165" s="1014"/>
      <c r="GW165" s="1014"/>
      <c r="GX165" s="1014"/>
      <c r="GY165" s="1014"/>
      <c r="GZ165" s="1014"/>
      <c r="HA165" s="1014"/>
      <c r="HB165" s="1014"/>
      <c r="HC165" s="1014"/>
      <c r="HD165" s="1014"/>
      <c r="HE165" s="1014"/>
      <c r="HF165" s="1014"/>
      <c r="HG165" s="1014"/>
      <c r="HH165" s="1014"/>
      <c r="HI165" s="1014"/>
      <c r="HJ165" s="1014"/>
      <c r="HK165" s="1014"/>
      <c r="HL165" s="1014"/>
      <c r="HM165" s="1014"/>
      <c r="HN165" s="1014"/>
      <c r="HO165" s="1014"/>
      <c r="HP165" s="1014"/>
      <c r="HQ165" s="1014"/>
      <c r="HR165" s="1014"/>
      <c r="HS165" s="1014"/>
      <c r="HT165" s="1014"/>
      <c r="HU165" s="1014"/>
      <c r="HV165" s="1014"/>
    </row>
    <row r="166" spans="1:230" s="470" customFormat="1" outlineLevel="1" x14ac:dyDescent="0.25">
      <c r="A166" s="1031"/>
      <c r="B166" s="1031"/>
      <c r="C166" s="471"/>
      <c r="D166" s="469"/>
      <c r="H166" s="1006"/>
      <c r="I166" s="37"/>
      <c r="J166" s="1006"/>
      <c r="K166" s="37"/>
      <c r="L166" s="1006"/>
      <c r="M166" s="37"/>
      <c r="N166" s="1006"/>
      <c r="O166" s="37"/>
      <c r="P166" s="1006"/>
      <c r="Q166" s="37"/>
      <c r="R166" s="1006"/>
      <c r="S166" s="37"/>
      <c r="T166" s="37"/>
      <c r="U166" s="37"/>
      <c r="V166" s="1006"/>
      <c r="W166" s="37"/>
      <c r="X166" s="1006"/>
      <c r="Y166" s="37"/>
      <c r="Z166" s="1006"/>
      <c r="AA166" s="37"/>
      <c r="AB166" s="1006"/>
      <c r="AC166" s="37"/>
      <c r="AD166" s="1006"/>
      <c r="AE166" s="37"/>
      <c r="AF166" s="1006"/>
      <c r="AG166" s="37"/>
      <c r="AH166" s="37"/>
      <c r="AI166" s="37"/>
      <c r="AJ166" s="1006"/>
      <c r="AK166" s="37"/>
      <c r="AL166" s="1006"/>
      <c r="AM166" s="37"/>
      <c r="AN166" s="1006"/>
      <c r="AO166" s="37"/>
      <c r="AP166" s="1006"/>
      <c r="AQ166" s="37"/>
      <c r="AR166" s="37"/>
      <c r="AS166" s="37"/>
      <c r="AT166" s="37"/>
      <c r="AU166" s="37"/>
      <c r="AV166" s="37"/>
      <c r="AW166" s="37"/>
      <c r="AX166" s="1006"/>
      <c r="AY166" s="37"/>
      <c r="AZ166" s="1006"/>
      <c r="BA166" s="37"/>
      <c r="BB166" s="1006"/>
      <c r="BC166" s="37"/>
      <c r="BD166" s="1006"/>
      <c r="BE166" s="37"/>
      <c r="BF166" s="1006"/>
      <c r="BG166" s="37"/>
      <c r="BH166" s="37"/>
      <c r="BI166" s="37"/>
      <c r="BJ166" s="37"/>
      <c r="BK166" s="37"/>
      <c r="BL166" s="1006"/>
      <c r="BM166" s="37"/>
      <c r="BN166" s="1006"/>
      <c r="BO166" s="37"/>
      <c r="BP166" s="1006"/>
      <c r="BQ166" s="37"/>
      <c r="BR166" s="1006"/>
      <c r="BS166" s="37"/>
      <c r="BT166" s="1006"/>
      <c r="BU166" s="1006"/>
      <c r="BV166" s="1006"/>
      <c r="BW166" s="1006"/>
      <c r="BX166" s="37"/>
      <c r="BY166" s="37"/>
      <c r="BZ166" s="1006"/>
      <c r="CA166" s="37"/>
      <c r="CB166" s="1006"/>
      <c r="CC166" s="37"/>
      <c r="CD166" s="1006"/>
      <c r="CE166" s="37"/>
      <c r="CF166" s="1006"/>
      <c r="CG166" s="37"/>
      <c r="CH166" s="1006"/>
      <c r="CI166" s="1006"/>
      <c r="CJ166" s="1006"/>
      <c r="CK166" s="1006"/>
      <c r="CL166" s="37"/>
      <c r="CM166" s="37"/>
      <c r="CO166" s="1012"/>
      <c r="CQ166" s="1012"/>
      <c r="CS166" s="1012"/>
      <c r="CU166" s="1012"/>
      <c r="CW166" s="1012"/>
      <c r="CY166" s="1012"/>
      <c r="DA166" s="1012"/>
      <c r="DC166" s="1012"/>
      <c r="DE166" s="1012"/>
      <c r="DG166" s="1012"/>
      <c r="DI166" s="1012"/>
      <c r="DK166" s="1012"/>
      <c r="DM166" s="1012"/>
      <c r="DO166" s="1012"/>
      <c r="DQ166" s="1012"/>
      <c r="DS166" s="1012"/>
      <c r="DU166" s="1012"/>
      <c r="DW166" s="1012"/>
      <c r="DY166" s="1012"/>
      <c r="EA166" s="1012"/>
      <c r="EC166" s="1012"/>
      <c r="EE166" s="1012"/>
      <c r="EG166" s="1012"/>
      <c r="EI166" s="1012"/>
      <c r="EK166" s="1012"/>
      <c r="EM166" s="1012"/>
      <c r="EO166" s="1012"/>
      <c r="EQ166" s="1012"/>
      <c r="ES166" s="1012"/>
      <c r="EU166" s="1012"/>
      <c r="EW166" s="1012"/>
      <c r="EY166" s="1012"/>
      <c r="FA166" s="1012"/>
      <c r="FC166" s="1012"/>
      <c r="FE166" s="1012"/>
      <c r="FG166" s="1012"/>
      <c r="FH166" s="37"/>
      <c r="FI166" s="37"/>
      <c r="FK166" s="1013"/>
      <c r="FL166" s="1012"/>
      <c r="FM166" s="1012"/>
      <c r="FN166" s="1012"/>
      <c r="FP166" s="1014"/>
      <c r="FQ166" s="1014"/>
      <c r="FR166" s="1014"/>
      <c r="FS166" s="1014"/>
      <c r="FT166" s="1014"/>
      <c r="FU166" s="1014"/>
      <c r="FV166" s="1014"/>
      <c r="FW166" s="1014"/>
      <c r="FX166" s="1014"/>
      <c r="FY166" s="1014"/>
      <c r="FZ166" s="1014"/>
      <c r="GA166" s="1014"/>
      <c r="GB166" s="1014"/>
      <c r="GC166" s="1014"/>
      <c r="GD166" s="1014"/>
      <c r="GE166" s="1014"/>
      <c r="GF166" s="1014"/>
      <c r="GG166" s="1014"/>
      <c r="GH166" s="1014"/>
      <c r="GI166" s="1014"/>
      <c r="GJ166" s="1014"/>
      <c r="GK166" s="1014"/>
      <c r="GL166" s="1014"/>
      <c r="GM166" s="1014"/>
      <c r="GN166" s="1014"/>
      <c r="GO166" s="1014"/>
      <c r="GP166" s="1014"/>
      <c r="GQ166" s="1014"/>
      <c r="GR166" s="1014"/>
      <c r="GS166" s="1014"/>
      <c r="GT166" s="1014"/>
      <c r="GU166" s="1014"/>
      <c r="GV166" s="1014"/>
      <c r="GW166" s="1014"/>
      <c r="GX166" s="1014"/>
      <c r="GY166" s="1014"/>
      <c r="GZ166" s="1014"/>
      <c r="HA166" s="1014"/>
      <c r="HB166" s="1014"/>
      <c r="HC166" s="1014"/>
      <c r="HD166" s="1014"/>
      <c r="HE166" s="1014"/>
      <c r="HF166" s="1014"/>
      <c r="HG166" s="1014"/>
      <c r="HH166" s="1014"/>
      <c r="HI166" s="1014"/>
      <c r="HJ166" s="1014"/>
      <c r="HK166" s="1014"/>
      <c r="HL166" s="1014"/>
      <c r="HM166" s="1014"/>
      <c r="HN166" s="1014"/>
      <c r="HO166" s="1014"/>
      <c r="HP166" s="1014"/>
      <c r="HQ166" s="1014"/>
      <c r="HR166" s="1014"/>
      <c r="HS166" s="1014"/>
      <c r="HT166" s="1014"/>
      <c r="HU166" s="1014"/>
      <c r="HV166" s="1014"/>
    </row>
    <row r="167" spans="1:230" s="444" customFormat="1" outlineLevel="1" x14ac:dyDescent="0.25">
      <c r="A167" s="810"/>
      <c r="B167" s="526"/>
      <c r="C167" s="526"/>
      <c r="D167" s="527"/>
      <c r="E167" s="528"/>
      <c r="F167" s="532" t="s">
        <v>154</v>
      </c>
      <c r="G167" s="528"/>
      <c r="H167" s="530">
        <v>46.807884744849872</v>
      </c>
      <c r="I167" s="530">
        <v>49.260122118551038</v>
      </c>
      <c r="J167" s="530">
        <v>49.600629476584025</v>
      </c>
      <c r="K167" s="530">
        <v>32.058265425964407</v>
      </c>
      <c r="L167" s="530">
        <v>46.081432089165375</v>
      </c>
      <c r="M167" s="530">
        <v>53.606562170308962</v>
      </c>
      <c r="N167" s="530">
        <v>50.375557716349483</v>
      </c>
      <c r="O167" s="530">
        <v>51.188483219716829</v>
      </c>
      <c r="P167" s="530">
        <v>48.296872752420462</v>
      </c>
      <c r="Q167" s="530">
        <v>56.460944662737397</v>
      </c>
      <c r="R167" s="530">
        <v>46.201291727140784</v>
      </c>
      <c r="S167" s="530">
        <v>38.039013381719215</v>
      </c>
      <c r="T167" s="530">
        <v>46.38694335395892</v>
      </c>
      <c r="U167" s="530">
        <v>46.38694335395892</v>
      </c>
      <c r="V167" s="530">
        <f t="shared" ref="V167:Y167" si="755">V48/V28</f>
        <v>47.678426818580185</v>
      </c>
      <c r="W167" s="530">
        <f t="shared" si="755"/>
        <v>51.208712842290232</v>
      </c>
      <c r="X167" s="530">
        <f t="shared" si="755"/>
        <v>50.734484282073069</v>
      </c>
      <c r="Y167" s="530">
        <f t="shared" si="755"/>
        <v>42.190769124551224</v>
      </c>
      <c r="Z167" s="530">
        <v>49.962058581536944</v>
      </c>
      <c r="AA167" s="530">
        <v>48.429290465631929</v>
      </c>
      <c r="AB167" s="530">
        <v>48.372510336680442</v>
      </c>
      <c r="AC167" s="530">
        <v>46.831612440877166</v>
      </c>
      <c r="AD167" s="530">
        <v>43.422286127167624</v>
      </c>
      <c r="AE167" s="530">
        <v>45.204978656126478</v>
      </c>
      <c r="AF167" s="530">
        <v>55.26859276278001</v>
      </c>
      <c r="AG167" s="530">
        <v>100.37871701244813</v>
      </c>
      <c r="AH167" s="530">
        <v>51.984377273199627</v>
      </c>
      <c r="AI167" s="530"/>
      <c r="AJ167" s="530">
        <f t="shared" ref="AJ167" si="756">AJ48/AJ28</f>
        <v>43.934589647411848</v>
      </c>
      <c r="AK167" s="530">
        <f t="shared" ref="AK167:AP167" si="757">AK48/AK28</f>
        <v>39.460915542938253</v>
      </c>
      <c r="AL167" s="530">
        <f t="shared" si="757"/>
        <v>53.048919523099855</v>
      </c>
      <c r="AM167" s="530">
        <f t="shared" si="757"/>
        <v>34.754163060806192</v>
      </c>
      <c r="AN167" s="530">
        <f t="shared" si="757"/>
        <v>46.466020615336561</v>
      </c>
      <c r="AO167" s="530">
        <f t="shared" si="757"/>
        <v>51.455762975778548</v>
      </c>
      <c r="AP167" s="530">
        <f t="shared" si="757"/>
        <v>45.154702863317127</v>
      </c>
      <c r="AQ167" s="530">
        <f t="shared" ref="AQ167:AW167" si="758">AQ48/AQ28</f>
        <v>51.007578768095378</v>
      </c>
      <c r="AR167" s="530">
        <f t="shared" si="758"/>
        <v>48.816616867469882</v>
      </c>
      <c r="AS167" s="530">
        <f t="shared" si="758"/>
        <v>44.554325130499628</v>
      </c>
      <c r="AT167" s="530">
        <f t="shared" si="758"/>
        <v>37.016265969095997</v>
      </c>
      <c r="AU167" s="530">
        <f t="shared" si="758"/>
        <v>52.154613981762914</v>
      </c>
      <c r="AV167" s="530">
        <f t="shared" si="758"/>
        <v>44.994030186568068</v>
      </c>
      <c r="AW167" s="530">
        <f t="shared" si="758"/>
        <v>44.994030186568075</v>
      </c>
      <c r="AX167" s="530">
        <f t="shared" ref="AX167:BD167" si="759">AX48/AX28</f>
        <v>41.724177667766774</v>
      </c>
      <c r="AY167" s="530">
        <f t="shared" si="759"/>
        <v>42.979971651311125</v>
      </c>
      <c r="AZ167" s="530">
        <f t="shared" si="759"/>
        <v>39.408668442077229</v>
      </c>
      <c r="BA167" s="530">
        <f t="shared" si="759"/>
        <v>23.008445614805062</v>
      </c>
      <c r="BB167" s="530">
        <f t="shared" si="759"/>
        <v>33.73032412032412</v>
      </c>
      <c r="BC167" s="530">
        <f t="shared" si="759"/>
        <v>45.460926988265975</v>
      </c>
      <c r="BD167" s="530">
        <f t="shared" si="759"/>
        <v>35.570375519904935</v>
      </c>
      <c r="BE167" s="530">
        <f t="shared" ref="BE167:BK167" si="760">BE48/BE28</f>
        <v>51.571908695652169</v>
      </c>
      <c r="BF167" s="530">
        <f t="shared" si="760"/>
        <v>48.014424988870758</v>
      </c>
      <c r="BG167" s="530">
        <f t="shared" si="760"/>
        <v>50.09903268164576</v>
      </c>
      <c r="BH167" s="530">
        <f t="shared" si="760"/>
        <v>42.96415193287384</v>
      </c>
      <c r="BI167" s="530">
        <f t="shared" si="760"/>
        <v>49.239896096602074</v>
      </c>
      <c r="BJ167" s="530">
        <f t="shared" si="760"/>
        <v>40.354295244016818</v>
      </c>
      <c r="BK167" s="530">
        <f t="shared" si="760"/>
        <v>40.354295244016825</v>
      </c>
      <c r="BL167" s="530">
        <f t="shared" ref="BL167:BR167" si="761">BL48/BL28</f>
        <v>39.377360160965793</v>
      </c>
      <c r="BM167" s="530">
        <f t="shared" si="761"/>
        <v>43.424386542591272</v>
      </c>
      <c r="BN167" s="530">
        <f t="shared" si="761"/>
        <v>39.795787653006919</v>
      </c>
      <c r="BO167" s="530">
        <f t="shared" si="761"/>
        <v>23.120209741856179</v>
      </c>
      <c r="BP167" s="530">
        <f t="shared" si="761"/>
        <v>42.030766814969901</v>
      </c>
      <c r="BQ167" s="530">
        <f t="shared" si="761"/>
        <v>40.098041574061966</v>
      </c>
      <c r="BR167" s="530">
        <f t="shared" si="761"/>
        <v>35.183855585831068</v>
      </c>
      <c r="BS167" s="530">
        <f>BS48/BS28</f>
        <v>46.886963034217395</v>
      </c>
      <c r="BT167" s="530">
        <f>BT48/BT28</f>
        <v>41.117954462437602</v>
      </c>
      <c r="BU167" s="530">
        <f t="shared" ref="BU167:BW167" si="762">BU48/BU28</f>
        <v>35.515317188422912</v>
      </c>
      <c r="BV167" s="530">
        <f t="shared" si="762"/>
        <v>43.952296678966789</v>
      </c>
      <c r="BW167" s="530">
        <f t="shared" si="762"/>
        <v>40.305526495960564</v>
      </c>
      <c r="BX167" s="530">
        <f>BX48/BX28</f>
        <v>38.169253686768833</v>
      </c>
      <c r="BY167" s="530">
        <f>BY48/BY28</f>
        <v>38.169253686768833</v>
      </c>
      <c r="BZ167" s="530">
        <f t="shared" ref="BZ167:CF167" si="763">BZ48/BZ28</f>
        <v>39.617228197486071</v>
      </c>
      <c r="CA167" s="530">
        <f t="shared" si="763"/>
        <v>44.64712922810061</v>
      </c>
      <c r="CB167" s="530">
        <f t="shared" si="763"/>
        <v>43.884188651436986</v>
      </c>
      <c r="CC167" s="530">
        <f t="shared" si="763"/>
        <v>45.077566786009363</v>
      </c>
      <c r="CD167" s="530">
        <f t="shared" si="763"/>
        <v>46.209625875689376</v>
      </c>
      <c r="CE167" s="530">
        <f t="shared" si="763"/>
        <v>49.598425476034144</v>
      </c>
      <c r="CF167" s="530">
        <f t="shared" si="763"/>
        <v>47.497612070216157</v>
      </c>
      <c r="CG167" s="530">
        <f>CG48/CG28</f>
        <v>50.116685157624133</v>
      </c>
      <c r="CH167" s="530">
        <f>CH48/CH28</f>
        <v>36.71271654599088</v>
      </c>
      <c r="CI167" s="530">
        <f t="shared" ref="CI167:CK167" si="764">CI48/CI28</f>
        <v>45.132158763823661</v>
      </c>
      <c r="CJ167" s="530">
        <f t="shared" si="764"/>
        <v>53.123495435684646</v>
      </c>
      <c r="CK167" s="530" t="e">
        <f t="shared" si="764"/>
        <v>#DIV/0!</v>
      </c>
      <c r="CL167" s="530">
        <f>CL48/CL28</f>
        <v>45.454781063406308</v>
      </c>
      <c r="CM167" s="530">
        <f>CM48/CM28</f>
        <v>45.454781063406301</v>
      </c>
      <c r="CO167" s="531"/>
      <c r="CQ167" s="531"/>
      <c r="CS167" s="531"/>
      <c r="CU167" s="531"/>
      <c r="CW167" s="531"/>
      <c r="CY167" s="531"/>
      <c r="DA167" s="531"/>
      <c r="DC167" s="531"/>
      <c r="DE167" s="531"/>
      <c r="DG167" s="531"/>
      <c r="DI167" s="531"/>
      <c r="DK167" s="531"/>
      <c r="DM167" s="531"/>
      <c r="DO167" s="531"/>
      <c r="DQ167" s="531"/>
      <c r="DS167" s="531"/>
      <c r="DU167" s="531"/>
      <c r="DW167" s="531"/>
      <c r="DY167" s="531"/>
      <c r="EA167" s="531"/>
      <c r="EC167" s="531"/>
      <c r="EE167" s="531"/>
      <c r="EG167" s="531"/>
      <c r="EI167" s="531"/>
      <c r="EK167" s="531"/>
      <c r="EM167" s="531"/>
      <c r="EO167" s="531"/>
      <c r="EQ167" s="531"/>
      <c r="ES167" s="531"/>
      <c r="EU167" s="531"/>
      <c r="EW167" s="531"/>
      <c r="EY167" s="531"/>
      <c r="FA167" s="531"/>
      <c r="FC167" s="531"/>
      <c r="FE167" s="531"/>
      <c r="FG167" s="531"/>
      <c r="FH167" s="529"/>
      <c r="FI167" s="529"/>
      <c r="FL167" s="531"/>
      <c r="FM167" s="531"/>
      <c r="FN167" s="531"/>
      <c r="FP167" s="284"/>
      <c r="FQ167" s="284"/>
      <c r="FR167" s="284"/>
      <c r="FS167" s="284"/>
      <c r="FT167" s="284"/>
      <c r="FU167" s="284"/>
      <c r="FV167" s="284"/>
      <c r="FW167" s="284"/>
      <c r="FX167" s="284"/>
      <c r="FY167" s="284"/>
      <c r="FZ167" s="284"/>
      <c r="GA167" s="285"/>
      <c r="GB167" s="285"/>
      <c r="GC167" s="285"/>
      <c r="GD167" s="285"/>
      <c r="GE167" s="285"/>
      <c r="GF167" s="285"/>
      <c r="GG167" s="285"/>
      <c r="GH167" s="285"/>
      <c r="GI167" s="285"/>
      <c r="GJ167" s="285"/>
      <c r="GK167" s="285"/>
      <c r="GL167" s="285"/>
      <c r="GM167" s="285"/>
      <c r="GN167" s="285"/>
      <c r="GO167" s="285"/>
      <c r="GP167" s="285"/>
      <c r="GQ167" s="285"/>
      <c r="GR167" s="285"/>
      <c r="GS167" s="285"/>
      <c r="GT167" s="285"/>
      <c r="GU167" s="285"/>
      <c r="GV167" s="285"/>
      <c r="GW167" s="285"/>
      <c r="GX167" s="285"/>
      <c r="GY167" s="833"/>
      <c r="GZ167" s="833"/>
      <c r="HA167" s="833"/>
      <c r="HB167" s="833"/>
      <c r="HC167" s="833"/>
      <c r="HD167" s="833"/>
      <c r="HE167" s="833"/>
      <c r="HF167" s="833"/>
      <c r="HG167" s="833"/>
      <c r="HH167" s="833"/>
      <c r="HI167" s="833"/>
      <c r="HJ167" s="833"/>
      <c r="HK167" s="961"/>
      <c r="HL167" s="961"/>
      <c r="HM167" s="961"/>
      <c r="HN167" s="961"/>
      <c r="HO167" s="961"/>
      <c r="HP167" s="961"/>
      <c r="HQ167" s="961"/>
      <c r="HR167" s="961"/>
      <c r="HS167" s="961"/>
      <c r="HT167" s="961"/>
      <c r="HU167" s="961"/>
      <c r="HV167" s="961"/>
    </row>
    <row r="168" spans="1:230" x14ac:dyDescent="0.25">
      <c r="BU168" s="20"/>
      <c r="BW168" s="20"/>
      <c r="CI168" s="20"/>
      <c r="CK168" s="20"/>
    </row>
  </sheetData>
  <sheetProtection sheet="1" objects="1" scenarios="1"/>
  <mergeCells count="221">
    <mergeCell ref="EZ1:FA1"/>
    <mergeCell ref="EZ10:FA10"/>
    <mergeCell ref="FB1:FC1"/>
    <mergeCell ref="FB10:FC10"/>
    <mergeCell ref="FD1:FE1"/>
    <mergeCell ref="FD10:FE10"/>
    <mergeCell ref="FF1:FG1"/>
    <mergeCell ref="FF10:FG10"/>
    <mergeCell ref="EP1:EQ1"/>
    <mergeCell ref="EP10:EQ10"/>
    <mergeCell ref="ER1:ES1"/>
    <mergeCell ref="ER10:ES10"/>
    <mergeCell ref="ET1:EU1"/>
    <mergeCell ref="ET10:EU10"/>
    <mergeCell ref="EV1:EW1"/>
    <mergeCell ref="EV10:EW10"/>
    <mergeCell ref="EX1:EY1"/>
    <mergeCell ref="EX10:EY10"/>
    <mergeCell ref="A163:B163"/>
    <mergeCell ref="A164:B164"/>
    <mergeCell ref="A165:B165"/>
    <mergeCell ref="A166:B166"/>
    <mergeCell ref="EJ1:EK1"/>
    <mergeCell ref="EJ10:EK10"/>
    <mergeCell ref="EL1:EM1"/>
    <mergeCell ref="EL10:EM10"/>
    <mergeCell ref="EN1:EO1"/>
    <mergeCell ref="EN10:EO10"/>
    <mergeCell ref="A154:B154"/>
    <mergeCell ref="A155:B155"/>
    <mergeCell ref="A156:B156"/>
    <mergeCell ref="A157:B157"/>
    <mergeCell ref="A158:B158"/>
    <mergeCell ref="A159:B159"/>
    <mergeCell ref="A160:B160"/>
    <mergeCell ref="A161:B161"/>
    <mergeCell ref="A162:B162"/>
    <mergeCell ref="A151:B151"/>
    <mergeCell ref="A152:B152"/>
    <mergeCell ref="A153:B153"/>
    <mergeCell ref="A142:B142"/>
    <mergeCell ref="A143:B143"/>
    <mergeCell ref="A144:B144"/>
    <mergeCell ref="A145:B145"/>
    <mergeCell ref="A146:B146"/>
    <mergeCell ref="A147:B147"/>
    <mergeCell ref="A148:B148"/>
    <mergeCell ref="A149:B149"/>
    <mergeCell ref="A150:B150"/>
    <mergeCell ref="ED1:EE1"/>
    <mergeCell ref="ED10:EE10"/>
    <mergeCell ref="DR1:DS1"/>
    <mergeCell ref="DR10:DS10"/>
    <mergeCell ref="DT1:DU1"/>
    <mergeCell ref="DT10:DU10"/>
    <mergeCell ref="DV1:DW1"/>
    <mergeCell ref="DV10:DW10"/>
    <mergeCell ref="DL1:DM1"/>
    <mergeCell ref="DL10:DM10"/>
    <mergeCell ref="DN1:DO1"/>
    <mergeCell ref="DN10:DO10"/>
    <mergeCell ref="DP1:DQ1"/>
    <mergeCell ref="DP10:DQ10"/>
    <mergeCell ref="A135:B135"/>
    <mergeCell ref="A137:B137"/>
    <mergeCell ref="A138:B138"/>
    <mergeCell ref="EF1:EG1"/>
    <mergeCell ref="EF10:EG10"/>
    <mergeCell ref="EH1:EI1"/>
    <mergeCell ref="EH10:EI10"/>
    <mergeCell ref="DX1:DY1"/>
    <mergeCell ref="DX10:DY10"/>
    <mergeCell ref="DZ1:EA1"/>
    <mergeCell ref="DZ10:EA10"/>
    <mergeCell ref="EB1:EC1"/>
    <mergeCell ref="EB10:EC10"/>
    <mergeCell ref="A139:B139"/>
    <mergeCell ref="A140:B140"/>
    <mergeCell ref="A141:B141"/>
    <mergeCell ref="A136:B136"/>
    <mergeCell ref="A129:B129"/>
    <mergeCell ref="A130:B130"/>
    <mergeCell ref="A131:B131"/>
    <mergeCell ref="A132:B132"/>
    <mergeCell ref="A133:B133"/>
    <mergeCell ref="A134:B134"/>
    <mergeCell ref="A123:B123"/>
    <mergeCell ref="A124:B124"/>
    <mergeCell ref="A125:B125"/>
    <mergeCell ref="A126:B126"/>
    <mergeCell ref="A127:B127"/>
    <mergeCell ref="A128:B128"/>
    <mergeCell ref="A117:B117"/>
    <mergeCell ref="A118:B118"/>
    <mergeCell ref="A119:B119"/>
    <mergeCell ref="A120:B120"/>
    <mergeCell ref="A121:B121"/>
    <mergeCell ref="A122:B122"/>
    <mergeCell ref="FJ1:FK1"/>
    <mergeCell ref="FJ10:FK10"/>
    <mergeCell ref="CN1:CO1"/>
    <mergeCell ref="CN10:CO10"/>
    <mergeCell ref="DB1:DC1"/>
    <mergeCell ref="DB10:DC10"/>
    <mergeCell ref="DD1:DE1"/>
    <mergeCell ref="DD10:DE10"/>
    <mergeCell ref="DF1:DG1"/>
    <mergeCell ref="DF10:DG10"/>
    <mergeCell ref="CR10:CS10"/>
    <mergeCell ref="CT10:CU10"/>
    <mergeCell ref="CV10:CW10"/>
    <mergeCell ref="CX10:CY10"/>
    <mergeCell ref="CZ10:DA10"/>
    <mergeCell ref="DH10:DI10"/>
    <mergeCell ref="DJ1:DK1"/>
    <mergeCell ref="DJ10:DK10"/>
    <mergeCell ref="CV1:CW1"/>
    <mergeCell ref="CX1:CY1"/>
    <mergeCell ref="CZ1:DA1"/>
    <mergeCell ref="CP1:CQ1"/>
    <mergeCell ref="CP10:CQ10"/>
    <mergeCell ref="CR1:CS1"/>
    <mergeCell ref="CT1:CU1"/>
    <mergeCell ref="DH1:DI1"/>
    <mergeCell ref="A112:B112"/>
    <mergeCell ref="A114:B114"/>
    <mergeCell ref="A115:B115"/>
    <mergeCell ref="A105:B105"/>
    <mergeCell ref="A106:B106"/>
    <mergeCell ref="A107:B107"/>
    <mergeCell ref="A109:B109"/>
    <mergeCell ref="A110:B110"/>
    <mergeCell ref="A111:B111"/>
    <mergeCell ref="A113:B113"/>
    <mergeCell ref="A10:G10"/>
    <mergeCell ref="B11:G11"/>
    <mergeCell ref="E17:G17"/>
    <mergeCell ref="D22:G22"/>
    <mergeCell ref="E13:G13"/>
    <mergeCell ref="B9:G9"/>
    <mergeCell ref="E45:G45"/>
    <mergeCell ref="E35:G35"/>
    <mergeCell ref="E34:G34"/>
    <mergeCell ref="E20:G20"/>
    <mergeCell ref="E23:G23"/>
    <mergeCell ref="E47:G47"/>
    <mergeCell ref="A75:B75"/>
    <mergeCell ref="E42:G42"/>
    <mergeCell ref="A74:B74"/>
    <mergeCell ref="E38:G38"/>
    <mergeCell ref="E37:G37"/>
    <mergeCell ref="E40:G40"/>
    <mergeCell ref="E24:G24"/>
    <mergeCell ref="E58:G58"/>
    <mergeCell ref="E25:G25"/>
    <mergeCell ref="E26:G26"/>
    <mergeCell ref="E27:G27"/>
    <mergeCell ref="E30:G30"/>
    <mergeCell ref="E32:G32"/>
    <mergeCell ref="E39:G39"/>
    <mergeCell ref="E28:G28"/>
    <mergeCell ref="E29:G29"/>
    <mergeCell ref="E50:G50"/>
    <mergeCell ref="E59:G59"/>
    <mergeCell ref="E48:G48"/>
    <mergeCell ref="E49:G49"/>
    <mergeCell ref="E61:G61"/>
    <mergeCell ref="E57:G57"/>
    <mergeCell ref="A73:B73"/>
    <mergeCell ref="E63:G63"/>
    <mergeCell ref="E14:G14"/>
    <mergeCell ref="E15:G15"/>
    <mergeCell ref="E16:G16"/>
    <mergeCell ref="E18:G18"/>
    <mergeCell ref="E19:G19"/>
    <mergeCell ref="E46:G46"/>
    <mergeCell ref="E43:G43"/>
    <mergeCell ref="E62:G62"/>
    <mergeCell ref="E52:G52"/>
    <mergeCell ref="E53:G53"/>
    <mergeCell ref="E54:G54"/>
    <mergeCell ref="E56:G56"/>
    <mergeCell ref="E55:G55"/>
    <mergeCell ref="E70:G70"/>
    <mergeCell ref="E64:G64"/>
    <mergeCell ref="E60:G60"/>
    <mergeCell ref="E66:G66"/>
    <mergeCell ref="E67:G67"/>
    <mergeCell ref="E68:G68"/>
    <mergeCell ref="E69:G69"/>
    <mergeCell ref="A116:B116"/>
    <mergeCell ref="A92:B92"/>
    <mergeCell ref="A91:B91"/>
    <mergeCell ref="A90:B90"/>
    <mergeCell ref="A89:B89"/>
    <mergeCell ref="A88:B88"/>
    <mergeCell ref="A93:B93"/>
    <mergeCell ref="A94:B94"/>
    <mergeCell ref="A95:B95"/>
    <mergeCell ref="A108:B108"/>
    <mergeCell ref="A102:B102"/>
    <mergeCell ref="A103:B103"/>
    <mergeCell ref="A104:B104"/>
    <mergeCell ref="A96:B96"/>
    <mergeCell ref="A97:B97"/>
    <mergeCell ref="A98:B98"/>
    <mergeCell ref="A99:B99"/>
    <mergeCell ref="A100:B100"/>
    <mergeCell ref="A101:B101"/>
    <mergeCell ref="A76:B76"/>
    <mergeCell ref="A78:B78"/>
    <mergeCell ref="A77:B77"/>
    <mergeCell ref="A87:B87"/>
    <mergeCell ref="A84:B84"/>
    <mergeCell ref="A83:B83"/>
    <mergeCell ref="A82:B82"/>
    <mergeCell ref="A81:B81"/>
    <mergeCell ref="A86:B86"/>
    <mergeCell ref="A80:B80"/>
    <mergeCell ref="A79:B79"/>
    <mergeCell ref="A85:B85"/>
  </mergeCells>
  <printOptions horizontalCentered="1"/>
  <pageMargins left="0" right="0" top="0.94" bottom="0.38" header="0.25" footer="0.17"/>
  <pageSetup scale="74" orientation="portrait" r:id="rId1"/>
  <headerFooter>
    <oddHeader>&amp;L&amp;6                &amp;G&amp;C&amp;"-,Bold"&amp;18OSC ERP HR/PAYROLL
REPORTING METRICS</oddHeader>
    <oddFooter>&amp;L&amp;8&amp;F (&amp;A)&amp;C&amp;8&amp;P of &amp;N&amp;R&amp;8&amp;D, &amp;T</oddFooter>
  </headerFooter>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K102"/>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RowHeight="15" outlineLevelRow="1" x14ac:dyDescent="0.25"/>
  <cols>
    <col min="1" max="1" width="4.140625" style="369" customWidth="1"/>
    <col min="2" max="2" width="1.42578125" style="370" customWidth="1"/>
    <col min="3" max="3" width="3.5703125" style="316" customWidth="1"/>
    <col min="4" max="4" width="144" style="316" customWidth="1"/>
    <col min="5" max="5" width="9" style="915" customWidth="1"/>
    <col min="6" max="6" width="11.42578125" style="371" customWidth="1"/>
    <col min="7" max="11" width="9.140625" style="371"/>
    <col min="12" max="16384" width="9.140625" style="316"/>
  </cols>
  <sheetData>
    <row r="1" spans="1:11" s="206" customFormat="1" ht="15.75" customHeight="1" thickBot="1" x14ac:dyDescent="0.3">
      <c r="A1" s="1073" t="s">
        <v>56</v>
      </c>
      <c r="B1" s="1074"/>
      <c r="C1" s="1074"/>
      <c r="D1" s="1075"/>
      <c r="E1" s="372" t="s">
        <v>128</v>
      </c>
      <c r="F1" s="205"/>
      <c r="G1" s="205"/>
      <c r="H1" s="205"/>
      <c r="I1" s="205"/>
      <c r="J1" s="205"/>
      <c r="K1" s="205"/>
    </row>
    <row r="2" spans="1:11" s="206" customFormat="1" ht="15" customHeight="1" x14ac:dyDescent="0.25">
      <c r="A2" s="340">
        <v>1</v>
      </c>
      <c r="B2" s="341"/>
      <c r="C2" s="1080" t="s">
        <v>190</v>
      </c>
      <c r="D2" s="1081"/>
      <c r="E2" s="372"/>
      <c r="F2" s="205"/>
      <c r="G2" s="205"/>
      <c r="H2" s="205"/>
      <c r="I2" s="205"/>
      <c r="J2" s="205"/>
      <c r="K2" s="205"/>
    </row>
    <row r="3" spans="1:11" s="206" customFormat="1" ht="14.25" x14ac:dyDescent="0.25">
      <c r="A3" s="203">
        <v>2.1</v>
      </c>
      <c r="B3" s="204"/>
      <c r="C3" s="342" t="s">
        <v>109</v>
      </c>
      <c r="D3" s="343"/>
      <c r="E3" s="372"/>
      <c r="F3" s="205"/>
      <c r="G3" s="205"/>
      <c r="H3" s="205"/>
      <c r="I3" s="205"/>
      <c r="J3" s="205"/>
      <c r="K3" s="205"/>
    </row>
    <row r="4" spans="1:11" s="206" customFormat="1" ht="14.25" x14ac:dyDescent="0.25">
      <c r="A4" s="203">
        <v>2.2000000000000002</v>
      </c>
      <c r="B4" s="204"/>
      <c r="C4" s="344" t="s">
        <v>90</v>
      </c>
      <c r="D4" s="345"/>
      <c r="E4" s="372"/>
      <c r="F4" s="205"/>
      <c r="G4" s="205"/>
      <c r="H4" s="205"/>
      <c r="I4" s="205"/>
      <c r="J4" s="205"/>
      <c r="K4" s="205"/>
    </row>
    <row r="5" spans="1:11" s="206" customFormat="1" ht="14.25" x14ac:dyDescent="0.25">
      <c r="A5" s="203">
        <v>2.2999999999999998</v>
      </c>
      <c r="B5" s="204"/>
      <c r="C5" s="342" t="s">
        <v>49</v>
      </c>
      <c r="D5" s="343"/>
      <c r="E5" s="372"/>
      <c r="F5" s="205"/>
      <c r="G5" s="205"/>
      <c r="H5" s="205"/>
      <c r="I5" s="205"/>
      <c r="J5" s="205"/>
      <c r="K5" s="205"/>
    </row>
    <row r="6" spans="1:11" s="206" customFormat="1" ht="14.25" x14ac:dyDescent="0.25">
      <c r="A6" s="203">
        <v>2.4</v>
      </c>
      <c r="B6" s="204"/>
      <c r="C6" s="344" t="s">
        <v>84</v>
      </c>
      <c r="D6" s="345"/>
      <c r="E6" s="372"/>
      <c r="F6" s="205"/>
      <c r="G6" s="205"/>
      <c r="H6" s="205"/>
      <c r="I6" s="205"/>
      <c r="J6" s="205"/>
      <c r="K6" s="205"/>
    </row>
    <row r="7" spans="1:11" s="206" customFormat="1" ht="14.25" x14ac:dyDescent="0.25">
      <c r="A7" s="203">
        <v>2.5</v>
      </c>
      <c r="B7" s="204"/>
      <c r="C7" s="344" t="s">
        <v>95</v>
      </c>
      <c r="D7" s="345"/>
      <c r="E7" s="372"/>
      <c r="F7" s="205"/>
      <c r="G7" s="205"/>
      <c r="H7" s="205"/>
      <c r="I7" s="205"/>
      <c r="J7" s="205"/>
      <c r="K7" s="205"/>
    </row>
    <row r="8" spans="1:11" s="206" customFormat="1" ht="14.25" x14ac:dyDescent="0.25">
      <c r="A8" s="203">
        <v>2.6</v>
      </c>
      <c r="B8" s="204"/>
      <c r="C8" s="344" t="s">
        <v>110</v>
      </c>
      <c r="D8" s="345"/>
      <c r="E8" s="372"/>
      <c r="F8" s="205"/>
      <c r="G8" s="205"/>
      <c r="H8" s="205"/>
      <c r="I8" s="205"/>
      <c r="J8" s="205"/>
      <c r="K8" s="205"/>
    </row>
    <row r="9" spans="1:11" s="206" customFormat="1" ht="14.25" x14ac:dyDescent="0.25">
      <c r="A9" s="203">
        <v>2.7</v>
      </c>
      <c r="B9" s="204"/>
      <c r="C9" s="344" t="s">
        <v>85</v>
      </c>
      <c r="D9" s="345"/>
      <c r="E9" s="372"/>
      <c r="F9" s="205"/>
      <c r="G9" s="205"/>
      <c r="H9" s="205"/>
      <c r="I9" s="205"/>
      <c r="J9" s="205"/>
      <c r="K9" s="205"/>
    </row>
    <row r="10" spans="1:11" s="206" customFormat="1" ht="14.25" x14ac:dyDescent="0.25">
      <c r="A10" s="203">
        <v>2.8</v>
      </c>
      <c r="B10" s="204"/>
      <c r="C10" s="344" t="s">
        <v>167</v>
      </c>
      <c r="D10" s="345"/>
      <c r="E10" s="372"/>
      <c r="F10" s="205"/>
      <c r="G10" s="205"/>
      <c r="H10" s="205"/>
      <c r="I10" s="205"/>
      <c r="J10" s="205"/>
      <c r="K10" s="205"/>
    </row>
    <row r="11" spans="1:11" s="206" customFormat="1" ht="14.25" x14ac:dyDescent="0.25">
      <c r="A11" s="203">
        <v>3.1</v>
      </c>
      <c r="B11" s="204"/>
      <c r="C11" s="344" t="s">
        <v>60</v>
      </c>
      <c r="D11" s="345"/>
      <c r="E11" s="372"/>
      <c r="F11" s="205"/>
      <c r="G11" s="205"/>
      <c r="H11" s="205"/>
      <c r="I11" s="205"/>
      <c r="J11" s="205"/>
      <c r="K11" s="205"/>
    </row>
    <row r="12" spans="1:11" s="206" customFormat="1" ht="14.25" x14ac:dyDescent="0.25">
      <c r="A12" s="203" t="s">
        <v>33</v>
      </c>
      <c r="B12" s="204"/>
      <c r="C12" s="344" t="s">
        <v>50</v>
      </c>
      <c r="D12" s="345"/>
      <c r="E12" s="372"/>
      <c r="F12" s="205"/>
      <c r="G12" s="205"/>
      <c r="H12" s="205"/>
      <c r="I12" s="205"/>
      <c r="J12" s="205"/>
      <c r="K12" s="205"/>
    </row>
    <row r="13" spans="1:11" s="206" customFormat="1" ht="14.25" x14ac:dyDescent="0.25">
      <c r="A13" s="203" t="s">
        <v>34</v>
      </c>
      <c r="B13" s="204"/>
      <c r="C13" s="344" t="s">
        <v>51</v>
      </c>
      <c r="D13" s="345"/>
      <c r="E13" s="372"/>
      <c r="F13" s="205"/>
      <c r="G13" s="205"/>
      <c r="H13" s="205"/>
      <c r="I13" s="205"/>
      <c r="J13" s="205"/>
      <c r="K13" s="205"/>
    </row>
    <row r="14" spans="1:11" s="206" customFormat="1" ht="14.25" x14ac:dyDescent="0.25">
      <c r="A14" s="203" t="s">
        <v>35</v>
      </c>
      <c r="B14" s="204"/>
      <c r="C14" s="344" t="s">
        <v>52</v>
      </c>
      <c r="D14" s="345"/>
      <c r="E14" s="372"/>
      <c r="F14" s="205"/>
      <c r="G14" s="205"/>
      <c r="H14" s="205"/>
      <c r="I14" s="205"/>
      <c r="J14" s="205"/>
      <c r="K14" s="205"/>
    </row>
    <row r="15" spans="1:11" s="206" customFormat="1" ht="14.25" x14ac:dyDescent="0.25">
      <c r="A15" s="203" t="s">
        <v>36</v>
      </c>
      <c r="B15" s="204"/>
      <c r="C15" s="344" t="s">
        <v>53</v>
      </c>
      <c r="D15" s="345"/>
      <c r="E15" s="372"/>
      <c r="F15" s="205"/>
      <c r="G15" s="205"/>
      <c r="H15" s="205"/>
      <c r="I15" s="205"/>
      <c r="J15" s="205"/>
      <c r="K15" s="205"/>
    </row>
    <row r="16" spans="1:11" s="206" customFormat="1" ht="14.25" x14ac:dyDescent="0.25">
      <c r="A16" s="203" t="s">
        <v>37</v>
      </c>
      <c r="B16" s="204"/>
      <c r="C16" s="344" t="s">
        <v>54</v>
      </c>
      <c r="D16" s="345"/>
      <c r="E16" s="372"/>
      <c r="F16" s="205"/>
      <c r="G16" s="205"/>
      <c r="H16" s="205"/>
      <c r="I16" s="205"/>
      <c r="J16" s="205"/>
      <c r="K16" s="205"/>
    </row>
    <row r="17" spans="1:11" s="206" customFormat="1" ht="14.25" x14ac:dyDescent="0.25">
      <c r="A17" s="203">
        <v>3.2</v>
      </c>
      <c r="B17" s="204"/>
      <c r="C17" s="344" t="s">
        <v>46</v>
      </c>
      <c r="D17" s="345"/>
      <c r="E17" s="372"/>
      <c r="F17" s="205"/>
      <c r="G17" s="205"/>
      <c r="H17" s="205"/>
      <c r="I17" s="205"/>
      <c r="J17" s="205"/>
      <c r="K17" s="205"/>
    </row>
    <row r="18" spans="1:11" s="206" customFormat="1" ht="14.25" x14ac:dyDescent="0.25">
      <c r="A18" s="203">
        <v>3.3</v>
      </c>
      <c r="B18" s="204"/>
      <c r="C18" s="344" t="s">
        <v>55</v>
      </c>
      <c r="D18" s="345"/>
      <c r="E18" s="372"/>
      <c r="F18" s="205"/>
      <c r="G18" s="205"/>
      <c r="H18" s="205"/>
      <c r="I18" s="205"/>
      <c r="J18" s="205"/>
      <c r="K18" s="205"/>
    </row>
    <row r="19" spans="1:11" s="206" customFormat="1" ht="14.25" x14ac:dyDescent="0.25">
      <c r="A19" s="203">
        <v>3.4</v>
      </c>
      <c r="B19" s="204"/>
      <c r="C19" s="344" t="s">
        <v>47</v>
      </c>
      <c r="D19" s="345"/>
      <c r="E19" s="372"/>
      <c r="F19" s="205"/>
      <c r="G19" s="205"/>
      <c r="H19" s="205"/>
      <c r="I19" s="205"/>
      <c r="J19" s="205"/>
      <c r="K19" s="205"/>
    </row>
    <row r="20" spans="1:11" s="206" customFormat="1" ht="24" customHeight="1" x14ac:dyDescent="0.25">
      <c r="A20" s="203">
        <v>4.0999999999999996</v>
      </c>
      <c r="B20" s="204"/>
      <c r="C20" s="1076" t="s">
        <v>243</v>
      </c>
      <c r="D20" s="1077"/>
      <c r="E20" s="372"/>
      <c r="F20" s="205"/>
      <c r="G20" s="205"/>
      <c r="H20" s="205"/>
      <c r="I20" s="205"/>
      <c r="J20" s="205"/>
      <c r="K20" s="205"/>
    </row>
    <row r="21" spans="1:11" s="206" customFormat="1" ht="14.25" customHeight="1" x14ac:dyDescent="0.25">
      <c r="A21" s="203" t="s">
        <v>228</v>
      </c>
      <c r="B21" s="204"/>
      <c r="C21" s="850" t="s">
        <v>229</v>
      </c>
      <c r="D21" s="845"/>
      <c r="E21" s="372">
        <v>41760</v>
      </c>
      <c r="F21" s="205"/>
      <c r="G21" s="205"/>
      <c r="H21" s="205"/>
      <c r="I21" s="205"/>
      <c r="J21" s="205"/>
      <c r="K21" s="205"/>
    </row>
    <row r="22" spans="1:11" s="206" customFormat="1" ht="14.25" customHeight="1" x14ac:dyDescent="0.25">
      <c r="A22" s="203">
        <v>4.2</v>
      </c>
      <c r="B22" s="204"/>
      <c r="C22" s="344" t="s">
        <v>232</v>
      </c>
      <c r="D22" s="345"/>
      <c r="E22" s="372"/>
      <c r="F22" s="205"/>
      <c r="G22" s="205"/>
      <c r="H22" s="205"/>
      <c r="I22" s="205"/>
      <c r="J22" s="205"/>
      <c r="K22" s="205"/>
    </row>
    <row r="23" spans="1:11" s="206" customFormat="1" ht="14.25" customHeight="1" x14ac:dyDescent="0.25">
      <c r="A23" s="203">
        <v>4.3</v>
      </c>
      <c r="B23" s="204"/>
      <c r="C23" s="1078" t="s">
        <v>83</v>
      </c>
      <c r="D23" s="1079"/>
      <c r="E23" s="372"/>
      <c r="F23" s="205"/>
      <c r="G23" s="205"/>
      <c r="H23" s="205"/>
      <c r="I23" s="205"/>
      <c r="J23" s="205"/>
      <c r="K23" s="205"/>
    </row>
    <row r="24" spans="1:11" s="206" customFormat="1" ht="15" customHeight="1" x14ac:dyDescent="0.25">
      <c r="A24" s="203">
        <v>5.0999999999999996</v>
      </c>
      <c r="B24" s="204"/>
      <c r="C24" s="1078" t="s">
        <v>189</v>
      </c>
      <c r="D24" s="1079"/>
      <c r="E24" s="372"/>
      <c r="F24" s="205"/>
      <c r="G24" s="205"/>
      <c r="H24" s="205"/>
      <c r="I24" s="205"/>
      <c r="J24" s="205"/>
      <c r="K24" s="205"/>
    </row>
    <row r="25" spans="1:11" s="206" customFormat="1" ht="15" customHeight="1" x14ac:dyDescent="0.25">
      <c r="A25" s="203">
        <v>5.2</v>
      </c>
      <c r="B25" s="204"/>
      <c r="C25" s="1078" t="s">
        <v>188</v>
      </c>
      <c r="D25" s="1079"/>
      <c r="E25" s="372"/>
      <c r="F25" s="205"/>
      <c r="G25" s="205"/>
      <c r="H25" s="205"/>
      <c r="I25" s="205"/>
      <c r="J25" s="205"/>
      <c r="K25" s="205"/>
    </row>
    <row r="26" spans="1:11" s="206" customFormat="1" ht="14.25" x14ac:dyDescent="0.25">
      <c r="A26" s="203">
        <v>5.3</v>
      </c>
      <c r="B26" s="204"/>
      <c r="C26" s="344" t="s">
        <v>187</v>
      </c>
      <c r="D26" s="345"/>
      <c r="E26" s="372"/>
      <c r="F26" s="205"/>
      <c r="G26" s="205"/>
      <c r="H26" s="205"/>
      <c r="I26" s="205"/>
      <c r="J26" s="205"/>
      <c r="K26" s="205"/>
    </row>
    <row r="27" spans="1:11" s="206" customFormat="1" ht="14.25" x14ac:dyDescent="0.25">
      <c r="A27" s="203">
        <v>5.4</v>
      </c>
      <c r="B27" s="204"/>
      <c r="C27" s="344" t="s">
        <v>21</v>
      </c>
      <c r="D27" s="345"/>
      <c r="E27" s="372"/>
      <c r="F27" s="205"/>
      <c r="G27" s="205"/>
      <c r="H27" s="205"/>
      <c r="I27" s="205"/>
      <c r="J27" s="205"/>
      <c r="K27" s="205"/>
    </row>
    <row r="28" spans="1:11" s="206" customFormat="1" ht="14.25" x14ac:dyDescent="0.25">
      <c r="A28" s="203">
        <v>6.1</v>
      </c>
      <c r="B28" s="346"/>
      <c r="C28" s="344" t="s">
        <v>86</v>
      </c>
      <c r="D28" s="345"/>
      <c r="E28" s="372"/>
      <c r="F28" s="205"/>
      <c r="G28" s="205"/>
      <c r="H28" s="205"/>
      <c r="I28" s="205"/>
      <c r="J28" s="205"/>
      <c r="K28" s="205"/>
    </row>
    <row r="29" spans="1:11" s="206" customFormat="1" ht="14.25" x14ac:dyDescent="0.25">
      <c r="A29" s="203">
        <v>6.2</v>
      </c>
      <c r="B29" s="346"/>
      <c r="C29" s="344" t="s">
        <v>191</v>
      </c>
      <c r="D29" s="345"/>
      <c r="E29" s="372"/>
      <c r="F29" s="205"/>
      <c r="G29" s="205"/>
      <c r="H29" s="205"/>
      <c r="I29" s="205"/>
      <c r="J29" s="205"/>
      <c r="K29" s="205"/>
    </row>
    <row r="30" spans="1:11" s="206" customFormat="1" ht="14.25" x14ac:dyDescent="0.25">
      <c r="A30" s="203">
        <v>7.1</v>
      </c>
      <c r="B30" s="204"/>
      <c r="C30" s="344" t="s">
        <v>87</v>
      </c>
      <c r="D30" s="345"/>
      <c r="E30" s="372"/>
      <c r="F30" s="205"/>
      <c r="G30" s="205"/>
      <c r="H30" s="205"/>
      <c r="I30" s="205"/>
      <c r="J30" s="205"/>
      <c r="K30" s="205"/>
    </row>
    <row r="31" spans="1:11" s="206" customFormat="1" ht="14.25" x14ac:dyDescent="0.25">
      <c r="A31" s="203">
        <v>7.2</v>
      </c>
      <c r="B31" s="204"/>
      <c r="C31" s="344" t="s">
        <v>168</v>
      </c>
      <c r="D31" s="345"/>
      <c r="E31" s="372"/>
      <c r="F31" s="205"/>
      <c r="G31" s="205"/>
      <c r="H31" s="205"/>
      <c r="I31" s="205"/>
      <c r="J31" s="205"/>
      <c r="K31" s="205"/>
    </row>
    <row r="32" spans="1:11" s="206" customFormat="1" ht="14.25" x14ac:dyDescent="0.25">
      <c r="A32" s="203">
        <v>7.3</v>
      </c>
      <c r="B32" s="204"/>
      <c r="C32" s="342" t="s">
        <v>22</v>
      </c>
      <c r="D32" s="343"/>
      <c r="E32" s="372"/>
      <c r="F32" s="205"/>
      <c r="G32" s="205"/>
      <c r="H32" s="205"/>
      <c r="I32" s="205"/>
      <c r="J32" s="205"/>
      <c r="K32" s="205"/>
    </row>
    <row r="33" spans="1:11" s="206" customFormat="1" ht="14.25" x14ac:dyDescent="0.25">
      <c r="A33" s="203">
        <v>7.4</v>
      </c>
      <c r="B33" s="204"/>
      <c r="C33" s="342" t="s">
        <v>88</v>
      </c>
      <c r="D33" s="343"/>
      <c r="E33" s="372"/>
      <c r="F33" s="205"/>
      <c r="G33" s="205"/>
      <c r="H33" s="205"/>
      <c r="I33" s="205"/>
      <c r="J33" s="205"/>
      <c r="K33" s="205"/>
    </row>
    <row r="34" spans="1:11" s="206" customFormat="1" ht="14.25" x14ac:dyDescent="0.25">
      <c r="A34" s="203">
        <v>7.5</v>
      </c>
      <c r="B34" s="204"/>
      <c r="C34" s="342" t="s">
        <v>223</v>
      </c>
      <c r="D34" s="343"/>
      <c r="E34" s="372">
        <v>41760</v>
      </c>
      <c r="F34" s="205"/>
      <c r="G34" s="205"/>
      <c r="H34" s="205"/>
      <c r="I34" s="205"/>
      <c r="J34" s="205"/>
      <c r="K34" s="205"/>
    </row>
    <row r="35" spans="1:11" s="206" customFormat="1" ht="14.25" x14ac:dyDescent="0.25">
      <c r="A35" s="203">
        <v>7.6</v>
      </c>
      <c r="B35" s="204"/>
      <c r="C35" s="342" t="s">
        <v>89</v>
      </c>
      <c r="D35" s="343"/>
      <c r="E35" s="372"/>
      <c r="F35" s="205"/>
      <c r="G35" s="205"/>
      <c r="H35" s="205"/>
      <c r="I35" s="205"/>
      <c r="J35" s="205"/>
      <c r="K35" s="205"/>
    </row>
    <row r="36" spans="1:11" s="206" customFormat="1" x14ac:dyDescent="0.25">
      <c r="A36" s="203">
        <v>8.1</v>
      </c>
      <c r="B36" s="204"/>
      <c r="C36" s="344" t="s">
        <v>64</v>
      </c>
      <c r="D36" s="345"/>
      <c r="E36" s="372"/>
      <c r="F36" s="347"/>
      <c r="G36" s="347"/>
      <c r="H36" s="348"/>
      <c r="I36" s="348"/>
      <c r="J36" s="348"/>
      <c r="K36" s="205"/>
    </row>
    <row r="37" spans="1:11" s="206" customFormat="1" x14ac:dyDescent="0.25">
      <c r="A37" s="203">
        <v>8.1999999999999993</v>
      </c>
      <c r="B37" s="204"/>
      <c r="C37" s="344" t="s">
        <v>23</v>
      </c>
      <c r="D37" s="345"/>
      <c r="E37" s="372"/>
      <c r="F37" s="347"/>
      <c r="G37" s="347"/>
      <c r="H37" s="349"/>
      <c r="I37" s="349"/>
      <c r="J37" s="349"/>
      <c r="K37" s="205"/>
    </row>
    <row r="38" spans="1:11" s="206" customFormat="1" x14ac:dyDescent="0.25">
      <c r="A38" s="203">
        <v>8.3000000000000007</v>
      </c>
      <c r="B38" s="204"/>
      <c r="C38" s="344" t="s">
        <v>48</v>
      </c>
      <c r="D38" s="345"/>
      <c r="E38" s="372"/>
      <c r="F38" s="347"/>
      <c r="G38" s="347"/>
      <c r="H38" s="349"/>
      <c r="I38" s="349"/>
      <c r="J38" s="349"/>
      <c r="K38" s="205"/>
    </row>
    <row r="39" spans="1:11" s="206" customFormat="1" x14ac:dyDescent="0.25">
      <c r="A39" s="203">
        <v>8.4</v>
      </c>
      <c r="B39" s="204"/>
      <c r="C39" s="344" t="s">
        <v>250</v>
      </c>
      <c r="D39" s="345"/>
      <c r="E39" s="372">
        <v>42016</v>
      </c>
      <c r="F39" s="347"/>
      <c r="G39" s="347"/>
      <c r="H39" s="917"/>
      <c r="I39" s="917"/>
      <c r="J39" s="917"/>
      <c r="K39" s="205"/>
    </row>
    <row r="40" spans="1:11" s="206" customFormat="1" x14ac:dyDescent="0.25">
      <c r="A40" s="203">
        <v>8.5</v>
      </c>
      <c r="B40" s="204"/>
      <c r="C40" s="344" t="s">
        <v>247</v>
      </c>
      <c r="D40" s="345"/>
      <c r="E40" s="372">
        <v>41973</v>
      </c>
      <c r="F40" s="347"/>
      <c r="G40" s="347"/>
      <c r="H40" s="912"/>
      <c r="I40" s="912"/>
      <c r="J40" s="912"/>
      <c r="K40" s="205"/>
    </row>
    <row r="41" spans="1:11" s="206" customFormat="1" x14ac:dyDescent="0.25">
      <c r="A41" s="203">
        <v>8.6</v>
      </c>
      <c r="B41" s="204"/>
      <c r="C41" s="342" t="s">
        <v>24</v>
      </c>
      <c r="D41" s="343"/>
      <c r="E41" s="372"/>
      <c r="F41" s="347"/>
      <c r="G41" s="347"/>
      <c r="H41" s="348"/>
      <c r="I41" s="348"/>
      <c r="J41" s="348"/>
      <c r="K41" s="205"/>
    </row>
    <row r="42" spans="1:11" s="206" customFormat="1" x14ac:dyDescent="0.25">
      <c r="A42" s="203">
        <v>8.6999999999999993</v>
      </c>
      <c r="B42" s="204"/>
      <c r="C42" s="344" t="s">
        <v>27</v>
      </c>
      <c r="D42" s="345"/>
      <c r="E42" s="372"/>
      <c r="F42" s="347"/>
      <c r="G42" s="347"/>
      <c r="H42" s="349"/>
      <c r="I42" s="349"/>
      <c r="J42" s="349"/>
      <c r="K42" s="205"/>
    </row>
    <row r="43" spans="1:11" s="206" customFormat="1" x14ac:dyDescent="0.25">
      <c r="A43" s="203">
        <v>8.8000000000000007</v>
      </c>
      <c r="B43" s="204"/>
      <c r="C43" s="344" t="s">
        <v>25</v>
      </c>
      <c r="D43" s="345"/>
      <c r="E43" s="372"/>
      <c r="F43" s="347"/>
      <c r="G43" s="347"/>
      <c r="H43" s="349"/>
      <c r="I43" s="349"/>
      <c r="J43" s="349"/>
      <c r="K43" s="205"/>
    </row>
    <row r="44" spans="1:11" s="206" customFormat="1" x14ac:dyDescent="0.25">
      <c r="A44" s="203">
        <v>8.9</v>
      </c>
      <c r="B44" s="204"/>
      <c r="C44" s="344" t="s">
        <v>26</v>
      </c>
      <c r="D44" s="345"/>
      <c r="E44" s="372"/>
      <c r="F44" s="347"/>
      <c r="G44" s="347"/>
      <c r="H44" s="349"/>
      <c r="I44" s="349"/>
      <c r="J44" s="349"/>
      <c r="K44" s="205"/>
    </row>
    <row r="45" spans="1:11" s="206" customFormat="1" x14ac:dyDescent="0.25">
      <c r="A45" s="350">
        <v>8.1</v>
      </c>
      <c r="B45" s="204"/>
      <c r="C45" s="344" t="s">
        <v>178</v>
      </c>
      <c r="D45" s="345"/>
      <c r="E45" s="372"/>
      <c r="F45" s="347"/>
      <c r="G45" s="347"/>
      <c r="H45" s="349"/>
      <c r="I45" s="349"/>
      <c r="J45" s="349"/>
      <c r="K45" s="205"/>
    </row>
    <row r="46" spans="1:11" s="206" customFormat="1" x14ac:dyDescent="0.25">
      <c r="A46" s="203">
        <v>8.11</v>
      </c>
      <c r="B46" s="204"/>
      <c r="C46" s="344" t="s">
        <v>100</v>
      </c>
      <c r="D46" s="345"/>
      <c r="E46" s="372"/>
      <c r="F46" s="347"/>
      <c r="G46" s="347"/>
      <c r="H46" s="349"/>
      <c r="I46" s="349"/>
      <c r="J46" s="349"/>
      <c r="K46" s="205"/>
    </row>
    <row r="47" spans="1:11" s="206" customFormat="1" x14ac:dyDescent="0.25">
      <c r="A47" s="203">
        <v>8.1199999999999992</v>
      </c>
      <c r="B47" s="204"/>
      <c r="C47" s="344" t="s">
        <v>65</v>
      </c>
      <c r="D47" s="345"/>
      <c r="E47" s="372"/>
      <c r="F47" s="347"/>
      <c r="G47" s="347"/>
      <c r="H47" s="349"/>
      <c r="I47" s="349"/>
      <c r="J47" s="349"/>
      <c r="K47" s="205"/>
    </row>
    <row r="48" spans="1:11" s="206" customFormat="1" x14ac:dyDescent="0.25">
      <c r="A48" s="203">
        <v>8.1300000000000008</v>
      </c>
      <c r="B48" s="204"/>
      <c r="C48" s="344" t="s">
        <v>66</v>
      </c>
      <c r="D48" s="345"/>
      <c r="E48" s="372"/>
      <c r="F48" s="347"/>
      <c r="G48" s="347"/>
      <c r="H48" s="1072"/>
      <c r="I48" s="1072"/>
      <c r="J48" s="1072"/>
      <c r="K48" s="205"/>
    </row>
    <row r="49" spans="1:11" s="206" customFormat="1" ht="14.25" x14ac:dyDescent="0.25">
      <c r="A49" s="203">
        <v>9.1</v>
      </c>
      <c r="B49" s="351"/>
      <c r="C49" s="352" t="s">
        <v>72</v>
      </c>
      <c r="D49" s="353"/>
      <c r="E49" s="372"/>
      <c r="F49" s="205"/>
      <c r="G49" s="205"/>
      <c r="H49" s="205"/>
      <c r="I49" s="205"/>
      <c r="J49" s="205"/>
      <c r="K49" s="205"/>
    </row>
    <row r="50" spans="1:11" s="206" customFormat="1" ht="14.25" x14ac:dyDescent="0.25">
      <c r="A50" s="203">
        <v>9.1999999999999993</v>
      </c>
      <c r="B50" s="351"/>
      <c r="C50" s="352" t="s">
        <v>73</v>
      </c>
      <c r="D50" s="353"/>
      <c r="E50" s="372"/>
      <c r="F50" s="205"/>
      <c r="G50" s="205"/>
      <c r="H50" s="205"/>
      <c r="I50" s="205"/>
      <c r="J50" s="205"/>
      <c r="K50" s="205"/>
    </row>
    <row r="51" spans="1:11" s="206" customFormat="1" ht="14.25" x14ac:dyDescent="0.25">
      <c r="A51" s="203">
        <v>9.3000000000000007</v>
      </c>
      <c r="B51" s="351"/>
      <c r="C51" s="352" t="s">
        <v>74</v>
      </c>
      <c r="D51" s="353"/>
      <c r="E51" s="372"/>
      <c r="F51" s="205"/>
      <c r="G51" s="205"/>
      <c r="H51" s="205"/>
      <c r="I51" s="205"/>
      <c r="J51" s="205"/>
      <c r="K51" s="205"/>
    </row>
    <row r="52" spans="1:11" s="206" customFormat="1" ht="14.25" x14ac:dyDescent="0.25">
      <c r="A52" s="203">
        <v>9.4</v>
      </c>
      <c r="B52" s="351"/>
      <c r="C52" s="352" t="s">
        <v>75</v>
      </c>
      <c r="D52" s="353"/>
      <c r="E52" s="372"/>
      <c r="F52" s="205"/>
      <c r="G52" s="205"/>
      <c r="H52" s="205"/>
      <c r="I52" s="205"/>
      <c r="J52" s="205"/>
      <c r="K52" s="205"/>
    </row>
    <row r="53" spans="1:11" s="205" customFormat="1" thickBot="1" x14ac:dyDescent="0.3">
      <c r="A53" s="354">
        <v>9.5</v>
      </c>
      <c r="B53" s="355"/>
      <c r="C53" s="356" t="s">
        <v>172</v>
      </c>
      <c r="D53" s="357"/>
      <c r="E53" s="372"/>
    </row>
    <row r="54" spans="1:11" s="205" customFormat="1" ht="14.25" x14ac:dyDescent="0.25">
      <c r="A54" s="358"/>
      <c r="B54" s="359"/>
      <c r="C54" s="352"/>
      <c r="D54" s="352"/>
      <c r="E54" s="372"/>
    </row>
    <row r="55" spans="1:11" s="205" customFormat="1" ht="14.25" x14ac:dyDescent="0.25">
      <c r="A55" s="358"/>
      <c r="B55" s="359"/>
      <c r="C55" s="352"/>
      <c r="D55" s="352"/>
      <c r="E55" s="372"/>
    </row>
    <row r="56" spans="1:11" s="205" customFormat="1" ht="14.25" x14ac:dyDescent="0.25">
      <c r="A56" s="358"/>
      <c r="B56" s="359"/>
      <c r="C56" s="352"/>
      <c r="D56" s="352"/>
      <c r="E56" s="372"/>
    </row>
    <row r="57" spans="1:11" s="205" customFormat="1" ht="14.25" x14ac:dyDescent="0.25">
      <c r="A57" s="358"/>
      <c r="B57" s="359"/>
      <c r="C57" s="352"/>
      <c r="D57" s="352"/>
      <c r="E57" s="372"/>
    </row>
    <row r="58" spans="1:11" s="205" customFormat="1" ht="14.25" x14ac:dyDescent="0.25">
      <c r="A58" s="358"/>
      <c r="B58" s="359"/>
      <c r="C58" s="352"/>
      <c r="D58" s="352"/>
      <c r="E58" s="372"/>
    </row>
    <row r="59" spans="1:11" s="205" customFormat="1" ht="14.25" x14ac:dyDescent="0.25">
      <c r="A59" s="358"/>
      <c r="B59" s="359"/>
      <c r="C59" s="352"/>
      <c r="D59" s="352"/>
      <c r="E59" s="372"/>
    </row>
    <row r="60" spans="1:11" s="205" customFormat="1" ht="14.25" x14ac:dyDescent="0.25">
      <c r="A60" s="358"/>
      <c r="B60" s="359"/>
      <c r="C60" s="352"/>
      <c r="D60" s="352"/>
      <c r="E60" s="372"/>
    </row>
    <row r="61" spans="1:11" s="205" customFormat="1" ht="14.25" x14ac:dyDescent="0.25">
      <c r="A61" s="358"/>
      <c r="B61" s="359"/>
      <c r="C61" s="352"/>
      <c r="D61" s="352"/>
      <c r="E61" s="372"/>
    </row>
    <row r="62" spans="1:11" s="205" customFormat="1" ht="14.25" x14ac:dyDescent="0.25">
      <c r="A62" s="358"/>
      <c r="B62" s="359"/>
      <c r="C62" s="352"/>
      <c r="D62" s="352"/>
      <c r="E62" s="372"/>
    </row>
    <row r="63" spans="1:11" s="205" customFormat="1" ht="14.25" x14ac:dyDescent="0.25">
      <c r="A63" s="358"/>
      <c r="B63" s="359"/>
      <c r="C63" s="352"/>
      <c r="D63" s="352"/>
      <c r="E63" s="372"/>
    </row>
    <row r="64" spans="1:11" s="205" customFormat="1" ht="14.25" x14ac:dyDescent="0.25">
      <c r="A64" s="358"/>
      <c r="B64" s="359"/>
      <c r="C64" s="352"/>
      <c r="D64" s="352"/>
      <c r="E64" s="372"/>
    </row>
    <row r="65" spans="1:11" s="205" customFormat="1" ht="14.25" x14ac:dyDescent="0.25">
      <c r="A65" s="358"/>
      <c r="B65" s="359"/>
      <c r="C65" s="352"/>
      <c r="D65" s="352"/>
      <c r="E65" s="372"/>
    </row>
    <row r="66" spans="1:11" s="205" customFormat="1" ht="14.25" x14ac:dyDescent="0.25">
      <c r="A66" s="358"/>
      <c r="B66" s="359"/>
      <c r="C66" s="352"/>
      <c r="D66" s="352"/>
      <c r="E66" s="372"/>
    </row>
    <row r="67" spans="1:11" s="205" customFormat="1" ht="14.25" x14ac:dyDescent="0.25">
      <c r="A67" s="358"/>
      <c r="B67" s="359"/>
      <c r="C67" s="352"/>
      <c r="D67" s="352"/>
      <c r="E67" s="372"/>
    </row>
    <row r="68" spans="1:11" s="205" customFormat="1" ht="14.25" x14ac:dyDescent="0.25">
      <c r="A68" s="358"/>
      <c r="B68" s="359"/>
      <c r="C68" s="352"/>
      <c r="D68" s="352"/>
      <c r="E68" s="372"/>
    </row>
    <row r="69" spans="1:11" s="205" customFormat="1" ht="14.25" x14ac:dyDescent="0.25">
      <c r="A69" s="358"/>
      <c r="B69" s="359"/>
      <c r="C69" s="352"/>
      <c r="D69" s="352"/>
      <c r="E69" s="372"/>
    </row>
    <row r="70" spans="1:11" s="205" customFormat="1" ht="14.25" x14ac:dyDescent="0.25">
      <c r="A70" s="358"/>
      <c r="B70" s="359"/>
      <c r="C70" s="352"/>
      <c r="D70" s="352"/>
      <c r="E70" s="372"/>
    </row>
    <row r="71" spans="1:11" s="205" customFormat="1" ht="14.25" x14ac:dyDescent="0.25">
      <c r="A71" s="358"/>
      <c r="B71" s="359"/>
      <c r="C71" s="352"/>
      <c r="D71" s="352"/>
      <c r="E71" s="372"/>
    </row>
    <row r="72" spans="1:11" s="205" customFormat="1" ht="14.25" x14ac:dyDescent="0.25">
      <c r="A72" s="358"/>
      <c r="B72" s="359"/>
      <c r="C72" s="352"/>
      <c r="D72" s="352"/>
      <c r="E72" s="372"/>
    </row>
    <row r="73" spans="1:11" s="205" customFormat="1" ht="14.25" x14ac:dyDescent="0.25">
      <c r="A73" s="358"/>
      <c r="B73" s="359"/>
      <c r="C73" s="352"/>
      <c r="D73" s="352"/>
      <c r="E73" s="372"/>
    </row>
    <row r="74" spans="1:11" s="205" customFormat="1" ht="14.25" x14ac:dyDescent="0.25">
      <c r="A74" s="358"/>
      <c r="B74" s="359"/>
      <c r="C74" s="352"/>
      <c r="D74" s="352"/>
      <c r="E74" s="372"/>
    </row>
    <row r="75" spans="1:11" s="205" customFormat="1" ht="14.25" x14ac:dyDescent="0.25">
      <c r="A75" s="358"/>
      <c r="B75" s="359"/>
      <c r="C75" s="352"/>
      <c r="D75" s="352"/>
      <c r="E75" s="372"/>
    </row>
    <row r="76" spans="1:11" s="205" customFormat="1" ht="14.25" x14ac:dyDescent="0.25">
      <c r="A76" s="358"/>
      <c r="B76" s="359"/>
      <c r="C76" s="352"/>
      <c r="D76" s="352"/>
      <c r="E76" s="372"/>
    </row>
    <row r="77" spans="1:11" s="205" customFormat="1" ht="14.25" x14ac:dyDescent="0.25">
      <c r="A77" s="358"/>
      <c r="B77" s="359"/>
      <c r="C77" s="352"/>
      <c r="D77" s="352"/>
      <c r="E77" s="372"/>
    </row>
    <row r="78" spans="1:11" s="205" customFormat="1" ht="14.25" x14ac:dyDescent="0.25">
      <c r="A78" s="358"/>
      <c r="B78" s="359"/>
      <c r="C78" s="352"/>
      <c r="D78" s="352"/>
      <c r="E78" s="372"/>
    </row>
    <row r="79" spans="1:11" s="362" customFormat="1" hidden="1" outlineLevel="1" x14ac:dyDescent="0.25">
      <c r="A79" s="360"/>
      <c r="B79" s="361"/>
      <c r="E79" s="914"/>
      <c r="F79" s="363"/>
      <c r="G79" s="363"/>
      <c r="H79" s="363"/>
      <c r="I79" s="363"/>
      <c r="J79" s="363"/>
      <c r="K79" s="363"/>
    </row>
    <row r="80" spans="1:11" s="366" customFormat="1" ht="8.25" hidden="1" customHeight="1" outlineLevel="1" x14ac:dyDescent="0.25">
      <c r="A80" s="364"/>
      <c r="B80" s="365"/>
      <c r="E80" s="914"/>
      <c r="F80" s="363"/>
      <c r="G80" s="363"/>
      <c r="H80" s="363"/>
      <c r="I80" s="363"/>
      <c r="J80" s="363"/>
      <c r="K80" s="363"/>
    </row>
    <row r="81" spans="1:11" s="366" customFormat="1" ht="15" hidden="1" customHeight="1" outlineLevel="1" x14ac:dyDescent="0.25">
      <c r="A81" s="367"/>
      <c r="B81" s="368"/>
      <c r="E81" s="914"/>
      <c r="F81" s="363"/>
      <c r="G81" s="363"/>
      <c r="H81" s="363"/>
      <c r="I81" s="363"/>
      <c r="J81" s="363"/>
      <c r="K81" s="363"/>
    </row>
    <row r="82" spans="1:11" s="366" customFormat="1" ht="15" hidden="1" customHeight="1" outlineLevel="1" x14ac:dyDescent="0.25">
      <c r="A82" s="367"/>
      <c r="B82" s="368"/>
      <c r="E82" s="914"/>
      <c r="F82" s="363"/>
      <c r="G82" s="363"/>
      <c r="H82" s="363"/>
      <c r="I82" s="363"/>
      <c r="J82" s="363"/>
      <c r="K82" s="363"/>
    </row>
    <row r="83" spans="1:11" s="366" customFormat="1" ht="15" hidden="1" customHeight="1" outlineLevel="1" x14ac:dyDescent="0.25">
      <c r="A83" s="367"/>
      <c r="B83" s="368"/>
      <c r="E83" s="914"/>
      <c r="F83" s="363"/>
      <c r="G83" s="363"/>
      <c r="H83" s="363"/>
      <c r="I83" s="363"/>
      <c r="J83" s="363"/>
      <c r="K83" s="363"/>
    </row>
    <row r="84" spans="1:11" s="366" customFormat="1" ht="15" hidden="1" customHeight="1" outlineLevel="1" x14ac:dyDescent="0.25">
      <c r="A84" s="367"/>
      <c r="B84" s="368"/>
      <c r="E84" s="914"/>
      <c r="F84" s="363"/>
      <c r="G84" s="363"/>
      <c r="H84" s="363"/>
      <c r="I84" s="363"/>
      <c r="J84" s="363"/>
      <c r="K84" s="363"/>
    </row>
    <row r="85" spans="1:11" s="366" customFormat="1" ht="15" hidden="1" customHeight="1" outlineLevel="1" x14ac:dyDescent="0.25">
      <c r="A85" s="367"/>
      <c r="B85" s="368"/>
      <c r="E85" s="914"/>
      <c r="F85" s="363"/>
      <c r="G85" s="363"/>
      <c r="H85" s="363"/>
      <c r="I85" s="363"/>
      <c r="J85" s="363"/>
      <c r="K85" s="363"/>
    </row>
    <row r="86" spans="1:11" s="366" customFormat="1" ht="15" hidden="1" customHeight="1" outlineLevel="1" x14ac:dyDescent="0.25">
      <c r="A86" s="367"/>
      <c r="B86" s="368"/>
      <c r="E86" s="914"/>
      <c r="F86" s="363"/>
      <c r="G86" s="363"/>
      <c r="H86" s="363"/>
      <c r="I86" s="363"/>
      <c r="J86" s="363"/>
      <c r="K86" s="363"/>
    </row>
    <row r="87" spans="1:11" s="366" customFormat="1" ht="15" hidden="1" customHeight="1" outlineLevel="1" x14ac:dyDescent="0.25">
      <c r="A87" s="367"/>
      <c r="B87" s="368"/>
      <c r="E87" s="914"/>
      <c r="F87" s="363"/>
      <c r="G87" s="363"/>
      <c r="H87" s="363"/>
      <c r="I87" s="363"/>
      <c r="J87" s="363"/>
      <c r="K87" s="363"/>
    </row>
    <row r="88" spans="1:11" s="366" customFormat="1" ht="15" hidden="1" customHeight="1" outlineLevel="1" x14ac:dyDescent="0.25">
      <c r="A88" s="367"/>
      <c r="B88" s="368"/>
      <c r="E88" s="914"/>
      <c r="F88" s="363"/>
      <c r="G88" s="363"/>
      <c r="H88" s="363"/>
      <c r="I88" s="363"/>
      <c r="J88" s="363"/>
      <c r="K88" s="363"/>
    </row>
    <row r="89" spans="1:11" s="366" customFormat="1" ht="15" hidden="1" customHeight="1" outlineLevel="1" x14ac:dyDescent="0.25">
      <c r="A89" s="367"/>
      <c r="B89" s="368"/>
      <c r="E89" s="914"/>
      <c r="F89" s="363"/>
      <c r="G89" s="363"/>
      <c r="H89" s="363"/>
      <c r="I89" s="363"/>
      <c r="J89" s="363"/>
      <c r="K89" s="363"/>
    </row>
    <row r="90" spans="1:11" s="366" customFormat="1" ht="15" hidden="1" customHeight="1" outlineLevel="1" x14ac:dyDescent="0.25">
      <c r="A90" s="367"/>
      <c r="B90" s="368"/>
      <c r="E90" s="914"/>
      <c r="F90" s="363"/>
      <c r="G90" s="363"/>
      <c r="H90" s="363"/>
      <c r="I90" s="363"/>
      <c r="J90" s="363"/>
      <c r="K90" s="363"/>
    </row>
    <row r="91" spans="1:11" s="366" customFormat="1" ht="15" hidden="1" customHeight="1" outlineLevel="1" x14ac:dyDescent="0.25">
      <c r="A91" s="367"/>
      <c r="B91" s="368"/>
      <c r="E91" s="914"/>
      <c r="F91" s="363"/>
      <c r="G91" s="363"/>
      <c r="H91" s="363"/>
      <c r="I91" s="363"/>
      <c r="J91" s="363"/>
      <c r="K91" s="363"/>
    </row>
    <row r="92" spans="1:11" s="366" customFormat="1" ht="15" hidden="1" customHeight="1" outlineLevel="1" x14ac:dyDescent="0.25">
      <c r="A92" s="367"/>
      <c r="B92" s="368"/>
      <c r="E92" s="914"/>
      <c r="F92" s="363"/>
      <c r="G92" s="363"/>
      <c r="H92" s="363"/>
      <c r="I92" s="363"/>
      <c r="J92" s="363"/>
      <c r="K92" s="363"/>
    </row>
    <row r="93" spans="1:11" s="366" customFormat="1" ht="15" hidden="1" customHeight="1" outlineLevel="1" x14ac:dyDescent="0.25">
      <c r="A93" s="367"/>
      <c r="B93" s="368"/>
      <c r="E93" s="914"/>
      <c r="F93" s="363"/>
      <c r="G93" s="363"/>
      <c r="H93" s="363"/>
      <c r="I93" s="363"/>
      <c r="J93" s="363"/>
      <c r="K93" s="363"/>
    </row>
    <row r="94" spans="1:11" s="366" customFormat="1" ht="15" hidden="1" customHeight="1" outlineLevel="1" x14ac:dyDescent="0.25">
      <c r="A94" s="367"/>
      <c r="B94" s="368"/>
      <c r="E94" s="914"/>
      <c r="F94" s="363"/>
      <c r="G94" s="363"/>
      <c r="H94" s="363"/>
      <c r="I94" s="363"/>
      <c r="J94" s="363"/>
      <c r="K94" s="363"/>
    </row>
    <row r="95" spans="1:11" s="366" customFormat="1" ht="15" hidden="1" customHeight="1" outlineLevel="1" x14ac:dyDescent="0.25">
      <c r="A95" s="367"/>
      <c r="B95" s="368"/>
      <c r="E95" s="914"/>
      <c r="F95" s="363"/>
      <c r="G95" s="363"/>
      <c r="H95" s="363"/>
      <c r="I95" s="363"/>
      <c r="J95" s="363"/>
      <c r="K95" s="363"/>
    </row>
    <row r="96" spans="1:11" s="366" customFormat="1" ht="15" hidden="1" customHeight="1" outlineLevel="1" x14ac:dyDescent="0.25">
      <c r="A96" s="367"/>
      <c r="B96" s="368"/>
      <c r="E96" s="914"/>
      <c r="F96" s="363"/>
      <c r="G96" s="363"/>
      <c r="H96" s="363"/>
      <c r="I96" s="363"/>
      <c r="J96" s="363"/>
      <c r="K96" s="363"/>
    </row>
    <row r="97" spans="1:11" s="366" customFormat="1" ht="15" hidden="1" customHeight="1" outlineLevel="1" x14ac:dyDescent="0.25">
      <c r="A97" s="367"/>
      <c r="B97" s="368"/>
      <c r="E97" s="914"/>
      <c r="F97" s="363"/>
      <c r="G97" s="363"/>
      <c r="H97" s="363"/>
      <c r="I97" s="363"/>
      <c r="J97" s="363"/>
      <c r="K97" s="363"/>
    </row>
    <row r="98" spans="1:11" s="366" customFormat="1" ht="15" hidden="1" customHeight="1" outlineLevel="1" x14ac:dyDescent="0.25">
      <c r="A98" s="367"/>
      <c r="B98" s="368"/>
      <c r="E98" s="914"/>
      <c r="F98" s="363"/>
      <c r="G98" s="363"/>
      <c r="H98" s="363"/>
      <c r="I98" s="363"/>
      <c r="J98" s="363"/>
      <c r="K98" s="363"/>
    </row>
    <row r="99" spans="1:11" s="366" customFormat="1" ht="15" hidden="1" customHeight="1" outlineLevel="1" x14ac:dyDescent="0.25">
      <c r="A99" s="367"/>
      <c r="B99" s="368"/>
      <c r="E99" s="914"/>
      <c r="F99" s="363"/>
      <c r="G99" s="363"/>
      <c r="H99" s="363"/>
      <c r="I99" s="363"/>
      <c r="J99" s="363"/>
      <c r="K99" s="363"/>
    </row>
    <row r="100" spans="1:11" s="366" customFormat="1" ht="15" hidden="1" customHeight="1" outlineLevel="1" x14ac:dyDescent="0.25">
      <c r="A100" s="367"/>
      <c r="B100" s="368"/>
      <c r="E100" s="914"/>
      <c r="F100" s="363"/>
      <c r="G100" s="363"/>
      <c r="H100" s="363"/>
      <c r="I100" s="363"/>
      <c r="J100" s="363"/>
      <c r="K100" s="363"/>
    </row>
    <row r="101" spans="1:11" s="366" customFormat="1" ht="15" hidden="1" customHeight="1" outlineLevel="1" x14ac:dyDescent="0.25">
      <c r="A101" s="367"/>
      <c r="B101" s="368"/>
      <c r="E101" s="914"/>
      <c r="F101" s="363"/>
      <c r="G101" s="363"/>
      <c r="H101" s="363"/>
      <c r="I101" s="363"/>
      <c r="J101" s="363"/>
      <c r="K101" s="363"/>
    </row>
    <row r="102" spans="1:11" collapsed="1" x14ac:dyDescent="0.25"/>
  </sheetData>
  <sheetProtection sheet="1" objects="1" scenarios="1"/>
  <mergeCells count="7">
    <mergeCell ref="H48:J48"/>
    <mergeCell ref="A1:D1"/>
    <mergeCell ref="C20:D20"/>
    <mergeCell ref="C23:D23"/>
    <mergeCell ref="C2:D2"/>
    <mergeCell ref="C24:D24"/>
    <mergeCell ref="C25:D25"/>
  </mergeCells>
  <printOptions horizontalCentered="1"/>
  <pageMargins left="0.41" right="0.4" top="0.4" bottom="0.1" header="0.17" footer="0.17"/>
  <pageSetup scale="76" orientation="landscape" r:id="rId1"/>
  <headerFooter>
    <oddHeader>&amp;C&amp;"-,Bold"&amp;14OSC ERP HR/PAYROLL REPORTING METRICS</oddHeader>
    <oddFooter>&amp;L&amp;8&amp;F (&amp;A)&amp;C&amp;8&amp;P of &amp;N&amp;R&amp;8&amp;D, &amp;T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27"/>
  <sheetViews>
    <sheetView zoomScale="87" zoomScaleNormal="87" workbookViewId="0">
      <selection activeCell="A23" sqref="A23"/>
    </sheetView>
  </sheetViews>
  <sheetFormatPr defaultRowHeight="15" outlineLevelRow="1" x14ac:dyDescent="0.25"/>
  <cols>
    <col min="1" max="1" width="5.28515625" style="195" customWidth="1"/>
    <col min="2" max="2" width="7.7109375" style="195" customWidth="1"/>
    <col min="3" max="3" width="112.42578125" customWidth="1"/>
  </cols>
  <sheetData>
    <row r="1" spans="1:3" s="196" customFormat="1" x14ac:dyDescent="0.25">
      <c r="A1" s="243" t="s">
        <v>79</v>
      </c>
      <c r="B1" s="244" t="s">
        <v>76</v>
      </c>
      <c r="C1" s="245" t="s">
        <v>80</v>
      </c>
    </row>
    <row r="2" spans="1:3" s="32" customFormat="1" hidden="1" outlineLevel="1" x14ac:dyDescent="0.25">
      <c r="A2" s="239">
        <v>1</v>
      </c>
      <c r="B2" s="240" t="s">
        <v>78</v>
      </c>
      <c r="C2" s="241" t="s">
        <v>150</v>
      </c>
    </row>
    <row r="3" spans="1:3" s="32" customFormat="1" hidden="1" outlineLevel="1" x14ac:dyDescent="0.25">
      <c r="A3" s="239">
        <v>2</v>
      </c>
      <c r="B3" s="240" t="s">
        <v>96</v>
      </c>
      <c r="C3" s="241" t="s">
        <v>99</v>
      </c>
    </row>
    <row r="4" spans="1:3" hidden="1" outlineLevel="1" x14ac:dyDescent="0.25">
      <c r="A4" s="236">
        <v>3</v>
      </c>
      <c r="B4" s="237" t="s">
        <v>98</v>
      </c>
      <c r="C4" s="238" t="s">
        <v>104</v>
      </c>
    </row>
    <row r="5" spans="1:3" s="32" customFormat="1" hidden="1" outlineLevel="1" x14ac:dyDescent="0.25">
      <c r="A5" s="239"/>
      <c r="B5" s="242"/>
      <c r="C5" s="241" t="s">
        <v>101</v>
      </c>
    </row>
    <row r="6" spans="1:3" s="29" customFormat="1" hidden="1" outlineLevel="1" x14ac:dyDescent="0.25">
      <c r="A6" s="246">
        <v>4</v>
      </c>
      <c r="B6" s="247" t="s">
        <v>102</v>
      </c>
      <c r="C6" s="248" t="s">
        <v>103</v>
      </c>
    </row>
    <row r="7" spans="1:3" hidden="1" outlineLevel="1" x14ac:dyDescent="0.25">
      <c r="A7" s="236">
        <v>5</v>
      </c>
      <c r="B7" s="237" t="s">
        <v>126</v>
      </c>
      <c r="C7" s="238" t="s">
        <v>127</v>
      </c>
    </row>
    <row r="8" spans="1:3" hidden="1" outlineLevel="1" x14ac:dyDescent="0.25">
      <c r="A8" s="478" t="s">
        <v>146</v>
      </c>
      <c r="B8" s="477" t="s">
        <v>145</v>
      </c>
      <c r="C8" s="238" t="s">
        <v>148</v>
      </c>
    </row>
    <row r="9" spans="1:3" hidden="1" outlineLevel="1" x14ac:dyDescent="0.25">
      <c r="A9" s="478" t="s">
        <v>151</v>
      </c>
      <c r="B9" s="477" t="s">
        <v>145</v>
      </c>
      <c r="C9" s="238" t="s">
        <v>149</v>
      </c>
    </row>
    <row r="10" spans="1:3" hidden="1" outlineLevel="1" collapsed="1" x14ac:dyDescent="0.25">
      <c r="A10" s="743" t="s">
        <v>183</v>
      </c>
      <c r="B10" s="744" t="s">
        <v>184</v>
      </c>
      <c r="C10" s="745" t="s">
        <v>186</v>
      </c>
    </row>
    <row r="11" spans="1:3" ht="30" hidden="1" outlineLevel="1" collapsed="1" x14ac:dyDescent="0.25">
      <c r="A11" s="743" t="s">
        <v>198</v>
      </c>
      <c r="B11" s="744" t="s">
        <v>199</v>
      </c>
      <c r="C11" s="811" t="s">
        <v>201</v>
      </c>
    </row>
    <row r="12" spans="1:3" ht="30" hidden="1" outlineLevel="1" collapsed="1" x14ac:dyDescent="0.25">
      <c r="A12" s="743" t="s">
        <v>207</v>
      </c>
      <c r="B12" s="744" t="s">
        <v>208</v>
      </c>
      <c r="C12" s="811" t="s">
        <v>209</v>
      </c>
    </row>
    <row r="13" spans="1:3" ht="30" hidden="1" outlineLevel="1" x14ac:dyDescent="0.25">
      <c r="A13" s="743" t="s">
        <v>212</v>
      </c>
      <c r="B13" s="744" t="s">
        <v>214</v>
      </c>
      <c r="C13" s="811" t="s">
        <v>213</v>
      </c>
    </row>
    <row r="14" spans="1:3" ht="30" hidden="1" outlineLevel="1" x14ac:dyDescent="0.25">
      <c r="A14" s="743" t="s">
        <v>215</v>
      </c>
      <c r="B14" s="744" t="s">
        <v>216</v>
      </c>
      <c r="C14" s="811" t="s">
        <v>234</v>
      </c>
    </row>
    <row r="15" spans="1:3" ht="30" hidden="1" outlineLevel="1" x14ac:dyDescent="0.25">
      <c r="A15" s="743" t="s">
        <v>225</v>
      </c>
      <c r="B15" s="744" t="s">
        <v>224</v>
      </c>
      <c r="C15" s="811" t="s">
        <v>241</v>
      </c>
    </row>
    <row r="16" spans="1:3" ht="30" hidden="1" outlineLevel="1" x14ac:dyDescent="0.25">
      <c r="A16" s="743" t="s">
        <v>227</v>
      </c>
      <c r="B16" s="744" t="s">
        <v>224</v>
      </c>
      <c r="C16" s="811" t="s">
        <v>236</v>
      </c>
    </row>
    <row r="17" spans="1:3" ht="30" hidden="1" outlineLevel="1" x14ac:dyDescent="0.25">
      <c r="A17" s="743" t="s">
        <v>233</v>
      </c>
      <c r="B17" s="744" t="s">
        <v>224</v>
      </c>
      <c r="C17" s="811" t="s">
        <v>244</v>
      </c>
    </row>
    <row r="18" spans="1:3" hidden="1" outlineLevel="1" x14ac:dyDescent="0.25">
      <c r="A18" s="743" t="s">
        <v>239</v>
      </c>
      <c r="B18" s="744" t="s">
        <v>224</v>
      </c>
      <c r="C18" s="811" t="s">
        <v>235</v>
      </c>
    </row>
    <row r="19" spans="1:3" hidden="1" outlineLevel="1" collapsed="1" x14ac:dyDescent="0.25">
      <c r="A19" s="743" t="s">
        <v>252</v>
      </c>
      <c r="B19" s="744" t="s">
        <v>251</v>
      </c>
      <c r="C19" s="811" t="s">
        <v>253</v>
      </c>
    </row>
    <row r="20" spans="1:3" hidden="1" outlineLevel="1" x14ac:dyDescent="0.25">
      <c r="A20" s="743" t="s">
        <v>272</v>
      </c>
      <c r="B20" s="744" t="s">
        <v>273</v>
      </c>
      <c r="C20" s="811" t="s">
        <v>274</v>
      </c>
    </row>
    <row r="21" spans="1:3" collapsed="1" x14ac:dyDescent="0.25">
      <c r="A21" s="743" t="s">
        <v>275</v>
      </c>
      <c r="B21" s="744" t="s">
        <v>276</v>
      </c>
      <c r="C21" s="811" t="s">
        <v>278</v>
      </c>
    </row>
    <row r="22" spans="1:3" x14ac:dyDescent="0.25">
      <c r="A22" s="743" t="s">
        <v>279</v>
      </c>
      <c r="B22" s="1030" t="s">
        <v>280</v>
      </c>
      <c r="C22" s="745" t="s">
        <v>282</v>
      </c>
    </row>
    <row r="23" spans="1:3" x14ac:dyDescent="0.25">
      <c r="A23" s="746"/>
      <c r="B23" s="747"/>
      <c r="C23" s="745"/>
    </row>
    <row r="24" spans="1:3" x14ac:dyDescent="0.25">
      <c r="A24" s="746"/>
      <c r="B24" s="747"/>
      <c r="C24" s="745"/>
    </row>
    <row r="25" spans="1:3" x14ac:dyDescent="0.25">
      <c r="A25" s="746"/>
      <c r="B25" s="747"/>
      <c r="C25" s="745"/>
    </row>
    <row r="26" spans="1:3" x14ac:dyDescent="0.25">
      <c r="A26" s="746"/>
      <c r="B26" s="747"/>
      <c r="C26" s="745"/>
    </row>
    <row r="27" spans="1:3" x14ac:dyDescent="0.25">
      <c r="A27" s="748"/>
      <c r="B27" s="749"/>
      <c r="C27" s="750"/>
    </row>
  </sheetData>
  <sheetProtection sheet="1" objects="1" scenarios="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68"/>
  <sheetViews>
    <sheetView zoomScale="80" zoomScaleNormal="80" workbookViewId="0">
      <selection activeCell="S1" sqref="S1"/>
    </sheetView>
  </sheetViews>
  <sheetFormatPr defaultRowHeight="12" outlineLevelRow="1" outlineLevelCol="1" x14ac:dyDescent="0.2"/>
  <cols>
    <col min="1" max="1" width="3.28515625" style="444" customWidth="1"/>
    <col min="2" max="2" width="11" style="534" customWidth="1"/>
    <col min="3" max="14" width="9.140625" style="444" customWidth="1"/>
    <col min="15" max="15" width="8.42578125" style="444" hidden="1" customWidth="1" outlineLevel="1"/>
    <col min="16" max="16" width="8.5703125" style="444" customWidth="1" collapsed="1"/>
    <col min="17" max="17" width="9.42578125" style="444" customWidth="1"/>
    <col min="18" max="18" width="8.5703125" style="444" customWidth="1"/>
    <col min="19" max="23" width="8.42578125" style="444" customWidth="1"/>
    <col min="24" max="24" width="9" style="444" customWidth="1"/>
    <col min="25" max="26" width="8.42578125" style="444" customWidth="1"/>
    <col min="27" max="16384" width="9.140625" style="444"/>
  </cols>
  <sheetData>
    <row r="1" spans="1:18" s="594" customFormat="1" ht="20.25" customHeight="1" outlineLevel="1" x14ac:dyDescent="0.25">
      <c r="A1" s="973" t="s">
        <v>268</v>
      </c>
      <c r="B1" s="977"/>
      <c r="C1" s="978">
        <v>42216</v>
      </c>
      <c r="D1" s="979">
        <v>42247</v>
      </c>
      <c r="E1" s="980">
        <v>42277</v>
      </c>
      <c r="F1" s="979">
        <v>42308</v>
      </c>
      <c r="G1" s="979">
        <v>42338</v>
      </c>
      <c r="H1" s="979">
        <v>42339</v>
      </c>
      <c r="I1" s="979">
        <v>42400</v>
      </c>
      <c r="J1" s="981">
        <v>42428</v>
      </c>
      <c r="K1" s="979">
        <v>42460</v>
      </c>
      <c r="L1" s="979">
        <v>42490</v>
      </c>
      <c r="M1" s="979">
        <v>42521</v>
      </c>
      <c r="N1" s="982">
        <v>42551</v>
      </c>
      <c r="O1" s="983" t="s">
        <v>179</v>
      </c>
      <c r="P1" s="984" t="s">
        <v>143</v>
      </c>
      <c r="Q1" s="616" t="s">
        <v>181</v>
      </c>
      <c r="R1" s="774" t="s">
        <v>180</v>
      </c>
    </row>
    <row r="2" spans="1:18" s="533" customFormat="1" ht="20.25" customHeight="1" outlineLevel="1" x14ac:dyDescent="0.25">
      <c r="A2" s="974"/>
      <c r="B2" s="574" t="s">
        <v>140</v>
      </c>
      <c r="C2" s="896">
        <f>'Summary Data'!BZ11</f>
        <v>148617</v>
      </c>
      <c r="D2" s="536">
        <f>'Summary Data'!CA11</f>
        <v>121181</v>
      </c>
      <c r="E2" s="536">
        <f>'Summary Data'!CB11</f>
        <v>120655</v>
      </c>
      <c r="F2" s="536">
        <f>'Summary Data'!CC11</f>
        <v>120725</v>
      </c>
      <c r="G2" s="536">
        <f>'Summary Data'!CD11</f>
        <v>120484</v>
      </c>
      <c r="H2" s="536">
        <f>'Summary Data'!CE11</f>
        <v>146930</v>
      </c>
      <c r="I2" s="536">
        <f>'Summary Data'!CF11</f>
        <v>122677</v>
      </c>
      <c r="J2" s="536">
        <f>'Summary Data'!CG11</f>
        <v>118613</v>
      </c>
      <c r="K2" s="536">
        <f>'Summary Data'!CH11</f>
        <v>117993</v>
      </c>
      <c r="L2" s="536">
        <f>'Summary Data'!CI11</f>
        <v>118591</v>
      </c>
      <c r="M2" s="536">
        <f>'Summary Data'!CJ11</f>
        <v>118832</v>
      </c>
      <c r="N2" s="537">
        <f>'Summary Data'!CK11</f>
        <v>0</v>
      </c>
      <c r="O2" s="896">
        <f>'Summary Data'!CL11</f>
        <v>1375298</v>
      </c>
      <c r="P2" s="563">
        <f>SUM(C2:N2)/$O$12</f>
        <v>114608.16666666667</v>
      </c>
      <c r="Q2" s="620">
        <f>P2-P7</f>
        <v>-4852.5833333333285</v>
      </c>
      <c r="R2" s="660">
        <f>Q2/P7</f>
        <v>-4.0620733867260408E-2</v>
      </c>
    </row>
    <row r="3" spans="1:18" s="533" customFormat="1" ht="20.25" customHeight="1" outlineLevel="1" x14ac:dyDescent="0.25">
      <c r="A3" s="974"/>
      <c r="B3" s="574" t="s">
        <v>139</v>
      </c>
      <c r="C3" s="896">
        <f>'Summary Data'!BZ5</f>
        <v>24</v>
      </c>
      <c r="D3" s="536">
        <f>'Summary Data'!CA5</f>
        <v>31</v>
      </c>
      <c r="E3" s="536">
        <f>'Summary Data'!CB5</f>
        <v>28</v>
      </c>
      <c r="F3" s="536">
        <f>'Summary Data'!CC5</f>
        <v>25</v>
      </c>
      <c r="G3" s="536">
        <f>'Summary Data'!CD5</f>
        <v>165</v>
      </c>
      <c r="H3" s="536">
        <f>'Summary Data'!CE5</f>
        <v>54</v>
      </c>
      <c r="I3" s="536">
        <f>'Summary Data'!CF5</f>
        <v>11</v>
      </c>
      <c r="J3" s="536">
        <f>'Summary Data'!CG5</f>
        <v>36</v>
      </c>
      <c r="K3" s="536">
        <f>'Summary Data'!CH5</f>
        <v>48</v>
      </c>
      <c r="L3" s="536">
        <f>'Summary Data'!CI5</f>
        <v>44</v>
      </c>
      <c r="M3" s="536">
        <f>'Summary Data'!CJ5</f>
        <v>24</v>
      </c>
      <c r="N3" s="537">
        <f>'Summary Data'!CK5</f>
        <v>0</v>
      </c>
      <c r="O3" s="896">
        <f>'Summary Data'!CL5</f>
        <v>490</v>
      </c>
      <c r="P3" s="563">
        <f>SUM(C3:N3)/$O$12</f>
        <v>40.833333333333336</v>
      </c>
      <c r="Q3" s="620">
        <f>P3-P8</f>
        <v>-9.9166666666666643</v>
      </c>
      <c r="R3" s="660">
        <f>Q3/P8</f>
        <v>-0.19540229885057467</v>
      </c>
    </row>
    <row r="4" spans="1:18" s="533" customFormat="1" ht="20.25" customHeight="1" outlineLevel="1" x14ac:dyDescent="0.25">
      <c r="A4" s="975"/>
      <c r="B4" s="575" t="s">
        <v>141</v>
      </c>
      <c r="C4" s="561">
        <f t="shared" ref="C4:N4" si="0">IF(C2=0,"-",(C3/C2))</f>
        <v>1.6148892791537981E-4</v>
      </c>
      <c r="D4" s="544">
        <f t="shared" si="0"/>
        <v>2.5581568067601355E-4</v>
      </c>
      <c r="E4" s="544">
        <f t="shared" si="0"/>
        <v>2.3206663627698811E-4</v>
      </c>
      <c r="F4" s="544">
        <f t="shared" si="0"/>
        <v>2.0708221163802029E-4</v>
      </c>
      <c r="G4" s="544">
        <f t="shared" si="0"/>
        <v>1.3694764450051459E-3</v>
      </c>
      <c r="H4" s="544">
        <f t="shared" si="0"/>
        <v>3.6752194922752329E-4</v>
      </c>
      <c r="I4" s="544">
        <f t="shared" si="0"/>
        <v>8.9666359627314004E-5</v>
      </c>
      <c r="J4" s="544">
        <f t="shared" si="0"/>
        <v>3.0350804717863976E-4</v>
      </c>
      <c r="K4" s="544">
        <f t="shared" si="0"/>
        <v>4.0680379344537387E-4</v>
      </c>
      <c r="L4" s="544">
        <f t="shared" si="0"/>
        <v>3.7102309618773768E-4</v>
      </c>
      <c r="M4" s="544">
        <f t="shared" si="0"/>
        <v>2.0196580045778916E-4</v>
      </c>
      <c r="N4" s="567" t="str">
        <f t="shared" si="0"/>
        <v>-</v>
      </c>
      <c r="O4" s="571"/>
      <c r="P4" s="564">
        <f>SUM(C4:N4)/$O$12</f>
        <v>3.3053491230299379E-4</v>
      </c>
      <c r="Q4" s="621">
        <f>P4-P9</f>
        <v>-1.0258537917730141E-4</v>
      </c>
      <c r="R4" s="660">
        <f>Q4/P9</f>
        <v>-0.23685193512105063</v>
      </c>
    </row>
    <row r="5" spans="1:18" s="533" customFormat="1" ht="20.25" customHeight="1" outlineLevel="1" thickBot="1" x14ac:dyDescent="0.3">
      <c r="A5" s="976"/>
      <c r="B5" s="577" t="s">
        <v>142</v>
      </c>
      <c r="C5" s="562">
        <f t="shared" ref="C5:N5" si="1">IF(C4="-","-",(100%-C4))</f>
        <v>0.99983851107208466</v>
      </c>
      <c r="D5" s="545">
        <f t="shared" si="1"/>
        <v>0.99974418431932399</v>
      </c>
      <c r="E5" s="545">
        <f t="shared" si="1"/>
        <v>0.99976793336372305</v>
      </c>
      <c r="F5" s="545">
        <f t="shared" si="1"/>
        <v>0.99979291778836199</v>
      </c>
      <c r="G5" s="545">
        <f t="shared" si="1"/>
        <v>0.99863052355499482</v>
      </c>
      <c r="H5" s="545">
        <f t="shared" si="1"/>
        <v>0.99963247805077249</v>
      </c>
      <c r="I5" s="545">
        <f t="shared" si="1"/>
        <v>0.99991033364037274</v>
      </c>
      <c r="J5" s="545">
        <f t="shared" si="1"/>
        <v>0.9996964919528214</v>
      </c>
      <c r="K5" s="545">
        <f t="shared" si="1"/>
        <v>0.99959319620655462</v>
      </c>
      <c r="L5" s="545">
        <f t="shared" si="1"/>
        <v>0.99962897690381225</v>
      </c>
      <c r="M5" s="545">
        <f t="shared" si="1"/>
        <v>0.99979803419954216</v>
      </c>
      <c r="N5" s="568" t="str">
        <f t="shared" si="1"/>
        <v>-</v>
      </c>
      <c r="O5" s="624"/>
      <c r="P5" s="566">
        <f>SUM(C5:N5)/$O$12</f>
        <v>0.91633613175436379</v>
      </c>
      <c r="Q5" s="623">
        <f>P5-P10</f>
        <v>-8.3230747954155748E-2</v>
      </c>
      <c r="R5" s="663">
        <f>Q5/P10</f>
        <v>-8.3266812500256512E-2</v>
      </c>
    </row>
    <row r="6" spans="1:18" s="594" customFormat="1" ht="20.25" customHeight="1" x14ac:dyDescent="0.25">
      <c r="A6" s="884" t="s">
        <v>222</v>
      </c>
      <c r="B6" s="888"/>
      <c r="C6" s="889">
        <v>41851</v>
      </c>
      <c r="D6" s="890">
        <v>41882</v>
      </c>
      <c r="E6" s="891">
        <v>41912</v>
      </c>
      <c r="F6" s="890">
        <v>41943</v>
      </c>
      <c r="G6" s="890">
        <v>41973</v>
      </c>
      <c r="H6" s="890">
        <v>41974</v>
      </c>
      <c r="I6" s="890">
        <v>42035</v>
      </c>
      <c r="J6" s="892">
        <v>42063</v>
      </c>
      <c r="K6" s="890">
        <v>42094</v>
      </c>
      <c r="L6" s="890">
        <v>42124</v>
      </c>
      <c r="M6" s="890">
        <v>42155</v>
      </c>
      <c r="N6" s="893">
        <v>42185</v>
      </c>
      <c r="O6" s="894" t="s">
        <v>179</v>
      </c>
      <c r="P6" s="895" t="s">
        <v>143</v>
      </c>
      <c r="Q6" s="616" t="s">
        <v>181</v>
      </c>
      <c r="R6" s="774" t="s">
        <v>180</v>
      </c>
    </row>
    <row r="7" spans="1:18" s="533" customFormat="1" ht="20.25" customHeight="1" x14ac:dyDescent="0.25">
      <c r="A7" s="885"/>
      <c r="B7" s="574" t="s">
        <v>140</v>
      </c>
      <c r="C7" s="896">
        <f>'Summary Data'!BL11</f>
        <v>113834</v>
      </c>
      <c r="D7" s="899">
        <f>'Summary Data'!BM11</f>
        <v>115414</v>
      </c>
      <c r="E7" s="536">
        <f>'Summary Data'!BN11</f>
        <v>115875</v>
      </c>
      <c r="F7" s="536">
        <f>'Summary Data'!BO11</f>
        <v>116600</v>
      </c>
      <c r="G7" s="536">
        <f>'Summary Data'!BP11</f>
        <v>117464</v>
      </c>
      <c r="H7" s="536">
        <f>'Summary Data'!BQ11</f>
        <v>117293</v>
      </c>
      <c r="I7" s="536">
        <f>'Summary Data'!BR11</f>
        <v>142567</v>
      </c>
      <c r="J7" s="536">
        <f>'Summary Data'!BS11</f>
        <v>117052</v>
      </c>
      <c r="K7" s="536">
        <f>'Summary Data'!BT11</f>
        <v>117471</v>
      </c>
      <c r="L7" s="536">
        <f>'Summary Data'!BU11</f>
        <v>118989</v>
      </c>
      <c r="M7" s="536">
        <f>'Summary Data'!BV11</f>
        <v>119836</v>
      </c>
      <c r="N7" s="535">
        <f>'Summary Data'!BW11</f>
        <v>121134</v>
      </c>
      <c r="O7" s="897">
        <f>COUNTIF(C7:N7,"&gt;0")</f>
        <v>12</v>
      </c>
      <c r="P7" s="563">
        <f>SUM(C7:N7)/$O$12</f>
        <v>119460.75</v>
      </c>
      <c r="Q7" s="620">
        <f>P7-P12</f>
        <v>3788.5833333333285</v>
      </c>
      <c r="R7" s="660">
        <f>Q7/P12</f>
        <v>3.2752765358419512E-2</v>
      </c>
    </row>
    <row r="8" spans="1:18" s="533" customFormat="1" ht="20.25" customHeight="1" x14ac:dyDescent="0.25">
      <c r="A8" s="885"/>
      <c r="B8" s="574" t="s">
        <v>139</v>
      </c>
      <c r="C8" s="896">
        <f>'Summary Data'!BL5</f>
        <v>124</v>
      </c>
      <c r="D8" s="536">
        <f>'Summary Data'!BM5</f>
        <v>32</v>
      </c>
      <c r="E8" s="536">
        <f>'Summary Data'!BN5</f>
        <v>74</v>
      </c>
      <c r="F8" s="536">
        <f>'Summary Data'!BO5</f>
        <v>25</v>
      </c>
      <c r="G8" s="536">
        <f>'Summary Data'!BP5</f>
        <v>17</v>
      </c>
      <c r="H8" s="536">
        <f>'Summary Data'!BQ5</f>
        <v>46</v>
      </c>
      <c r="I8" s="536">
        <f>'Summary Data'!BR5</f>
        <v>19</v>
      </c>
      <c r="J8" s="536">
        <f>'Summary Data'!BS5</f>
        <v>66</v>
      </c>
      <c r="K8" s="536">
        <f>'Summary Data'!BT5</f>
        <v>156</v>
      </c>
      <c r="L8" s="536">
        <f>'Summary Data'!BU5</f>
        <v>17</v>
      </c>
      <c r="M8" s="536">
        <f>'Summary Data'!BV5</f>
        <v>6</v>
      </c>
      <c r="N8" s="536">
        <f>'Summary Data'!BW5</f>
        <v>27</v>
      </c>
      <c r="O8" s="570"/>
      <c r="P8" s="563">
        <f>SUM(C8:N8)/$O$7</f>
        <v>50.75</v>
      </c>
      <c r="Q8" s="620">
        <f>P8-P13</f>
        <v>14.833333333333336</v>
      </c>
      <c r="R8" s="660">
        <f>Q8/P13</f>
        <v>0.41299303944315552</v>
      </c>
    </row>
    <row r="9" spans="1:18" s="533" customFormat="1" ht="20.25" customHeight="1" x14ac:dyDescent="0.25">
      <c r="A9" s="886"/>
      <c r="B9" s="575" t="s">
        <v>141</v>
      </c>
      <c r="C9" s="561">
        <f t="shared" ref="C9:N9" si="2">IF(C7=0,"-",(C8/C7))</f>
        <v>1.0893054799093417E-3</v>
      </c>
      <c r="D9" s="544">
        <f t="shared" si="2"/>
        <v>2.7726272375968252E-4</v>
      </c>
      <c r="E9" s="544">
        <f t="shared" si="2"/>
        <v>6.3861920172599788E-4</v>
      </c>
      <c r="F9" s="544">
        <f t="shared" si="2"/>
        <v>2.144082332761578E-4</v>
      </c>
      <c r="G9" s="544">
        <f t="shared" si="2"/>
        <v>1.4472519239937343E-4</v>
      </c>
      <c r="H9" s="544">
        <f t="shared" si="2"/>
        <v>3.9218026651206806E-4</v>
      </c>
      <c r="I9" s="544">
        <f t="shared" si="2"/>
        <v>1.3327067273632748E-4</v>
      </c>
      <c r="J9" s="544">
        <f t="shared" si="2"/>
        <v>5.6385196323001743E-4</v>
      </c>
      <c r="K9" s="544">
        <f t="shared" si="2"/>
        <v>1.3279873330439003E-3</v>
      </c>
      <c r="L9" s="544">
        <f t="shared" si="2"/>
        <v>1.4287034936002487E-4</v>
      </c>
      <c r="M9" s="544">
        <f t="shared" si="2"/>
        <v>5.0068426850028375E-5</v>
      </c>
      <c r="N9" s="567">
        <f t="shared" si="2"/>
        <v>2.2289365496062211E-4</v>
      </c>
      <c r="O9" s="571"/>
      <c r="P9" s="564">
        <f>SUM(C9:N9)/$O$7</f>
        <v>4.331202914802952E-4</v>
      </c>
      <c r="Q9" s="621">
        <f>P9-P14</f>
        <v>1.1833164100309875E-4</v>
      </c>
      <c r="R9" s="660">
        <f>Q9/P14</f>
        <v>0.37590821912961819</v>
      </c>
    </row>
    <row r="10" spans="1:18" s="533" customFormat="1" ht="20.25" customHeight="1" thickBot="1" x14ac:dyDescent="0.3">
      <c r="A10" s="887"/>
      <c r="B10" s="577" t="s">
        <v>142</v>
      </c>
      <c r="C10" s="562">
        <f t="shared" ref="C10:N10" si="3">IF(C9="-","-",(100%-C9))</f>
        <v>0.99891069452009063</v>
      </c>
      <c r="D10" s="545">
        <f t="shared" si="3"/>
        <v>0.99972273727624028</v>
      </c>
      <c r="E10" s="545">
        <f t="shared" si="3"/>
        <v>0.99936138079827397</v>
      </c>
      <c r="F10" s="545">
        <f t="shared" si="3"/>
        <v>0.99978559176672388</v>
      </c>
      <c r="G10" s="545">
        <f t="shared" si="3"/>
        <v>0.99985527480760061</v>
      </c>
      <c r="H10" s="545">
        <f t="shared" si="3"/>
        <v>0.99960781973348789</v>
      </c>
      <c r="I10" s="545">
        <f t="shared" si="3"/>
        <v>0.99986672932726373</v>
      </c>
      <c r="J10" s="545">
        <f t="shared" si="3"/>
        <v>0.99943614803676994</v>
      </c>
      <c r="K10" s="545">
        <f t="shared" si="3"/>
        <v>0.99867201266695615</v>
      </c>
      <c r="L10" s="545">
        <f t="shared" si="3"/>
        <v>0.99985712965064</v>
      </c>
      <c r="M10" s="545">
        <f t="shared" si="3"/>
        <v>0.99994993157314993</v>
      </c>
      <c r="N10" s="568">
        <f t="shared" si="3"/>
        <v>0.99977710634503936</v>
      </c>
      <c r="O10" s="624"/>
      <c r="P10" s="566">
        <f>SUM(C10:N10)/$O$7</f>
        <v>0.99956687970851954</v>
      </c>
      <c r="Q10" s="623">
        <f>P10-P15</f>
        <v>-1.1833164100316651E-4</v>
      </c>
      <c r="R10" s="663">
        <f>Q10/P15</f>
        <v>-1.1836890219014543E-4</v>
      </c>
    </row>
    <row r="11" spans="1:18" s="594" customFormat="1" ht="20.25" customHeight="1" x14ac:dyDescent="0.25">
      <c r="A11" s="765" t="s">
        <v>194</v>
      </c>
      <c r="B11" s="766"/>
      <c r="C11" s="767">
        <v>41486</v>
      </c>
      <c r="D11" s="768">
        <v>41517</v>
      </c>
      <c r="E11" s="769">
        <v>41547</v>
      </c>
      <c r="F11" s="768">
        <v>41578</v>
      </c>
      <c r="G11" s="768">
        <v>41608</v>
      </c>
      <c r="H11" s="768">
        <v>41609</v>
      </c>
      <c r="I11" s="768">
        <v>41670</v>
      </c>
      <c r="J11" s="770">
        <v>41698</v>
      </c>
      <c r="K11" s="768">
        <v>41729</v>
      </c>
      <c r="L11" s="768">
        <v>41759</v>
      </c>
      <c r="M11" s="768">
        <v>41790</v>
      </c>
      <c r="N11" s="771">
        <v>41820</v>
      </c>
      <c r="O11" s="772" t="s">
        <v>179</v>
      </c>
      <c r="P11" s="773" t="s">
        <v>143</v>
      </c>
      <c r="Q11" s="616" t="s">
        <v>181</v>
      </c>
      <c r="R11" s="774" t="s">
        <v>180</v>
      </c>
    </row>
    <row r="12" spans="1:18" s="533" customFormat="1" ht="20.25" customHeight="1" x14ac:dyDescent="0.25">
      <c r="A12" s="762"/>
      <c r="B12" s="574" t="s">
        <v>140</v>
      </c>
      <c r="C12" s="558">
        <f>'Summary Data'!AX11</f>
        <v>112399</v>
      </c>
      <c r="D12" s="536">
        <f>'Summary Data'!AY11</f>
        <v>133843</v>
      </c>
      <c r="E12" s="535">
        <f>'Summary Data'!AZ11</f>
        <v>110716</v>
      </c>
      <c r="F12" s="612">
        <f>'Summary Data'!BA11</f>
        <v>110651</v>
      </c>
      <c r="G12" s="612">
        <f>'Summary Data'!BB11</f>
        <v>110119</v>
      </c>
      <c r="H12" s="612">
        <f>'Summary Data'!BC11</f>
        <v>109794</v>
      </c>
      <c r="I12" s="612">
        <f>'Summary Data'!BD11</f>
        <v>123268</v>
      </c>
      <c r="J12" s="612">
        <f>'Summary Data'!BE11</f>
        <v>109540</v>
      </c>
      <c r="K12" s="612">
        <f>'Summary Data'!BF11</f>
        <v>109775</v>
      </c>
      <c r="L12" s="612">
        <f>'Summary Data'!BG11</f>
        <v>110455</v>
      </c>
      <c r="M12" s="612">
        <f>'Summary Data'!BH11</f>
        <v>111303</v>
      </c>
      <c r="N12" s="613">
        <f>'Summary Data'!BI11</f>
        <v>136203</v>
      </c>
      <c r="O12" s="570">
        <f>COUNTIF(C12:N12,"&gt;0")</f>
        <v>12</v>
      </c>
      <c r="P12" s="563">
        <f>SUM(C12:N12)/$O$12</f>
        <v>115672.16666666667</v>
      </c>
      <c r="Q12" s="620">
        <f>P12-P17</f>
        <v>545.08333333334303</v>
      </c>
      <c r="R12" s="660">
        <f>Q12/P17</f>
        <v>4.7346229709922848E-3</v>
      </c>
    </row>
    <row r="13" spans="1:18" s="533" customFormat="1" ht="20.25" customHeight="1" x14ac:dyDescent="0.25">
      <c r="A13" s="762"/>
      <c r="B13" s="574" t="s">
        <v>139</v>
      </c>
      <c r="C13" s="558">
        <f>'Summary Data'!AX5</f>
        <v>27</v>
      </c>
      <c r="D13" s="536">
        <f>'Summary Data'!AY5</f>
        <v>22</v>
      </c>
      <c r="E13" s="535">
        <f>'Summary Data'!AZ5</f>
        <v>68</v>
      </c>
      <c r="F13" s="612">
        <f>'Summary Data'!BA5</f>
        <v>86</v>
      </c>
      <c r="G13" s="612">
        <f>'Summary Data'!BB5</f>
        <v>13</v>
      </c>
      <c r="H13" s="612">
        <f>'Summary Data'!BC5</f>
        <v>42</v>
      </c>
      <c r="I13" s="612">
        <f>'Summary Data'!BD5</f>
        <v>27</v>
      </c>
      <c r="J13" s="612">
        <f>'Summary Data'!BE5</f>
        <v>21</v>
      </c>
      <c r="K13" s="612">
        <f>'Summary Data'!BF5</f>
        <v>32</v>
      </c>
      <c r="L13" s="612">
        <f>'Summary Data'!BG5</f>
        <v>32</v>
      </c>
      <c r="M13" s="612">
        <f>'Summary Data'!BH5</f>
        <v>25</v>
      </c>
      <c r="N13" s="613">
        <f>'Summary Data'!BI5</f>
        <v>36</v>
      </c>
      <c r="O13" s="570"/>
      <c r="P13" s="563">
        <f>SUM(C13:N13)/$O$12</f>
        <v>35.916666666666664</v>
      </c>
      <c r="Q13" s="620">
        <f>P13-P18</f>
        <v>15.249999999999996</v>
      </c>
      <c r="R13" s="660">
        <f>Q13/P18</f>
        <v>0.7379032258064514</v>
      </c>
    </row>
    <row r="14" spans="1:18" s="533" customFormat="1" ht="20.25" customHeight="1" x14ac:dyDescent="0.25">
      <c r="A14" s="763"/>
      <c r="B14" s="575" t="s">
        <v>141</v>
      </c>
      <c r="C14" s="561">
        <f t="shared" ref="C14:N14" si="4">IF(C12=0,"-",(C13/C12))</f>
        <v>2.402156602816751E-4</v>
      </c>
      <c r="D14" s="544">
        <f t="shared" si="4"/>
        <v>1.6437168921796432E-4</v>
      </c>
      <c r="E14" s="544">
        <f t="shared" si="4"/>
        <v>6.1418403844069511E-4</v>
      </c>
      <c r="F14" s="544">
        <f t="shared" si="4"/>
        <v>7.7721846164969133E-4</v>
      </c>
      <c r="G14" s="544">
        <f t="shared" si="4"/>
        <v>1.1805410510447789E-4</v>
      </c>
      <c r="H14" s="544">
        <f t="shared" si="4"/>
        <v>3.8253456473031315E-4</v>
      </c>
      <c r="I14" s="544">
        <f t="shared" si="4"/>
        <v>2.1903494824285298E-4</v>
      </c>
      <c r="J14" s="544">
        <f t="shared" si="4"/>
        <v>1.9171079057878402E-4</v>
      </c>
      <c r="K14" s="544">
        <f t="shared" si="4"/>
        <v>2.9150535185606925E-4</v>
      </c>
      <c r="L14" s="544">
        <f t="shared" si="4"/>
        <v>2.8971074193110319E-4</v>
      </c>
      <c r="M14" s="544">
        <f t="shared" si="4"/>
        <v>2.2461209491208683E-4</v>
      </c>
      <c r="N14" s="567">
        <f t="shared" si="4"/>
        <v>2.6431135878064358E-4</v>
      </c>
      <c r="O14" s="571"/>
      <c r="P14" s="564">
        <f>SUM(C14:N14)/$O$12</f>
        <v>3.1478865047719645E-4</v>
      </c>
      <c r="Q14" s="621">
        <f>P14-P19</f>
        <v>1.3364778824260921E-4</v>
      </c>
      <c r="R14" s="660">
        <f>Q14/P19</f>
        <v>0.7378113728393767</v>
      </c>
    </row>
    <row r="15" spans="1:18" s="533" customFormat="1" ht="20.25" customHeight="1" thickBot="1" x14ac:dyDescent="0.3">
      <c r="A15" s="764"/>
      <c r="B15" s="577" t="s">
        <v>142</v>
      </c>
      <c r="C15" s="562">
        <f t="shared" ref="C15:N15" si="5">IF(C14="-","-",(100%-C14))</f>
        <v>0.99975978433971835</v>
      </c>
      <c r="D15" s="545">
        <f t="shared" si="5"/>
        <v>0.99983562831078199</v>
      </c>
      <c r="E15" s="545">
        <f t="shared" si="5"/>
        <v>0.99938581596155929</v>
      </c>
      <c r="F15" s="545">
        <f t="shared" si="5"/>
        <v>0.99922278153835031</v>
      </c>
      <c r="G15" s="545">
        <f t="shared" si="5"/>
        <v>0.99988194589489554</v>
      </c>
      <c r="H15" s="545">
        <f t="shared" si="5"/>
        <v>0.99961746543526964</v>
      </c>
      <c r="I15" s="545">
        <f t="shared" si="5"/>
        <v>0.99978096505175718</v>
      </c>
      <c r="J15" s="545">
        <f t="shared" si="5"/>
        <v>0.99980828920942122</v>
      </c>
      <c r="K15" s="545">
        <f t="shared" si="5"/>
        <v>0.99970849464814393</v>
      </c>
      <c r="L15" s="545">
        <f t="shared" si="5"/>
        <v>0.99971028925806893</v>
      </c>
      <c r="M15" s="545">
        <f t="shared" si="5"/>
        <v>0.99977538790508791</v>
      </c>
      <c r="N15" s="568">
        <f t="shared" si="5"/>
        <v>0.99973568864121931</v>
      </c>
      <c r="O15" s="624"/>
      <c r="P15" s="566">
        <f>SUM(C15:N15)/$O$12</f>
        <v>0.99968521134952271</v>
      </c>
      <c r="Q15" s="623">
        <f>P15-P20</f>
        <v>-1.3364778824265233E-4</v>
      </c>
      <c r="R15" s="663">
        <f>Q15/P20</f>
        <v>-1.3367200170429769E-4</v>
      </c>
    </row>
    <row r="16" spans="1:18" s="594" customFormat="1" ht="20.25" customHeight="1" x14ac:dyDescent="0.25">
      <c r="A16" s="603" t="s">
        <v>157</v>
      </c>
      <c r="B16" s="604"/>
      <c r="C16" s="605">
        <v>41121</v>
      </c>
      <c r="D16" s="606">
        <v>41152</v>
      </c>
      <c r="E16" s="607">
        <v>41182</v>
      </c>
      <c r="F16" s="606">
        <v>41213</v>
      </c>
      <c r="G16" s="606">
        <v>41243</v>
      </c>
      <c r="H16" s="608">
        <v>41274</v>
      </c>
      <c r="I16" s="606">
        <v>41305</v>
      </c>
      <c r="J16" s="608">
        <v>41333</v>
      </c>
      <c r="K16" s="606">
        <v>41364</v>
      </c>
      <c r="L16" s="606">
        <v>41394</v>
      </c>
      <c r="M16" s="606">
        <v>41425</v>
      </c>
      <c r="N16" s="609">
        <v>41455</v>
      </c>
      <c r="O16" s="610" t="s">
        <v>179</v>
      </c>
      <c r="P16" s="611" t="s">
        <v>143</v>
      </c>
      <c r="Q16" s="618" t="s">
        <v>181</v>
      </c>
      <c r="R16" s="662" t="s">
        <v>180</v>
      </c>
    </row>
    <row r="17" spans="1:47" s="533" customFormat="1" ht="20.25" customHeight="1" x14ac:dyDescent="0.25">
      <c r="A17" s="555"/>
      <c r="B17" s="574" t="s">
        <v>140</v>
      </c>
      <c r="C17" s="558">
        <v>111549</v>
      </c>
      <c r="D17" s="536">
        <v>134889</v>
      </c>
      <c r="E17" s="535">
        <v>111390</v>
      </c>
      <c r="F17" s="612">
        <v>111467</v>
      </c>
      <c r="G17" s="612">
        <v>111297</v>
      </c>
      <c r="H17" s="612">
        <v>111106</v>
      </c>
      <c r="I17" s="612">
        <v>111020</v>
      </c>
      <c r="J17" s="612">
        <v>132508</v>
      </c>
      <c r="K17" s="612">
        <v>110944</v>
      </c>
      <c r="L17" s="612">
        <v>111316</v>
      </c>
      <c r="M17" s="612">
        <v>111603</v>
      </c>
      <c r="N17" s="613">
        <v>112436</v>
      </c>
      <c r="O17" s="570">
        <f>COUNTIF(C17:N17,"&gt;0")</f>
        <v>12</v>
      </c>
      <c r="P17" s="563">
        <f>SUM(C17:N17)/$O$17</f>
        <v>115127.08333333333</v>
      </c>
      <c r="Q17" s="620">
        <f>P17-P22</f>
        <v>-12900.5</v>
      </c>
      <c r="R17" s="660">
        <f>Q17/P22</f>
        <v>-0.10076344225300407</v>
      </c>
    </row>
    <row r="18" spans="1:47" s="533" customFormat="1" ht="20.25" customHeight="1" x14ac:dyDescent="0.25">
      <c r="A18" s="555"/>
      <c r="B18" s="574" t="s">
        <v>139</v>
      </c>
      <c r="C18" s="558">
        <v>20</v>
      </c>
      <c r="D18" s="536">
        <v>20</v>
      </c>
      <c r="E18" s="535">
        <v>21</v>
      </c>
      <c r="F18" s="612">
        <v>21</v>
      </c>
      <c r="G18" s="612">
        <v>20</v>
      </c>
      <c r="H18" s="612">
        <v>23</v>
      </c>
      <c r="I18" s="612">
        <v>28</v>
      </c>
      <c r="J18" s="612">
        <v>14</v>
      </c>
      <c r="K18" s="612">
        <v>10</v>
      </c>
      <c r="L18" s="898">
        <v>19</v>
      </c>
      <c r="M18" s="612">
        <v>20</v>
      </c>
      <c r="N18" s="613">
        <v>32</v>
      </c>
      <c r="O18" s="570"/>
      <c r="P18" s="563">
        <f>SUM(C18:N18)/$O$17</f>
        <v>20.666666666666668</v>
      </c>
      <c r="Q18" s="620">
        <f>P18-P23</f>
        <v>-44</v>
      </c>
      <c r="R18" s="660">
        <f>Q18/P23</f>
        <v>-0.68041237113402053</v>
      </c>
    </row>
    <row r="19" spans="1:47" s="533" customFormat="1" ht="20.25" customHeight="1" x14ac:dyDescent="0.25">
      <c r="A19" s="556"/>
      <c r="B19" s="575" t="s">
        <v>141</v>
      </c>
      <c r="C19" s="561">
        <f t="shared" ref="C19:N19" si="6">IF(C17=0,"-",(C18/C17))</f>
        <v>1.792934046921084E-4</v>
      </c>
      <c r="D19" s="544">
        <f t="shared" si="6"/>
        <v>1.4827005908561855E-4</v>
      </c>
      <c r="E19" s="544">
        <f t="shared" si="6"/>
        <v>1.8852679773767844E-4</v>
      </c>
      <c r="F19" s="544">
        <f t="shared" si="6"/>
        <v>1.8839656579974342E-4</v>
      </c>
      <c r="G19" s="544">
        <f t="shared" si="6"/>
        <v>1.7969936296575829E-4</v>
      </c>
      <c r="H19" s="544">
        <f t="shared" si="6"/>
        <v>2.0700952243803215E-4</v>
      </c>
      <c r="I19" s="544">
        <f t="shared" si="6"/>
        <v>2.5220680958385876E-4</v>
      </c>
      <c r="J19" s="544">
        <f t="shared" si="6"/>
        <v>1.0565399824916231E-4</v>
      </c>
      <c r="K19" s="544">
        <f t="shared" si="6"/>
        <v>9.0135563888087689E-5</v>
      </c>
      <c r="L19" s="544">
        <f t="shared" si="6"/>
        <v>1.7068525638722196E-4</v>
      </c>
      <c r="M19" s="544">
        <f t="shared" si="6"/>
        <v>1.7920665215092783E-4</v>
      </c>
      <c r="N19" s="567">
        <f t="shared" si="6"/>
        <v>2.8460635383684943E-4</v>
      </c>
      <c r="O19" s="571"/>
      <c r="P19" s="564">
        <f>SUM(C19:N19)/$O$17</f>
        <v>1.8114086223458724E-4</v>
      </c>
      <c r="Q19" s="621">
        <f>P19-P24</f>
        <v>-3.2829231740799279E-4</v>
      </c>
      <c r="R19" s="660">
        <f>Q19/P24</f>
        <v>-0.64442665010222488</v>
      </c>
    </row>
    <row r="20" spans="1:47" s="533" customFormat="1" ht="20.25" customHeight="1" thickBot="1" x14ac:dyDescent="0.3">
      <c r="A20" s="557"/>
      <c r="B20" s="577" t="s">
        <v>142</v>
      </c>
      <c r="C20" s="562">
        <f t="shared" ref="C20:N20" si="7">IF(C19="-","-",(100%-C19))</f>
        <v>0.99982070659530786</v>
      </c>
      <c r="D20" s="545">
        <f t="shared" si="7"/>
        <v>0.99985172994091442</v>
      </c>
      <c r="E20" s="545">
        <f t="shared" si="7"/>
        <v>0.99981147320226227</v>
      </c>
      <c r="F20" s="545">
        <f t="shared" si="7"/>
        <v>0.99981160343420028</v>
      </c>
      <c r="G20" s="545">
        <f t="shared" si="7"/>
        <v>0.9998203006370342</v>
      </c>
      <c r="H20" s="545">
        <f t="shared" si="7"/>
        <v>0.99979299047756198</v>
      </c>
      <c r="I20" s="545">
        <f t="shared" si="7"/>
        <v>0.99974779319041618</v>
      </c>
      <c r="J20" s="545">
        <f t="shared" si="7"/>
        <v>0.99989434600175087</v>
      </c>
      <c r="K20" s="545">
        <f t="shared" si="7"/>
        <v>0.99990986443611196</v>
      </c>
      <c r="L20" s="545">
        <f t="shared" si="7"/>
        <v>0.99982931474361281</v>
      </c>
      <c r="M20" s="545">
        <f t="shared" si="7"/>
        <v>0.99982079334784912</v>
      </c>
      <c r="N20" s="568">
        <f t="shared" si="7"/>
        <v>0.99971539364616313</v>
      </c>
      <c r="O20" s="624"/>
      <c r="P20" s="566">
        <f>SUM(C20:N20)/$O$17</f>
        <v>0.99981885913776536</v>
      </c>
      <c r="Q20" s="623">
        <f>P20-P25</f>
        <v>3.2829231740783005E-4</v>
      </c>
      <c r="R20" s="663">
        <f>Q20/P25</f>
        <v>3.2845964564949754E-4</v>
      </c>
    </row>
    <row r="21" spans="1:47" s="594" customFormat="1" ht="20.25" customHeight="1" x14ac:dyDescent="0.25">
      <c r="A21" s="595" t="s">
        <v>144</v>
      </c>
      <c r="B21" s="596"/>
      <c r="C21" s="597">
        <v>40755</v>
      </c>
      <c r="D21" s="598">
        <v>40786</v>
      </c>
      <c r="E21" s="599">
        <v>40816</v>
      </c>
      <c r="F21" s="598">
        <v>40847</v>
      </c>
      <c r="G21" s="598">
        <v>40877</v>
      </c>
      <c r="H21" s="598">
        <v>40908</v>
      </c>
      <c r="I21" s="598">
        <v>40939</v>
      </c>
      <c r="J21" s="598">
        <v>40968</v>
      </c>
      <c r="K21" s="598">
        <v>40999</v>
      </c>
      <c r="L21" s="598">
        <v>41029</v>
      </c>
      <c r="M21" s="598">
        <v>41060</v>
      </c>
      <c r="N21" s="600">
        <v>41090</v>
      </c>
      <c r="O21" s="601" t="s">
        <v>179</v>
      </c>
      <c r="P21" s="602" t="s">
        <v>143</v>
      </c>
      <c r="Q21" s="618" t="s">
        <v>181</v>
      </c>
      <c r="R21" s="662" t="s">
        <v>180</v>
      </c>
    </row>
    <row r="22" spans="1:47" s="533" customFormat="1" ht="20.25" customHeight="1" x14ac:dyDescent="0.25">
      <c r="A22" s="552"/>
      <c r="B22" s="574" t="s">
        <v>140</v>
      </c>
      <c r="C22" s="558">
        <v>125806</v>
      </c>
      <c r="D22" s="536">
        <v>158093</v>
      </c>
      <c r="E22" s="535">
        <v>127601</v>
      </c>
      <c r="F22" s="536">
        <v>127126</v>
      </c>
      <c r="G22" s="536">
        <v>127310</v>
      </c>
      <c r="H22" s="536">
        <v>126982</v>
      </c>
      <c r="I22" s="536">
        <v>159360</v>
      </c>
      <c r="J22" s="536">
        <v>126853</v>
      </c>
      <c r="K22" s="536">
        <v>124326</v>
      </c>
      <c r="L22" s="536">
        <v>124270</v>
      </c>
      <c r="M22" s="536">
        <v>101154</v>
      </c>
      <c r="N22" s="537">
        <v>107450</v>
      </c>
      <c r="O22" s="569">
        <f>COUNTIF(C22:N22,"&gt;0")</f>
        <v>12</v>
      </c>
      <c r="P22" s="563">
        <f>SUM(C22:N22)/$O$22</f>
        <v>128027.58333333333</v>
      </c>
      <c r="Q22" s="620">
        <f>P22-P27</f>
        <v>-915.41666666667152</v>
      </c>
      <c r="R22" s="660">
        <f>Q22/P27</f>
        <v>-7.0993901698166752E-3</v>
      </c>
    </row>
    <row r="23" spans="1:47" s="533" customFormat="1" ht="20.25" customHeight="1" x14ac:dyDescent="0.25">
      <c r="A23" s="552"/>
      <c r="B23" s="574" t="s">
        <v>139</v>
      </c>
      <c r="C23" s="558">
        <v>32</v>
      </c>
      <c r="D23" s="536">
        <v>21</v>
      </c>
      <c r="E23" s="535">
        <v>67</v>
      </c>
      <c r="F23" s="536">
        <v>5</v>
      </c>
      <c r="G23" s="536">
        <v>112</v>
      </c>
      <c r="H23" s="536">
        <v>427</v>
      </c>
      <c r="I23" s="536">
        <v>25</v>
      </c>
      <c r="J23" s="536">
        <v>16</v>
      </c>
      <c r="K23" s="536">
        <v>10</v>
      </c>
      <c r="L23" s="536">
        <v>21</v>
      </c>
      <c r="M23" s="536">
        <v>25</v>
      </c>
      <c r="N23" s="537">
        <v>15</v>
      </c>
      <c r="O23" s="570"/>
      <c r="P23" s="563">
        <f>SUM(C23:N23)/$O$22</f>
        <v>64.666666666666671</v>
      </c>
      <c r="Q23" s="620">
        <f>P23-P28</f>
        <v>7.5833333333333357</v>
      </c>
      <c r="R23" s="660">
        <f>Q23/P28</f>
        <v>0.1328467153284672</v>
      </c>
    </row>
    <row r="24" spans="1:47" s="533" customFormat="1" ht="20.25" customHeight="1" x14ac:dyDescent="0.25">
      <c r="A24" s="553"/>
      <c r="B24" s="575" t="s">
        <v>141</v>
      </c>
      <c r="C24" s="559">
        <f t="shared" ref="C24:N24" si="8">C23/C22</f>
        <v>2.5435988744574982E-4</v>
      </c>
      <c r="D24" s="539">
        <f t="shared" si="8"/>
        <v>1.3283320577128652E-4</v>
      </c>
      <c r="E24" s="538">
        <f t="shared" si="8"/>
        <v>5.2507425490395845E-4</v>
      </c>
      <c r="F24" s="539">
        <f t="shared" si="8"/>
        <v>3.9331057376146498E-5</v>
      </c>
      <c r="G24" s="539">
        <f t="shared" si="8"/>
        <v>8.7974236116565867E-4</v>
      </c>
      <c r="H24" s="539">
        <f t="shared" si="8"/>
        <v>3.3626813249121924E-3</v>
      </c>
      <c r="I24" s="539">
        <f t="shared" si="8"/>
        <v>1.5687751004016064E-4</v>
      </c>
      <c r="J24" s="539">
        <f t="shared" si="8"/>
        <v>1.261302452444956E-4</v>
      </c>
      <c r="K24" s="539">
        <f t="shared" si="8"/>
        <v>8.0433698502324538E-5</v>
      </c>
      <c r="L24" s="539">
        <f t="shared" si="8"/>
        <v>1.6898688339905046E-4</v>
      </c>
      <c r="M24" s="539">
        <f t="shared" si="8"/>
        <v>2.4714791308302192E-4</v>
      </c>
      <c r="N24" s="540">
        <f t="shared" si="8"/>
        <v>1.3959981386691485E-4</v>
      </c>
      <c r="O24" s="571"/>
      <c r="P24" s="564">
        <f>SUM(C24:N24)/$O$22</f>
        <v>5.0943317964258E-4</v>
      </c>
      <c r="Q24" s="621">
        <f>P24-P29</f>
        <v>6.1525162727991826E-5</v>
      </c>
      <c r="R24" s="660">
        <f>Q24/P29</f>
        <v>0.13736115542607957</v>
      </c>
    </row>
    <row r="25" spans="1:47" s="533" customFormat="1" ht="20.25" customHeight="1" thickBot="1" x14ac:dyDescent="0.3">
      <c r="A25" s="554"/>
      <c r="B25" s="576" t="s">
        <v>142</v>
      </c>
      <c r="C25" s="560">
        <f t="shared" ref="C25:N25" si="9">100%-C24</f>
        <v>0.99974564011255429</v>
      </c>
      <c r="D25" s="542">
        <f t="shared" si="9"/>
        <v>0.99986716679422871</v>
      </c>
      <c r="E25" s="541">
        <f t="shared" si="9"/>
        <v>0.999474925745096</v>
      </c>
      <c r="F25" s="542">
        <f t="shared" si="9"/>
        <v>0.99996066894262381</v>
      </c>
      <c r="G25" s="542">
        <f t="shared" si="9"/>
        <v>0.99912025763883439</v>
      </c>
      <c r="H25" s="542">
        <f t="shared" si="9"/>
        <v>0.99663731867508776</v>
      </c>
      <c r="I25" s="542">
        <f t="shared" si="9"/>
        <v>0.99984312248995988</v>
      </c>
      <c r="J25" s="542">
        <f t="shared" si="9"/>
        <v>0.99987386975475545</v>
      </c>
      <c r="K25" s="542">
        <f t="shared" si="9"/>
        <v>0.9999195663014977</v>
      </c>
      <c r="L25" s="542">
        <f t="shared" si="9"/>
        <v>0.99983101311660094</v>
      </c>
      <c r="M25" s="542">
        <f t="shared" si="9"/>
        <v>0.999752852086917</v>
      </c>
      <c r="N25" s="543">
        <f t="shared" si="9"/>
        <v>0.99986040018613309</v>
      </c>
      <c r="O25" s="572"/>
      <c r="P25" s="565">
        <f>SUM(C25:N25)/$O$22</f>
        <v>0.99949056682035753</v>
      </c>
      <c r="Q25" s="622">
        <f>P25-P30</f>
        <v>-6.1525162727726901E-5</v>
      </c>
      <c r="R25" s="661">
        <f>Q25/P30</f>
        <v>-6.1552732690161834E-5</v>
      </c>
    </row>
    <row r="26" spans="1:47" s="594" customFormat="1" ht="20.25" customHeight="1" thickTop="1" x14ac:dyDescent="0.25">
      <c r="A26" s="586" t="s">
        <v>108</v>
      </c>
      <c r="B26" s="587"/>
      <c r="C26" s="588">
        <v>40390</v>
      </c>
      <c r="D26" s="589">
        <v>40421</v>
      </c>
      <c r="E26" s="590">
        <v>40451</v>
      </c>
      <c r="F26" s="589">
        <v>40482</v>
      </c>
      <c r="G26" s="589">
        <v>40512</v>
      </c>
      <c r="H26" s="589">
        <v>40543</v>
      </c>
      <c r="I26" s="589">
        <v>40574</v>
      </c>
      <c r="J26" s="589">
        <v>40602</v>
      </c>
      <c r="K26" s="589">
        <v>40633</v>
      </c>
      <c r="L26" s="589">
        <v>40663</v>
      </c>
      <c r="M26" s="589">
        <v>40694</v>
      </c>
      <c r="N26" s="591">
        <v>40724</v>
      </c>
      <c r="O26" s="592" t="s">
        <v>179</v>
      </c>
      <c r="P26" s="593" t="s">
        <v>143</v>
      </c>
      <c r="Q26" s="618" t="s">
        <v>181</v>
      </c>
      <c r="R26" s="619" t="s">
        <v>180</v>
      </c>
    </row>
    <row r="27" spans="1:47" s="533" customFormat="1" ht="20.25" customHeight="1" x14ac:dyDescent="0.25">
      <c r="A27" s="549"/>
      <c r="B27" s="574" t="s">
        <v>140</v>
      </c>
      <c r="C27" s="558">
        <v>126699</v>
      </c>
      <c r="D27" s="536">
        <v>126741</v>
      </c>
      <c r="E27" s="535">
        <v>126838</v>
      </c>
      <c r="F27" s="536">
        <v>126572</v>
      </c>
      <c r="G27" s="536">
        <v>126945</v>
      </c>
      <c r="H27" s="536">
        <v>126740</v>
      </c>
      <c r="I27" s="536">
        <v>126515</v>
      </c>
      <c r="J27" s="536">
        <v>125849</v>
      </c>
      <c r="K27" s="536">
        <v>156184</v>
      </c>
      <c r="L27" s="536">
        <v>126852</v>
      </c>
      <c r="M27" s="536">
        <v>126190</v>
      </c>
      <c r="N27" s="537">
        <v>125191</v>
      </c>
      <c r="O27" s="569">
        <f>COUNTIF(C27:N27,"&gt;0")</f>
        <v>12</v>
      </c>
      <c r="P27" s="563">
        <f>SUM(C27:N27)/$O$27</f>
        <v>128943</v>
      </c>
      <c r="Q27" s="620">
        <f>P27-P32</f>
        <v>6968.2222222222335</v>
      </c>
      <c r="R27" s="660">
        <f>Q27/P32</f>
        <v>5.7128386287511268E-2</v>
      </c>
    </row>
    <row r="28" spans="1:47" s="533" customFormat="1" ht="20.25" customHeight="1" x14ac:dyDescent="0.25">
      <c r="A28" s="549"/>
      <c r="B28" s="574" t="s">
        <v>139</v>
      </c>
      <c r="C28" s="558">
        <v>19</v>
      </c>
      <c r="D28" s="536">
        <v>56</v>
      </c>
      <c r="E28" s="535">
        <v>5</v>
      </c>
      <c r="F28" s="536">
        <v>346</v>
      </c>
      <c r="G28" s="536">
        <v>96</v>
      </c>
      <c r="H28" s="536">
        <v>37</v>
      </c>
      <c r="I28" s="536">
        <v>9</v>
      </c>
      <c r="J28" s="536">
        <v>14</v>
      </c>
      <c r="K28" s="536">
        <v>26</v>
      </c>
      <c r="L28" s="536">
        <v>11</v>
      </c>
      <c r="M28" s="536">
        <v>14</v>
      </c>
      <c r="N28" s="537">
        <v>52</v>
      </c>
      <c r="O28" s="569"/>
      <c r="P28" s="563">
        <f>SUM(C28:N28)/$O$27</f>
        <v>57.083333333333336</v>
      </c>
      <c r="Q28" s="620">
        <f>P28-P33</f>
        <v>9.0833333333333357</v>
      </c>
      <c r="R28" s="660">
        <f>Q28/P33</f>
        <v>0.18923611111111116</v>
      </c>
    </row>
    <row r="29" spans="1:47" s="533" customFormat="1" ht="20.25" customHeight="1" x14ac:dyDescent="0.25">
      <c r="A29" s="550"/>
      <c r="B29" s="575" t="s">
        <v>141</v>
      </c>
      <c r="C29" s="559">
        <f t="shared" ref="C29:N29" si="10">C28/C27</f>
        <v>1.4996172029771348E-4</v>
      </c>
      <c r="D29" s="539">
        <f t="shared" si="10"/>
        <v>4.4184596933904578E-4</v>
      </c>
      <c r="E29" s="538">
        <f t="shared" si="10"/>
        <v>3.9420362982702345E-5</v>
      </c>
      <c r="F29" s="539">
        <f t="shared" si="10"/>
        <v>2.7336219701039723E-3</v>
      </c>
      <c r="G29" s="539">
        <f t="shared" si="10"/>
        <v>7.5623301429753043E-4</v>
      </c>
      <c r="H29" s="539">
        <f t="shared" si="10"/>
        <v>2.9193624743569511E-4</v>
      </c>
      <c r="I29" s="539">
        <f t="shared" si="10"/>
        <v>7.1137809745879934E-5</v>
      </c>
      <c r="J29" s="539">
        <f t="shared" si="10"/>
        <v>1.1124442784606949E-4</v>
      </c>
      <c r="K29" s="539">
        <f t="shared" si="10"/>
        <v>1.6647031706192695E-4</v>
      </c>
      <c r="L29" s="539">
        <f t="shared" si="10"/>
        <v>8.6715227193895247E-5</v>
      </c>
      <c r="M29" s="539">
        <f t="shared" si="10"/>
        <v>1.1094381488232031E-4</v>
      </c>
      <c r="N29" s="540">
        <f t="shared" si="10"/>
        <v>4.1536532178830749E-4</v>
      </c>
      <c r="O29" s="569"/>
      <c r="P29" s="564">
        <f>SUM(C29:N29)/$O$27</f>
        <v>4.4790801691458817E-4</v>
      </c>
      <c r="Q29" s="621">
        <f>P29-P34</f>
        <v>4.8069109904144626E-5</v>
      </c>
      <c r="R29" s="660">
        <f>Q29/P34</f>
        <v>0.12022119173832448</v>
      </c>
    </row>
    <row r="30" spans="1:47" s="533" customFormat="1" ht="20.25" customHeight="1" thickBot="1" x14ac:dyDescent="0.3">
      <c r="A30" s="551"/>
      <c r="B30" s="576" t="s">
        <v>142</v>
      </c>
      <c r="C30" s="560">
        <f t="shared" ref="C30:N30" si="11">100%-C29</f>
        <v>0.99985003827970231</v>
      </c>
      <c r="D30" s="542">
        <f t="shared" si="11"/>
        <v>0.99955815403066095</v>
      </c>
      <c r="E30" s="541">
        <f t="shared" si="11"/>
        <v>0.99996057963701734</v>
      </c>
      <c r="F30" s="542">
        <f t="shared" si="11"/>
        <v>0.99726637802989604</v>
      </c>
      <c r="G30" s="542">
        <f t="shared" si="11"/>
        <v>0.9992437669857025</v>
      </c>
      <c r="H30" s="542">
        <f t="shared" si="11"/>
        <v>0.99970806375256427</v>
      </c>
      <c r="I30" s="542">
        <f t="shared" si="11"/>
        <v>0.99992886219025412</v>
      </c>
      <c r="J30" s="542">
        <f t="shared" si="11"/>
        <v>0.99988875557215395</v>
      </c>
      <c r="K30" s="542">
        <f t="shared" si="11"/>
        <v>0.99983352968293804</v>
      </c>
      <c r="L30" s="542">
        <f t="shared" si="11"/>
        <v>0.99991328477280605</v>
      </c>
      <c r="M30" s="542">
        <f t="shared" si="11"/>
        <v>0.9998890561851177</v>
      </c>
      <c r="N30" s="543">
        <f t="shared" si="11"/>
        <v>0.99958463467821168</v>
      </c>
      <c r="O30" s="573"/>
      <c r="P30" s="565">
        <f>SUM(C30:N30)/$O$27</f>
        <v>0.99955209198308526</v>
      </c>
      <c r="Q30" s="622">
        <f>P30-P35</f>
        <v>-4.8069109904402829E-5</v>
      </c>
      <c r="R30" s="661">
        <f>Q30/P35</f>
        <v>-4.8088337492705858E-5</v>
      </c>
    </row>
    <row r="31" spans="1:47" s="585" customFormat="1" ht="20.25" customHeight="1" thickTop="1" x14ac:dyDescent="0.25">
      <c r="A31" s="578" t="s">
        <v>107</v>
      </c>
      <c r="B31" s="579"/>
      <c r="C31" s="580">
        <v>39995</v>
      </c>
      <c r="D31" s="581">
        <v>40056</v>
      </c>
      <c r="E31" s="582">
        <v>40086</v>
      </c>
      <c r="F31" s="581">
        <v>40117</v>
      </c>
      <c r="G31" s="581">
        <v>40147</v>
      </c>
      <c r="H31" s="581">
        <v>40178</v>
      </c>
      <c r="I31" s="581">
        <v>40209</v>
      </c>
      <c r="J31" s="581">
        <v>40237</v>
      </c>
      <c r="K31" s="581">
        <v>40268</v>
      </c>
      <c r="L31" s="581">
        <v>40298</v>
      </c>
      <c r="M31" s="581">
        <v>40329</v>
      </c>
      <c r="N31" s="583">
        <v>40359</v>
      </c>
      <c r="O31" s="625" t="s">
        <v>179</v>
      </c>
      <c r="P31" s="584" t="s">
        <v>143</v>
      </c>
      <c r="Q31" s="616" t="s">
        <v>181</v>
      </c>
      <c r="R31" s="617" t="s">
        <v>180</v>
      </c>
      <c r="AJ31" s="533"/>
      <c r="AK31" s="533"/>
      <c r="AL31" s="533"/>
      <c r="AM31" s="533"/>
      <c r="AN31" s="533"/>
      <c r="AO31" s="533"/>
      <c r="AP31" s="533"/>
      <c r="AQ31" s="533"/>
      <c r="AR31" s="533"/>
      <c r="AS31" s="533"/>
      <c r="AT31" s="533"/>
      <c r="AU31" s="533"/>
    </row>
    <row r="32" spans="1:47" s="533" customFormat="1" ht="20.25" customHeight="1" x14ac:dyDescent="0.25">
      <c r="A32" s="546"/>
      <c r="B32" s="574" t="s">
        <v>140</v>
      </c>
      <c r="C32" s="558">
        <v>96293.333333333328</v>
      </c>
      <c r="D32" s="536">
        <v>96362</v>
      </c>
      <c r="E32" s="535">
        <v>124865</v>
      </c>
      <c r="F32" s="536">
        <v>124639</v>
      </c>
      <c r="G32" s="536">
        <v>124801</v>
      </c>
      <c r="H32" s="536">
        <v>123894</v>
      </c>
      <c r="I32" s="536">
        <v>121550</v>
      </c>
      <c r="J32" s="536">
        <v>123674</v>
      </c>
      <c r="K32" s="536">
        <v>123573</v>
      </c>
      <c r="L32" s="536">
        <v>152913</v>
      </c>
      <c r="M32" s="536">
        <v>124924</v>
      </c>
      <c r="N32" s="537">
        <v>126209</v>
      </c>
      <c r="O32" s="569">
        <f>COUNTIF(C32:N32,"&gt;0")</f>
        <v>12</v>
      </c>
      <c r="P32" s="563">
        <f>SUM(C32:N32)/$O$32</f>
        <v>121974.77777777777</v>
      </c>
      <c r="Q32" s="758" t="s">
        <v>29</v>
      </c>
      <c r="R32" s="759" t="s">
        <v>29</v>
      </c>
    </row>
    <row r="33" spans="1:18" s="533" customFormat="1" ht="20.25" customHeight="1" x14ac:dyDescent="0.25">
      <c r="A33" s="546"/>
      <c r="B33" s="574" t="s">
        <v>139</v>
      </c>
      <c r="C33" s="558">
        <v>39</v>
      </c>
      <c r="D33" s="536">
        <v>35</v>
      </c>
      <c r="E33" s="535">
        <v>150</v>
      </c>
      <c r="F33" s="536">
        <v>17</v>
      </c>
      <c r="G33" s="536">
        <v>12</v>
      </c>
      <c r="H33" s="536">
        <v>8</v>
      </c>
      <c r="I33" s="536">
        <v>3</v>
      </c>
      <c r="J33" s="536">
        <v>206</v>
      </c>
      <c r="K33" s="536">
        <v>35</v>
      </c>
      <c r="L33" s="536">
        <v>5</v>
      </c>
      <c r="M33" s="536">
        <v>27</v>
      </c>
      <c r="N33" s="537">
        <v>39</v>
      </c>
      <c r="O33" s="570"/>
      <c r="P33" s="563">
        <f>SUM(C33:N33)/$O$32</f>
        <v>48</v>
      </c>
      <c r="Q33" s="758" t="s">
        <v>29</v>
      </c>
      <c r="R33" s="759" t="s">
        <v>29</v>
      </c>
    </row>
    <row r="34" spans="1:18" s="533" customFormat="1" ht="20.25" customHeight="1" x14ac:dyDescent="0.25">
      <c r="A34" s="547"/>
      <c r="B34" s="575" t="s">
        <v>141</v>
      </c>
      <c r="C34" s="559">
        <f>C33/C32</f>
        <v>4.050124619219053E-4</v>
      </c>
      <c r="D34" s="539">
        <f t="shared" ref="D34:N34" si="12">D33/D32</f>
        <v>3.6321371494987652E-4</v>
      </c>
      <c r="E34" s="538">
        <f t="shared" si="12"/>
        <v>1.2012974011932887E-3</v>
      </c>
      <c r="F34" s="539">
        <f t="shared" si="12"/>
        <v>1.3639390559937097E-4</v>
      </c>
      <c r="G34" s="539">
        <f t="shared" si="12"/>
        <v>9.6153075696508848E-5</v>
      </c>
      <c r="H34" s="539">
        <f t="shared" si="12"/>
        <v>6.4571327102200268E-5</v>
      </c>
      <c r="I34" s="539">
        <f t="shared" si="12"/>
        <v>2.4681201151789388E-5</v>
      </c>
      <c r="J34" s="539">
        <f t="shared" si="12"/>
        <v>1.665669421220305E-3</v>
      </c>
      <c r="K34" s="539">
        <f t="shared" si="12"/>
        <v>2.8323339240772662E-4</v>
      </c>
      <c r="L34" s="614">
        <f t="shared" si="12"/>
        <v>3.2698331731115075E-5</v>
      </c>
      <c r="M34" s="539">
        <f t="shared" si="12"/>
        <v>2.1613140789600077E-4</v>
      </c>
      <c r="N34" s="540">
        <f t="shared" si="12"/>
        <v>3.0901124325523539E-4</v>
      </c>
      <c r="O34" s="571"/>
      <c r="P34" s="564">
        <f>SUM(C34:N34)/$O$32</f>
        <v>3.9983890701044355E-4</v>
      </c>
      <c r="Q34" s="758" t="s">
        <v>29</v>
      </c>
      <c r="R34" s="759" t="s">
        <v>29</v>
      </c>
    </row>
    <row r="35" spans="1:18" s="533" customFormat="1" ht="20.25" customHeight="1" thickBot="1" x14ac:dyDescent="0.3">
      <c r="A35" s="548"/>
      <c r="B35" s="576" t="s">
        <v>142</v>
      </c>
      <c r="C35" s="560">
        <f>100%-C34</f>
        <v>0.99959498753807807</v>
      </c>
      <c r="D35" s="542">
        <f t="shared" ref="D35:N35" si="13">100%-D34</f>
        <v>0.99963678628505015</v>
      </c>
      <c r="E35" s="541">
        <f t="shared" si="13"/>
        <v>0.99879870259880676</v>
      </c>
      <c r="F35" s="542">
        <f t="shared" si="13"/>
        <v>0.99986360609440061</v>
      </c>
      <c r="G35" s="542">
        <f t="shared" si="13"/>
        <v>0.99990384692430345</v>
      </c>
      <c r="H35" s="542">
        <f t="shared" si="13"/>
        <v>0.99993542867289775</v>
      </c>
      <c r="I35" s="542">
        <f t="shared" si="13"/>
        <v>0.99997531879884816</v>
      </c>
      <c r="J35" s="542">
        <f t="shared" si="13"/>
        <v>0.99833433057877974</v>
      </c>
      <c r="K35" s="542">
        <f t="shared" si="13"/>
        <v>0.99971676660759223</v>
      </c>
      <c r="L35" s="615">
        <f t="shared" si="13"/>
        <v>0.99996730166826886</v>
      </c>
      <c r="M35" s="542">
        <f t="shared" si="13"/>
        <v>0.999783868592104</v>
      </c>
      <c r="N35" s="543">
        <f t="shared" si="13"/>
        <v>0.99969098875674478</v>
      </c>
      <c r="O35" s="572"/>
      <c r="P35" s="565">
        <f>SUM(C35:N35)/$O$32</f>
        <v>0.99960016109298966</v>
      </c>
      <c r="Q35" s="760" t="s">
        <v>29</v>
      </c>
      <c r="R35" s="761" t="s">
        <v>29</v>
      </c>
    </row>
    <row r="36" spans="1:18" ht="12.75" thickTop="1" x14ac:dyDescent="0.2"/>
    <row r="38" spans="1:18" x14ac:dyDescent="0.2">
      <c r="B38" s="534" t="s">
        <v>76</v>
      </c>
      <c r="C38" s="444" t="s">
        <v>141</v>
      </c>
    </row>
    <row r="39" spans="1:18" hidden="1" outlineLevel="1" x14ac:dyDescent="0.2">
      <c r="B39" s="812">
        <f>I16</f>
        <v>41305</v>
      </c>
      <c r="C39" s="813">
        <f>I19</f>
        <v>2.5220680958385876E-4</v>
      </c>
    </row>
    <row r="40" spans="1:18" collapsed="1" x14ac:dyDescent="0.2">
      <c r="B40" s="812">
        <f>J16</f>
        <v>41333</v>
      </c>
      <c r="C40" s="813">
        <f>J19</f>
        <v>1.0565399824916231E-4</v>
      </c>
    </row>
    <row r="41" spans="1:18" x14ac:dyDescent="0.2">
      <c r="B41" s="812">
        <f>K16</f>
        <v>41364</v>
      </c>
      <c r="C41" s="813">
        <f>K19</f>
        <v>9.0135563888087689E-5</v>
      </c>
    </row>
    <row r="42" spans="1:18" x14ac:dyDescent="0.2">
      <c r="B42" s="812">
        <f>L16</f>
        <v>41394</v>
      </c>
      <c r="C42" s="813">
        <f>L19</f>
        <v>1.7068525638722196E-4</v>
      </c>
    </row>
    <row r="43" spans="1:18" x14ac:dyDescent="0.2">
      <c r="B43" s="812">
        <f>M16</f>
        <v>41425</v>
      </c>
      <c r="C43" s="813">
        <f>M19</f>
        <v>1.7920665215092783E-4</v>
      </c>
    </row>
    <row r="44" spans="1:18" x14ac:dyDescent="0.2">
      <c r="B44" s="812">
        <f>N16</f>
        <v>41455</v>
      </c>
      <c r="C44" s="813">
        <f>N19</f>
        <v>2.8460635383684943E-4</v>
      </c>
    </row>
    <row r="45" spans="1:18" x14ac:dyDescent="0.2">
      <c r="B45" s="812">
        <f>C11</f>
        <v>41486</v>
      </c>
      <c r="C45" s="813">
        <f>C14</f>
        <v>2.402156602816751E-4</v>
      </c>
    </row>
    <row r="46" spans="1:18" x14ac:dyDescent="0.2">
      <c r="B46" s="812">
        <f>D11</f>
        <v>41517</v>
      </c>
      <c r="C46" s="813">
        <f>D14</f>
        <v>1.6437168921796432E-4</v>
      </c>
    </row>
    <row r="47" spans="1:18" x14ac:dyDescent="0.2">
      <c r="B47" s="812">
        <f>E11</f>
        <v>41547</v>
      </c>
      <c r="C47" s="813">
        <f>E14</f>
        <v>6.1418403844069511E-4</v>
      </c>
    </row>
    <row r="48" spans="1:18" x14ac:dyDescent="0.2">
      <c r="B48" s="812">
        <f>F11</f>
        <v>41578</v>
      </c>
      <c r="C48" s="813">
        <f>F14</f>
        <v>7.7721846164969133E-4</v>
      </c>
    </row>
    <row r="49" spans="2:3" x14ac:dyDescent="0.2">
      <c r="B49" s="812">
        <f>G11</f>
        <v>41608</v>
      </c>
      <c r="C49" s="813">
        <f>G14</f>
        <v>1.1805410510447789E-4</v>
      </c>
    </row>
    <row r="50" spans="2:3" x14ac:dyDescent="0.2">
      <c r="B50" s="812">
        <f>H11</f>
        <v>41609</v>
      </c>
      <c r="C50" s="813">
        <f>H14</f>
        <v>3.8253456473031315E-4</v>
      </c>
    </row>
    <row r="51" spans="2:3" x14ac:dyDescent="0.2">
      <c r="B51" s="812">
        <f>I11</f>
        <v>41670</v>
      </c>
      <c r="C51" s="813">
        <f>I14</f>
        <v>2.1903494824285298E-4</v>
      </c>
    </row>
    <row r="52" spans="2:3" hidden="1" outlineLevel="1" x14ac:dyDescent="0.2">
      <c r="B52" s="812">
        <f>J11</f>
        <v>41698</v>
      </c>
      <c r="C52" s="813">
        <f>J14</f>
        <v>1.9171079057878402E-4</v>
      </c>
    </row>
    <row r="53" spans="2:3" hidden="1" outlineLevel="1" x14ac:dyDescent="0.2">
      <c r="B53" s="812">
        <f>K11</f>
        <v>41729</v>
      </c>
      <c r="C53" s="813">
        <f>K14</f>
        <v>2.9150535185606925E-4</v>
      </c>
    </row>
    <row r="54" spans="2:3" hidden="1" outlineLevel="1" x14ac:dyDescent="0.2">
      <c r="B54" s="812">
        <f>L11</f>
        <v>41759</v>
      </c>
      <c r="C54" s="813">
        <f>L14</f>
        <v>2.8971074193110319E-4</v>
      </c>
    </row>
    <row r="55" spans="2:3" hidden="1" outlineLevel="1" x14ac:dyDescent="0.2">
      <c r="B55" s="812">
        <f>M11</f>
        <v>41790</v>
      </c>
      <c r="C55" s="813">
        <f>M14</f>
        <v>2.2461209491208683E-4</v>
      </c>
    </row>
    <row r="56" spans="2:3" hidden="1" outlineLevel="1" x14ac:dyDescent="0.2">
      <c r="B56" s="812">
        <f>N11</f>
        <v>41820</v>
      </c>
      <c r="C56" s="813">
        <f>N14</f>
        <v>2.6431135878064358E-4</v>
      </c>
    </row>
    <row r="57" spans="2:3" collapsed="1" x14ac:dyDescent="0.2">
      <c r="B57" s="812">
        <v>41851</v>
      </c>
    </row>
    <row r="58" spans="2:3" x14ac:dyDescent="0.2">
      <c r="B58" s="812">
        <v>41882</v>
      </c>
    </row>
    <row r="59" spans="2:3" x14ac:dyDescent="0.2">
      <c r="B59" s="812">
        <v>41912</v>
      </c>
    </row>
    <row r="60" spans="2:3" x14ac:dyDescent="0.2">
      <c r="B60" s="812">
        <v>41943</v>
      </c>
    </row>
    <row r="61" spans="2:3" x14ac:dyDescent="0.2">
      <c r="B61" s="812">
        <v>41973</v>
      </c>
    </row>
    <row r="62" spans="2:3" x14ac:dyDescent="0.2">
      <c r="B62" s="812">
        <v>41974</v>
      </c>
    </row>
    <row r="63" spans="2:3" x14ac:dyDescent="0.2">
      <c r="B63" s="812">
        <v>42035</v>
      </c>
    </row>
    <row r="64" spans="2:3" x14ac:dyDescent="0.2">
      <c r="B64" s="812">
        <v>42063</v>
      </c>
    </row>
    <row r="65" spans="2:2" x14ac:dyDescent="0.2">
      <c r="B65" s="812">
        <v>42094</v>
      </c>
    </row>
    <row r="66" spans="2:2" x14ac:dyDescent="0.2">
      <c r="B66" s="812">
        <v>42124</v>
      </c>
    </row>
    <row r="67" spans="2:2" x14ac:dyDescent="0.2">
      <c r="B67" s="812">
        <v>42155</v>
      </c>
    </row>
    <row r="68" spans="2:2" x14ac:dyDescent="0.2">
      <c r="B68" s="812">
        <v>42185</v>
      </c>
    </row>
  </sheetData>
  <sheetProtection sheet="1" objects="1" scenarios="1"/>
  <conditionalFormatting sqref="Q11:R1048576">
    <cfRule type="cellIs" dxfId="6" priority="3" stopIfTrue="1" operator="lessThan">
      <formula>0</formula>
    </cfRule>
  </conditionalFormatting>
  <conditionalFormatting sqref="Q6:R10">
    <cfRule type="cellIs" dxfId="5" priority="2" stopIfTrue="1" operator="lessThan">
      <formula>0</formula>
    </cfRule>
  </conditionalFormatting>
  <conditionalFormatting sqref="Q1:R5">
    <cfRule type="cellIs" dxfId="4" priority="1" stopIfTrue="1" operator="lessThan">
      <formula>0</formula>
    </cfRule>
  </conditionalFormatting>
  <printOptions horizontalCentered="1"/>
  <pageMargins left="0.25" right="0.25" top="0.86" bottom="0.75" header="0.44" footer="0.3"/>
  <pageSetup scale="72" orientation="landscape" r:id="rId1"/>
  <headerFooter>
    <oddHeader xml:space="preserve">&amp;C&amp;"-,Bold"&amp;14OSC ERP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1"/>
  <sheetViews>
    <sheetView zoomScale="89" zoomScaleNormal="89" workbookViewId="0">
      <selection activeCell="W1" sqref="W1"/>
    </sheetView>
  </sheetViews>
  <sheetFormatPr defaultRowHeight="20.25" customHeight="1" outlineLevelRow="1" outlineLevelCol="1" x14ac:dyDescent="0.3"/>
  <cols>
    <col min="1" max="1" width="31.85546875" style="2" customWidth="1"/>
    <col min="2" max="2" width="11.140625" style="424" customWidth="1" collapsed="1"/>
    <col min="3" max="3" width="11.140625" style="424" customWidth="1"/>
    <col min="4" max="4" width="12.42578125" style="446" hidden="1" customWidth="1" outlineLevel="1"/>
    <col min="5" max="5" width="9.7109375" style="423" hidden="1" customWidth="1" outlineLevel="1"/>
    <col min="6" max="6" width="11.140625" style="424" customWidth="1" collapsed="1"/>
    <col min="7" max="7" width="11.28515625" style="2" hidden="1" customWidth="1" outlineLevel="1"/>
    <col min="8" max="8" width="9.85546875" style="2" hidden="1" customWidth="1" outlineLevel="1"/>
    <col min="9" max="9" width="12.5703125" style="424" customWidth="1" collapsed="1"/>
    <col min="10" max="10" width="13" style="2" hidden="1" customWidth="1" outlineLevel="1"/>
    <col min="11" max="11" width="9.85546875" style="2" hidden="1" customWidth="1" outlineLevel="1"/>
    <col min="12" max="12" width="12.5703125" style="424" customWidth="1" collapsed="1"/>
    <col min="13" max="13" width="13" style="2" hidden="1" customWidth="1" outlineLevel="1"/>
    <col min="14" max="14" width="9.85546875" style="2" hidden="1" customWidth="1" outlineLevel="1"/>
    <col min="15" max="15" width="12.5703125" style="424" customWidth="1" collapsed="1"/>
    <col min="16" max="16" width="13" style="2" customWidth="1"/>
    <col min="17" max="17" width="9.85546875" style="2" customWidth="1"/>
    <col min="18" max="18" width="3.85546875" style="664" customWidth="1"/>
    <col min="19" max="19" width="12.5703125" style="424" hidden="1" customWidth="1" outlineLevel="1"/>
    <col min="20" max="20" width="12.42578125" style="2" hidden="1" customWidth="1" outlineLevel="1"/>
    <col min="21" max="21" width="9.85546875" style="2" hidden="1" customWidth="1" outlineLevel="1"/>
    <col min="22" max="22" width="3.85546875" style="664" hidden="1" customWidth="1" outlineLevel="1"/>
    <col min="23" max="23" width="9.140625" style="2" collapsed="1"/>
    <col min="24" max="16384" width="9.140625" style="2"/>
  </cols>
  <sheetData>
    <row r="1" spans="1:23" ht="20.25" customHeight="1" thickBot="1" x14ac:dyDescent="0.35">
      <c r="B1" s="422"/>
      <c r="C1" s="422"/>
      <c r="F1" s="422"/>
      <c r="I1" s="422"/>
      <c r="L1" s="422"/>
      <c r="O1" s="422"/>
      <c r="S1" s="422"/>
    </row>
    <row r="2" spans="1:23" ht="20.25" customHeight="1" x14ac:dyDescent="0.3">
      <c r="A2" s="775"/>
      <c r="B2" s="776"/>
      <c r="C2" s="776"/>
      <c r="D2" s="777"/>
      <c r="E2" s="778"/>
      <c r="F2" s="779"/>
      <c r="G2" s="1082" t="s">
        <v>160</v>
      </c>
      <c r="H2" s="1083"/>
      <c r="I2" s="776"/>
      <c r="J2" s="1082" t="s">
        <v>174</v>
      </c>
      <c r="K2" s="1084"/>
      <c r="L2" s="779"/>
      <c r="M2" s="1085" t="s">
        <v>203</v>
      </c>
      <c r="N2" s="1084"/>
      <c r="O2" s="779"/>
      <c r="P2" s="1085" t="s">
        <v>246</v>
      </c>
      <c r="Q2" s="1084"/>
      <c r="S2" s="986"/>
      <c r="T2" s="1085" t="s">
        <v>270</v>
      </c>
      <c r="U2" s="1084"/>
    </row>
    <row r="3" spans="1:23" ht="20.25" customHeight="1" thickBot="1" x14ac:dyDescent="0.35">
      <c r="A3" s="780" t="s">
        <v>161</v>
      </c>
      <c r="B3" s="781" t="s">
        <v>130</v>
      </c>
      <c r="C3" s="781" t="s">
        <v>129</v>
      </c>
      <c r="D3" s="782" t="s">
        <v>132</v>
      </c>
      <c r="E3" s="783" t="s">
        <v>133</v>
      </c>
      <c r="F3" s="784" t="s">
        <v>159</v>
      </c>
      <c r="G3" s="785" t="s">
        <v>132</v>
      </c>
      <c r="H3" s="783" t="s">
        <v>133</v>
      </c>
      <c r="I3" s="781" t="s">
        <v>173</v>
      </c>
      <c r="J3" s="785" t="s">
        <v>132</v>
      </c>
      <c r="K3" s="786" t="s">
        <v>133</v>
      </c>
      <c r="L3" s="784" t="s">
        <v>202</v>
      </c>
      <c r="M3" s="875" t="s">
        <v>132</v>
      </c>
      <c r="N3" s="872" t="s">
        <v>133</v>
      </c>
      <c r="O3" s="784" t="s">
        <v>245</v>
      </c>
      <c r="P3" s="875" t="s">
        <v>132</v>
      </c>
      <c r="Q3" s="872" t="s">
        <v>133</v>
      </c>
      <c r="S3" s="987" t="s">
        <v>269</v>
      </c>
      <c r="T3" s="875" t="s">
        <v>132</v>
      </c>
      <c r="U3" s="872" t="s">
        <v>133</v>
      </c>
    </row>
    <row r="4" spans="1:23" ht="20.25" customHeight="1" x14ac:dyDescent="0.3">
      <c r="A4" s="493" t="str">
        <f>'Summary Data'!B5</f>
        <v>Number Off Cycle PR Processed</v>
      </c>
      <c r="B4" s="506">
        <v>576</v>
      </c>
      <c r="C4" s="506">
        <v>685</v>
      </c>
      <c r="D4" s="433">
        <f>C4-B4</f>
        <v>109</v>
      </c>
      <c r="E4" s="433">
        <f>D4/B4</f>
        <v>0.1892361111111111</v>
      </c>
      <c r="F4" s="433">
        <v>776</v>
      </c>
      <c r="G4" s="520">
        <f t="shared" ref="G4:G62" si="0">F4-C4</f>
        <v>91</v>
      </c>
      <c r="H4" s="423">
        <f t="shared" ref="H4:H35" si="1">G4/C4</f>
        <v>0.13284671532846715</v>
      </c>
      <c r="I4" s="506">
        <v>248</v>
      </c>
      <c r="J4" s="520">
        <f t="shared" ref="J4:J68" si="2">I4-F4</f>
        <v>-528</v>
      </c>
      <c r="K4" s="494">
        <f t="shared" ref="K4:K68" si="3">J4/F4</f>
        <v>-0.68041237113402064</v>
      </c>
      <c r="L4" s="433">
        <v>431</v>
      </c>
      <c r="M4" s="876">
        <v>183</v>
      </c>
      <c r="N4" s="873">
        <v>0.73790322580645162</v>
      </c>
      <c r="O4" s="433">
        <v>609</v>
      </c>
      <c r="P4" s="876">
        <f t="shared" ref="P4:P68" si="4">O4-L4</f>
        <v>178</v>
      </c>
      <c r="Q4" s="873">
        <f t="shared" ref="Q4:Q68" si="5">P4/L4</f>
        <v>0.41299303944315546</v>
      </c>
      <c r="R4" s="664" t="str">
        <f>IF(P4&gt;0,"-","+")</f>
        <v>-</v>
      </c>
      <c r="S4" s="988">
        <f>'Summary Data'!CL5</f>
        <v>490</v>
      </c>
      <c r="T4" s="876">
        <f t="shared" ref="T4:T35" si="6">S4-O4</f>
        <v>-119</v>
      </c>
      <c r="U4" s="873">
        <f t="shared" ref="U4:U35" si="7">T4/O4</f>
        <v>-0.19540229885057472</v>
      </c>
      <c r="V4" s="664" t="str">
        <f>IF(T4&gt;0,"-","+")</f>
        <v>+</v>
      </c>
      <c r="W4" s="1005"/>
    </row>
    <row r="5" spans="1:23" ht="20.25" customHeight="1" x14ac:dyDescent="0.3">
      <c r="A5" s="493" t="str">
        <f>'Summary Data'!B6</f>
        <v>Number Calls Resolved on First Call</v>
      </c>
      <c r="B5" s="506">
        <v>37465</v>
      </c>
      <c r="C5" s="506">
        <v>32612</v>
      </c>
      <c r="D5" s="433">
        <f t="shared" ref="D5:D68" si="8">C5-B5</f>
        <v>-4853</v>
      </c>
      <c r="E5" s="433">
        <f>D5/B5</f>
        <v>-0.12953423194981983</v>
      </c>
      <c r="F5" s="433">
        <v>30193</v>
      </c>
      <c r="G5" s="518">
        <f t="shared" si="0"/>
        <v>-2419</v>
      </c>
      <c r="H5" s="423">
        <f t="shared" si="1"/>
        <v>-7.4175150251441183E-2</v>
      </c>
      <c r="I5" s="506">
        <v>34348</v>
      </c>
      <c r="J5" s="518">
        <f t="shared" si="2"/>
        <v>4155</v>
      </c>
      <c r="K5" s="494">
        <f t="shared" si="3"/>
        <v>0.13761467889908258</v>
      </c>
      <c r="L5" s="433">
        <v>42357</v>
      </c>
      <c r="M5" s="877">
        <v>8009</v>
      </c>
      <c r="N5" s="873">
        <v>0.23317223710259694</v>
      </c>
      <c r="O5" s="433">
        <v>41441</v>
      </c>
      <c r="P5" s="877">
        <f t="shared" si="4"/>
        <v>-916</v>
      </c>
      <c r="Q5" s="873">
        <f t="shared" si="5"/>
        <v>-2.1625705314351817E-2</v>
      </c>
      <c r="R5" s="664" t="str">
        <f>IF(P5&gt;0,"+","-")</f>
        <v>-</v>
      </c>
      <c r="S5" s="988">
        <f>'Summary Data'!CL6</f>
        <v>27606</v>
      </c>
      <c r="T5" s="877">
        <f t="shared" si="6"/>
        <v>-13835</v>
      </c>
      <c r="U5" s="873">
        <f t="shared" si="7"/>
        <v>-0.3338481214256413</v>
      </c>
      <c r="V5" s="664" t="str">
        <f>IF(T5&gt;0,"+","-")</f>
        <v>-</v>
      </c>
    </row>
    <row r="6" spans="1:23" ht="20.25" customHeight="1" x14ac:dyDescent="0.3">
      <c r="A6" s="493" t="str">
        <f>'Summary Data'!B7</f>
        <v>Number Call Abandoned</v>
      </c>
      <c r="B6" s="506">
        <v>1096</v>
      </c>
      <c r="C6" s="506">
        <v>834</v>
      </c>
      <c r="D6" s="433">
        <f t="shared" si="8"/>
        <v>-262</v>
      </c>
      <c r="E6" s="433">
        <f>D6/B6</f>
        <v>-0.23905109489051096</v>
      </c>
      <c r="F6" s="433">
        <v>601</v>
      </c>
      <c r="G6" s="518">
        <f t="shared" si="0"/>
        <v>-233</v>
      </c>
      <c r="H6" s="423">
        <f t="shared" si="1"/>
        <v>-0.27937649880095922</v>
      </c>
      <c r="I6" s="506">
        <v>1432</v>
      </c>
      <c r="J6" s="518">
        <f t="shared" si="2"/>
        <v>831</v>
      </c>
      <c r="K6" s="494">
        <f t="shared" si="3"/>
        <v>1.3826955074875209</v>
      </c>
      <c r="L6" s="433">
        <v>6739</v>
      </c>
      <c r="M6" s="877">
        <v>5307</v>
      </c>
      <c r="N6" s="873">
        <v>3.7060055865921786</v>
      </c>
      <c r="O6" s="433">
        <v>5834</v>
      </c>
      <c r="P6" s="877">
        <f t="shared" si="4"/>
        <v>-905</v>
      </c>
      <c r="Q6" s="873">
        <f t="shared" si="5"/>
        <v>-0.13429292179848643</v>
      </c>
      <c r="R6" s="664" t="str">
        <f>IF(P6&gt;0,"-","+")</f>
        <v>+</v>
      </c>
      <c r="S6" s="988">
        <f>'Summary Data'!CL7</f>
        <v>1870</v>
      </c>
      <c r="T6" s="877">
        <f t="shared" si="6"/>
        <v>-3964</v>
      </c>
      <c r="U6" s="873">
        <f t="shared" si="7"/>
        <v>-0.67946520397668841</v>
      </c>
      <c r="V6" s="664" t="str">
        <f>IF(T6&gt;0,"-","+")</f>
        <v>+</v>
      </c>
    </row>
    <row r="7" spans="1:23" ht="20.25" hidden="1" customHeight="1" outlineLevel="1" x14ac:dyDescent="0.3">
      <c r="A7" s="493" t="s">
        <v>14</v>
      </c>
      <c r="B7" s="501">
        <v>94733314</v>
      </c>
      <c r="C7" s="501">
        <v>94733314</v>
      </c>
      <c r="D7" s="447">
        <f t="shared" si="8"/>
        <v>0</v>
      </c>
      <c r="E7" s="426">
        <f>D7/B7</f>
        <v>0</v>
      </c>
      <c r="F7" s="425">
        <v>94733314</v>
      </c>
      <c r="G7" s="518">
        <f t="shared" si="0"/>
        <v>0</v>
      </c>
      <c r="H7" s="423">
        <f t="shared" si="1"/>
        <v>0</v>
      </c>
      <c r="I7" s="501">
        <v>94733314</v>
      </c>
      <c r="J7" s="518">
        <f t="shared" si="2"/>
        <v>0</v>
      </c>
      <c r="K7" s="494">
        <f t="shared" si="3"/>
        <v>0</v>
      </c>
      <c r="L7" s="425">
        <v>94733314</v>
      </c>
      <c r="M7" s="877">
        <v>0</v>
      </c>
      <c r="N7" s="873">
        <v>0</v>
      </c>
      <c r="O7" s="425">
        <v>94733314</v>
      </c>
      <c r="P7" s="877">
        <f t="shared" si="4"/>
        <v>0</v>
      </c>
      <c r="Q7" s="873">
        <f t="shared" si="5"/>
        <v>0</v>
      </c>
      <c r="R7" s="664" t="str">
        <f>IF(P7&gt;0,"-","+")</f>
        <v>+</v>
      </c>
      <c r="S7" s="989">
        <f>'Summary Data'!CL8</f>
        <v>94733314</v>
      </c>
      <c r="T7" s="877">
        <f t="shared" si="6"/>
        <v>0</v>
      </c>
      <c r="U7" s="873">
        <f t="shared" si="7"/>
        <v>0</v>
      </c>
      <c r="V7" s="664" t="str">
        <f>IF(T7&gt;0,"-","+")</f>
        <v>+</v>
      </c>
    </row>
    <row r="8" spans="1:23" ht="20.25" hidden="1" customHeight="1" outlineLevel="1" x14ac:dyDescent="0.3">
      <c r="A8" s="493" t="s">
        <v>67</v>
      </c>
      <c r="B8" s="502">
        <v>0</v>
      </c>
      <c r="C8" s="502">
        <v>0</v>
      </c>
      <c r="D8" s="448">
        <f t="shared" si="8"/>
        <v>0</v>
      </c>
      <c r="E8" s="428"/>
      <c r="F8" s="427">
        <v>0</v>
      </c>
      <c r="G8" s="518">
        <f t="shared" si="0"/>
        <v>0</v>
      </c>
      <c r="H8" s="423" t="e">
        <f t="shared" si="1"/>
        <v>#DIV/0!</v>
      </c>
      <c r="I8" s="502">
        <v>0</v>
      </c>
      <c r="J8" s="518">
        <f t="shared" si="2"/>
        <v>0</v>
      </c>
      <c r="K8" s="494" t="e">
        <f t="shared" si="3"/>
        <v>#DIV/0!</v>
      </c>
      <c r="L8" s="427">
        <v>0</v>
      </c>
      <c r="M8" s="877">
        <v>0</v>
      </c>
      <c r="N8" s="873" t="e">
        <v>#DIV/0!</v>
      </c>
      <c r="O8" s="427">
        <v>0</v>
      </c>
      <c r="P8" s="877">
        <f t="shared" si="4"/>
        <v>0</v>
      </c>
      <c r="Q8" s="873" t="e">
        <f t="shared" si="5"/>
        <v>#DIV/0!</v>
      </c>
      <c r="R8" s="664" t="str">
        <f>IF(P8&gt;0,"-","+")</f>
        <v>+</v>
      </c>
      <c r="S8" s="990">
        <f>'Summary Data'!CL9</f>
        <v>0</v>
      </c>
      <c r="T8" s="877">
        <f t="shared" si="6"/>
        <v>0</v>
      </c>
      <c r="U8" s="873" t="e">
        <f t="shared" si="7"/>
        <v>#DIV/0!</v>
      </c>
      <c r="V8" s="664" t="str">
        <f>IF(T8&gt;0,"-","+")</f>
        <v>+</v>
      </c>
    </row>
    <row r="9" spans="1:23" ht="20.25" hidden="1" customHeight="1" outlineLevel="1" x14ac:dyDescent="0.3">
      <c r="A9" s="493" t="s">
        <v>131</v>
      </c>
      <c r="B9" s="503" t="s">
        <v>17</v>
      </c>
      <c r="C9" s="503" t="s">
        <v>152</v>
      </c>
      <c r="D9" s="449" t="e">
        <f t="shared" si="8"/>
        <v>#VALUE!</v>
      </c>
      <c r="E9" s="430" t="e">
        <f t="shared" ref="E9:E68" si="9">D9/B9</f>
        <v>#VALUE!</v>
      </c>
      <c r="F9" s="429" t="s">
        <v>175</v>
      </c>
      <c r="G9" s="518" t="e">
        <f t="shared" si="0"/>
        <v>#VALUE!</v>
      </c>
      <c r="H9" s="423" t="e">
        <f t="shared" si="1"/>
        <v>#VALUE!</v>
      </c>
      <c r="I9" s="503" t="s">
        <v>155</v>
      </c>
      <c r="J9" s="518" t="e">
        <f t="shared" si="2"/>
        <v>#VALUE!</v>
      </c>
      <c r="K9" s="494" t="e">
        <f t="shared" si="3"/>
        <v>#VALUE!</v>
      </c>
      <c r="L9" s="429" t="s">
        <v>192</v>
      </c>
      <c r="M9" s="877" t="e">
        <v>#VALUE!</v>
      </c>
      <c r="N9" s="873" t="e">
        <v>#VALUE!</v>
      </c>
      <c r="O9" s="429" t="s">
        <v>218</v>
      </c>
      <c r="P9" s="877" t="e">
        <f t="shared" si="4"/>
        <v>#VALUE!</v>
      </c>
      <c r="Q9" s="873" t="e">
        <f t="shared" si="5"/>
        <v>#VALUE!</v>
      </c>
      <c r="R9" s="664" t="e">
        <f>IF(P9&gt;0,"-","+")</f>
        <v>#VALUE!</v>
      </c>
      <c r="S9" s="991" t="str">
        <f>'Summary Data'!CL10</f>
        <v>1516 YTD Total</v>
      </c>
      <c r="T9" s="877" t="e">
        <f t="shared" si="6"/>
        <v>#VALUE!</v>
      </c>
      <c r="U9" s="873" t="e">
        <f t="shared" si="7"/>
        <v>#VALUE!</v>
      </c>
      <c r="V9" s="664" t="e">
        <f>IF(T9&gt;0,"-","+")</f>
        <v>#VALUE!</v>
      </c>
    </row>
    <row r="10" spans="1:23" ht="20.25" customHeight="1" collapsed="1" x14ac:dyDescent="0.3">
      <c r="A10" s="493" t="str">
        <f>'Summary Data'!B11</f>
        <v>Number of Employee Payrolls</v>
      </c>
      <c r="B10" s="504">
        <v>1463697.3333333333</v>
      </c>
      <c r="C10" s="504">
        <v>1547316</v>
      </c>
      <c r="D10" s="435">
        <f t="shared" si="8"/>
        <v>83618.666666666744</v>
      </c>
      <c r="E10" s="423">
        <f t="shared" si="9"/>
        <v>5.7128386287511226E-2</v>
      </c>
      <c r="F10" s="431">
        <v>1536331</v>
      </c>
      <c r="G10" s="518">
        <f t="shared" si="0"/>
        <v>-10985</v>
      </c>
      <c r="H10" s="423">
        <f t="shared" si="1"/>
        <v>-7.099390169816637E-3</v>
      </c>
      <c r="I10" s="504">
        <v>1381525</v>
      </c>
      <c r="J10" s="518">
        <f t="shared" si="2"/>
        <v>-154806</v>
      </c>
      <c r="K10" s="494">
        <f t="shared" si="3"/>
        <v>-0.10076344225300407</v>
      </c>
      <c r="L10" s="431">
        <v>1388066</v>
      </c>
      <c r="M10" s="877">
        <v>6541</v>
      </c>
      <c r="N10" s="873">
        <v>4.7346229709922007E-3</v>
      </c>
      <c r="O10" s="431">
        <v>1433529</v>
      </c>
      <c r="P10" s="877">
        <f t="shared" si="4"/>
        <v>45463</v>
      </c>
      <c r="Q10" s="873">
        <f t="shared" si="5"/>
        <v>3.2752765358419554E-2</v>
      </c>
      <c r="R10" s="665"/>
      <c r="S10" s="992">
        <f>'Summary Data'!CL11</f>
        <v>1375298</v>
      </c>
      <c r="T10" s="877">
        <f t="shared" si="6"/>
        <v>-58231</v>
      </c>
      <c r="U10" s="873">
        <f t="shared" si="7"/>
        <v>-4.0620733867260443E-2</v>
      </c>
      <c r="V10" s="665"/>
    </row>
    <row r="11" spans="1:23" ht="20.25" hidden="1" customHeight="1" outlineLevel="1" x14ac:dyDescent="0.3">
      <c r="A11" s="493" t="s">
        <v>91</v>
      </c>
      <c r="B11" s="505">
        <v>0</v>
      </c>
      <c r="C11" s="505">
        <v>0</v>
      </c>
      <c r="D11" s="446">
        <f t="shared" si="8"/>
        <v>0</v>
      </c>
      <c r="E11" s="423" t="e">
        <f t="shared" si="9"/>
        <v>#DIV/0!</v>
      </c>
      <c r="F11" s="432">
        <v>0</v>
      </c>
      <c r="G11" s="518">
        <f t="shared" si="0"/>
        <v>0</v>
      </c>
      <c r="H11" s="423" t="e">
        <f t="shared" si="1"/>
        <v>#DIV/0!</v>
      </c>
      <c r="I11" s="505">
        <v>0</v>
      </c>
      <c r="J11" s="518">
        <f t="shared" si="2"/>
        <v>0</v>
      </c>
      <c r="K11" s="494" t="e">
        <f t="shared" si="3"/>
        <v>#DIV/0!</v>
      </c>
      <c r="L11" s="432">
        <v>0</v>
      </c>
      <c r="M11" s="877">
        <v>0</v>
      </c>
      <c r="N11" s="873" t="e">
        <v>#DIV/0!</v>
      </c>
      <c r="O11" s="432">
        <v>0</v>
      </c>
      <c r="P11" s="877">
        <f t="shared" si="4"/>
        <v>0</v>
      </c>
      <c r="Q11" s="873" t="e">
        <f t="shared" si="5"/>
        <v>#DIV/0!</v>
      </c>
      <c r="R11" s="665" t="str">
        <f>IF(P11&gt;0,"-","+")</f>
        <v>+</v>
      </c>
      <c r="S11" s="993">
        <f>'Summary Data'!CL12</f>
        <v>0</v>
      </c>
      <c r="T11" s="877">
        <f t="shared" si="6"/>
        <v>0</v>
      </c>
      <c r="U11" s="873" t="e">
        <f t="shared" si="7"/>
        <v>#DIV/0!</v>
      </c>
      <c r="V11" s="665" t="str">
        <f>IF(T11&gt;0,"-","+")</f>
        <v>+</v>
      </c>
    </row>
    <row r="12" spans="1:23" ht="20.25" customHeight="1" collapsed="1" x14ac:dyDescent="0.3">
      <c r="A12" s="493" t="str">
        <f>'Summary Data'!E13</f>
        <v>Number of Calls</v>
      </c>
      <c r="B12" s="506">
        <v>61608</v>
      </c>
      <c r="C12" s="506">
        <v>53225</v>
      </c>
      <c r="D12" s="435">
        <f t="shared" si="8"/>
        <v>-8383</v>
      </c>
      <c r="E12" s="423">
        <f t="shared" si="9"/>
        <v>-0.13606999091027139</v>
      </c>
      <c r="F12" s="433">
        <v>45878</v>
      </c>
      <c r="G12" s="518">
        <f t="shared" si="0"/>
        <v>-7347</v>
      </c>
      <c r="H12" s="423">
        <f t="shared" si="1"/>
        <v>-0.13803663691874118</v>
      </c>
      <c r="I12" s="506">
        <v>49656</v>
      </c>
      <c r="J12" s="518">
        <f t="shared" si="2"/>
        <v>3778</v>
      </c>
      <c r="K12" s="494">
        <f t="shared" si="3"/>
        <v>8.234883822311348E-2</v>
      </c>
      <c r="L12" s="433">
        <v>65970</v>
      </c>
      <c r="M12" s="877">
        <v>16314</v>
      </c>
      <c r="N12" s="873">
        <v>0.32854035766070566</v>
      </c>
      <c r="O12" s="433">
        <v>56364</v>
      </c>
      <c r="P12" s="877">
        <f t="shared" si="4"/>
        <v>-9606</v>
      </c>
      <c r="Q12" s="873">
        <f t="shared" si="5"/>
        <v>-0.14561164165529786</v>
      </c>
      <c r="R12" s="665"/>
      <c r="S12" s="988">
        <f>'Summary Data'!CL13</f>
        <v>38547</v>
      </c>
      <c r="T12" s="877">
        <f t="shared" si="6"/>
        <v>-17817</v>
      </c>
      <c r="U12" s="873">
        <f t="shared" si="7"/>
        <v>-0.31610602512241859</v>
      </c>
      <c r="V12" s="665"/>
    </row>
    <row r="13" spans="1:23" ht="20.25" hidden="1" customHeight="1" outlineLevel="1" x14ac:dyDescent="0.3">
      <c r="A13" s="493" t="s">
        <v>32</v>
      </c>
      <c r="B13" s="506" t="s">
        <v>29</v>
      </c>
      <c r="C13" s="506" t="s">
        <v>29</v>
      </c>
      <c r="D13" s="435" t="e">
        <f t="shared" si="8"/>
        <v>#VALUE!</v>
      </c>
      <c r="E13" s="423" t="e">
        <f t="shared" si="9"/>
        <v>#VALUE!</v>
      </c>
      <c r="F13" s="433" t="s">
        <v>29</v>
      </c>
      <c r="G13" s="516" t="e">
        <f t="shared" si="0"/>
        <v>#VALUE!</v>
      </c>
      <c r="H13" s="423" t="e">
        <f t="shared" si="1"/>
        <v>#VALUE!</v>
      </c>
      <c r="I13" s="506" t="s">
        <v>29</v>
      </c>
      <c r="J13" s="516" t="e">
        <f t="shared" si="2"/>
        <v>#VALUE!</v>
      </c>
      <c r="K13" s="494" t="e">
        <f t="shared" si="3"/>
        <v>#VALUE!</v>
      </c>
      <c r="L13" s="433" t="s">
        <v>29</v>
      </c>
      <c r="M13" s="878" t="e">
        <v>#VALUE!</v>
      </c>
      <c r="N13" s="873" t="e">
        <v>#VALUE!</v>
      </c>
      <c r="O13" s="433" t="s">
        <v>29</v>
      </c>
      <c r="P13" s="878" t="e">
        <f t="shared" si="4"/>
        <v>#VALUE!</v>
      </c>
      <c r="Q13" s="873" t="e">
        <f t="shared" si="5"/>
        <v>#VALUE!</v>
      </c>
      <c r="R13" s="664" t="e">
        <f>IF(P13&gt;0,"-","+")</f>
        <v>#VALUE!</v>
      </c>
      <c r="S13" s="988" t="str">
        <f>'Summary Data'!CL14</f>
        <v>-</v>
      </c>
      <c r="T13" s="878" t="e">
        <f t="shared" si="6"/>
        <v>#VALUE!</v>
      </c>
      <c r="U13" s="873" t="e">
        <f t="shared" si="7"/>
        <v>#VALUE!</v>
      </c>
      <c r="V13" s="664" t="e">
        <f>IF(T13&gt;0,"-","+")</f>
        <v>#VALUE!</v>
      </c>
    </row>
    <row r="14" spans="1:23" ht="20.25" hidden="1" customHeight="1" outlineLevel="1" x14ac:dyDescent="0.3">
      <c r="A14" s="493" t="s">
        <v>30</v>
      </c>
      <c r="B14" s="504" t="s">
        <v>29</v>
      </c>
      <c r="C14" s="504" t="s">
        <v>29</v>
      </c>
      <c r="D14" s="435" t="e">
        <f t="shared" si="8"/>
        <v>#VALUE!</v>
      </c>
      <c r="E14" s="423" t="e">
        <f t="shared" si="9"/>
        <v>#VALUE!</v>
      </c>
      <c r="F14" s="431" t="s">
        <v>29</v>
      </c>
      <c r="G14" s="516" t="e">
        <f t="shared" si="0"/>
        <v>#VALUE!</v>
      </c>
      <c r="H14" s="423" t="e">
        <f t="shared" si="1"/>
        <v>#VALUE!</v>
      </c>
      <c r="I14" s="504" t="s">
        <v>29</v>
      </c>
      <c r="J14" s="516" t="e">
        <f t="shared" si="2"/>
        <v>#VALUE!</v>
      </c>
      <c r="K14" s="494" t="e">
        <f t="shared" si="3"/>
        <v>#VALUE!</v>
      </c>
      <c r="L14" s="431" t="s">
        <v>29</v>
      </c>
      <c r="M14" s="878" t="e">
        <v>#VALUE!</v>
      </c>
      <c r="N14" s="873" t="e">
        <v>#VALUE!</v>
      </c>
      <c r="O14" s="431" t="s">
        <v>29</v>
      </c>
      <c r="P14" s="878" t="e">
        <f t="shared" si="4"/>
        <v>#VALUE!</v>
      </c>
      <c r="Q14" s="873" t="e">
        <f t="shared" si="5"/>
        <v>#VALUE!</v>
      </c>
      <c r="R14" s="664" t="e">
        <f>IF(P14&gt;0,"-","+")</f>
        <v>#VALUE!</v>
      </c>
      <c r="S14" s="992" t="str">
        <f>'Summary Data'!CL15</f>
        <v>-</v>
      </c>
      <c r="T14" s="878" t="e">
        <f t="shared" si="6"/>
        <v>#VALUE!</v>
      </c>
      <c r="U14" s="873" t="e">
        <f t="shared" si="7"/>
        <v>#VALUE!</v>
      </c>
      <c r="V14" s="664" t="e">
        <f>IF(T14&gt;0,"-","+")</f>
        <v>#VALUE!</v>
      </c>
    </row>
    <row r="15" spans="1:23" ht="20.25" hidden="1" customHeight="1" outlineLevel="1" x14ac:dyDescent="0.3">
      <c r="A15" s="493" t="s">
        <v>31</v>
      </c>
      <c r="B15" s="504" t="s">
        <v>29</v>
      </c>
      <c r="C15" s="504" t="s">
        <v>29</v>
      </c>
      <c r="D15" s="435" t="e">
        <f t="shared" si="8"/>
        <v>#VALUE!</v>
      </c>
      <c r="E15" s="423" t="e">
        <f t="shared" si="9"/>
        <v>#VALUE!</v>
      </c>
      <c r="F15" s="431" t="s">
        <v>29</v>
      </c>
      <c r="G15" s="516" t="e">
        <f t="shared" si="0"/>
        <v>#VALUE!</v>
      </c>
      <c r="H15" s="423" t="e">
        <f t="shared" si="1"/>
        <v>#VALUE!</v>
      </c>
      <c r="I15" s="504" t="s">
        <v>29</v>
      </c>
      <c r="J15" s="516" t="e">
        <f t="shared" si="2"/>
        <v>#VALUE!</v>
      </c>
      <c r="K15" s="494" t="e">
        <f t="shared" si="3"/>
        <v>#VALUE!</v>
      </c>
      <c r="L15" s="431" t="s">
        <v>29</v>
      </c>
      <c r="M15" s="878" t="e">
        <v>#VALUE!</v>
      </c>
      <c r="N15" s="873" t="e">
        <v>#VALUE!</v>
      </c>
      <c r="O15" s="431" t="s">
        <v>29</v>
      </c>
      <c r="P15" s="878" t="e">
        <f t="shared" si="4"/>
        <v>#VALUE!</v>
      </c>
      <c r="Q15" s="873" t="e">
        <f t="shared" si="5"/>
        <v>#VALUE!</v>
      </c>
      <c r="R15" s="664" t="e">
        <f>IF(P15&gt;0,"-","+")</f>
        <v>#VALUE!</v>
      </c>
      <c r="S15" s="992" t="str">
        <f>'Summary Data'!CL16</f>
        <v>-</v>
      </c>
      <c r="T15" s="878" t="e">
        <f t="shared" si="6"/>
        <v>#VALUE!</v>
      </c>
      <c r="U15" s="873" t="e">
        <f t="shared" si="7"/>
        <v>#VALUE!</v>
      </c>
      <c r="V15" s="664" t="e">
        <f>IF(T15&gt;0,"-","+")</f>
        <v>#VALUE!</v>
      </c>
    </row>
    <row r="16" spans="1:23" ht="20.25" hidden="1" customHeight="1" outlineLevel="1" x14ac:dyDescent="0.3">
      <c r="A16" s="493" t="s">
        <v>3</v>
      </c>
      <c r="B16" s="507" t="s">
        <v>29</v>
      </c>
      <c r="C16" s="507" t="s">
        <v>29</v>
      </c>
      <c r="D16" s="435" t="e">
        <f t="shared" si="8"/>
        <v>#VALUE!</v>
      </c>
      <c r="E16" s="423" t="e">
        <f t="shared" si="9"/>
        <v>#VALUE!</v>
      </c>
      <c r="F16" s="434" t="s">
        <v>29</v>
      </c>
      <c r="G16" s="516" t="e">
        <f t="shared" si="0"/>
        <v>#VALUE!</v>
      </c>
      <c r="H16" s="423" t="e">
        <f t="shared" si="1"/>
        <v>#VALUE!</v>
      </c>
      <c r="I16" s="507" t="s">
        <v>29</v>
      </c>
      <c r="J16" s="516" t="e">
        <f t="shared" si="2"/>
        <v>#VALUE!</v>
      </c>
      <c r="K16" s="494" t="e">
        <f t="shared" si="3"/>
        <v>#VALUE!</v>
      </c>
      <c r="L16" s="434" t="s">
        <v>29</v>
      </c>
      <c r="M16" s="878" t="e">
        <v>#VALUE!</v>
      </c>
      <c r="N16" s="873" t="e">
        <v>#VALUE!</v>
      </c>
      <c r="O16" s="434" t="s">
        <v>29</v>
      </c>
      <c r="P16" s="878" t="e">
        <f t="shared" si="4"/>
        <v>#VALUE!</v>
      </c>
      <c r="Q16" s="873" t="e">
        <f t="shared" si="5"/>
        <v>#VALUE!</v>
      </c>
      <c r="R16" s="664" t="e">
        <f>IF(P16&gt;0,"-","+")</f>
        <v>#VALUE!</v>
      </c>
      <c r="S16" s="994" t="str">
        <f>'Summary Data'!CL17</f>
        <v>-</v>
      </c>
      <c r="T16" s="878" t="e">
        <f t="shared" si="6"/>
        <v>#VALUE!</v>
      </c>
      <c r="U16" s="873" t="e">
        <f t="shared" si="7"/>
        <v>#VALUE!</v>
      </c>
      <c r="V16" s="664" t="e">
        <f>IF(T16&gt;0,"-","+")</f>
        <v>#VALUE!</v>
      </c>
    </row>
    <row r="17" spans="1:22" ht="20.25" customHeight="1" collapsed="1" x14ac:dyDescent="0.3">
      <c r="A17" s="493" t="str">
        <f>'Summary Data'!E18</f>
        <v xml:space="preserve">First Call Resolution </v>
      </c>
      <c r="B17" s="508">
        <v>0.71085686095931999</v>
      </c>
      <c r="C17" s="508">
        <v>0.72160021241757755</v>
      </c>
      <c r="D17" s="450">
        <f>C17-B17</f>
        <v>1.0743351458257555E-2</v>
      </c>
      <c r="E17" s="423">
        <f>D17/B17</f>
        <v>1.5113241565621412E-2</v>
      </c>
      <c r="F17" s="438">
        <v>0.75797057789827782</v>
      </c>
      <c r="G17" s="517">
        <f t="shared" si="0"/>
        <v>3.6370365480700273E-2</v>
      </c>
      <c r="H17" s="423">
        <f t="shared" si="1"/>
        <v>5.0402376350262727E-2</v>
      </c>
      <c r="I17" s="508">
        <v>0.75769875584576019</v>
      </c>
      <c r="J17" s="517">
        <f t="shared" si="2"/>
        <v>-2.7182205251763403E-4</v>
      </c>
      <c r="K17" s="494">
        <f t="shared" si="3"/>
        <v>-3.5861821084315685E-4</v>
      </c>
      <c r="L17" s="438">
        <v>0.79294980998558506</v>
      </c>
      <c r="M17" s="879">
        <v>3.5251054139824878E-2</v>
      </c>
      <c r="N17" s="873">
        <v>4.652383796047925E-2</v>
      </c>
      <c r="O17" s="438">
        <v>0.80871533672891904</v>
      </c>
      <c r="P17" s="879">
        <f t="shared" si="4"/>
        <v>1.576552674333398E-2</v>
      </c>
      <c r="Q17" s="873">
        <f t="shared" si="5"/>
        <v>1.9882124372563478E-2</v>
      </c>
      <c r="R17" s="664" t="str">
        <f>IF(P17&gt;0,"+","-")</f>
        <v>+</v>
      </c>
      <c r="S17" s="995">
        <f>S5/S22</f>
        <v>0.79510368663594466</v>
      </c>
      <c r="T17" s="879">
        <f t="shared" si="6"/>
        <v>-1.3611650092974381E-2</v>
      </c>
      <c r="U17" s="873">
        <f t="shared" si="7"/>
        <v>-1.6831200639808069E-2</v>
      </c>
      <c r="V17" s="664" t="str">
        <f>IF(T17&gt;0,"+","-")</f>
        <v>-</v>
      </c>
    </row>
    <row r="18" spans="1:22" ht="20.25" hidden="1" customHeight="1" outlineLevel="1" x14ac:dyDescent="0.3">
      <c r="A18" s="493" t="str">
        <f>'Summary Data'!E19</f>
        <v xml:space="preserve">Calls Abandoned </v>
      </c>
      <c r="B18" s="504" t="s">
        <v>29</v>
      </c>
      <c r="C18" s="504" t="s">
        <v>29</v>
      </c>
      <c r="D18" s="435" t="e">
        <f t="shared" si="8"/>
        <v>#VALUE!</v>
      </c>
      <c r="E18" s="423" t="e">
        <f t="shared" si="9"/>
        <v>#VALUE!</v>
      </c>
      <c r="F18" s="431" t="s">
        <v>29</v>
      </c>
      <c r="G18" s="516" t="e">
        <f t="shared" si="0"/>
        <v>#VALUE!</v>
      </c>
      <c r="H18" s="423" t="e">
        <f t="shared" si="1"/>
        <v>#VALUE!</v>
      </c>
      <c r="I18" s="504" t="s">
        <v>29</v>
      </c>
      <c r="J18" s="516" t="e">
        <f t="shared" si="2"/>
        <v>#VALUE!</v>
      </c>
      <c r="K18" s="494" t="e">
        <f t="shared" si="3"/>
        <v>#VALUE!</v>
      </c>
      <c r="L18" s="431" t="s">
        <v>29</v>
      </c>
      <c r="M18" s="878" t="e">
        <v>#VALUE!</v>
      </c>
      <c r="N18" s="873" t="e">
        <v>#VALUE!</v>
      </c>
      <c r="O18" s="431" t="s">
        <v>29</v>
      </c>
      <c r="P18" s="878" t="e">
        <f t="shared" si="4"/>
        <v>#VALUE!</v>
      </c>
      <c r="Q18" s="873" t="e">
        <f t="shared" si="5"/>
        <v>#VALUE!</v>
      </c>
      <c r="R18" s="664" t="e">
        <f>IF(P18&gt;0,"+","-")</f>
        <v>#VALUE!</v>
      </c>
      <c r="S18" s="992" t="str">
        <f>'Summary Data'!CL19</f>
        <v>-</v>
      </c>
      <c r="T18" s="878" t="e">
        <f t="shared" si="6"/>
        <v>#VALUE!</v>
      </c>
      <c r="U18" s="873" t="e">
        <f t="shared" si="7"/>
        <v>#VALUE!</v>
      </c>
      <c r="V18" s="664" t="e">
        <f>IF(T18&gt;0,"+","-")</f>
        <v>#VALUE!</v>
      </c>
    </row>
    <row r="19" spans="1:22" ht="20.25" hidden="1" customHeight="1" outlineLevel="1" x14ac:dyDescent="0.3">
      <c r="A19" s="493" t="s">
        <v>170</v>
      </c>
      <c r="B19" s="509" t="s">
        <v>29</v>
      </c>
      <c r="C19" s="509" t="s">
        <v>29</v>
      </c>
      <c r="D19" s="435" t="e">
        <f t="shared" si="8"/>
        <v>#VALUE!</v>
      </c>
      <c r="E19" s="423" t="e">
        <f t="shared" si="9"/>
        <v>#VALUE!</v>
      </c>
      <c r="F19" s="435" t="s">
        <v>29</v>
      </c>
      <c r="G19" s="516" t="e">
        <f t="shared" si="0"/>
        <v>#VALUE!</v>
      </c>
      <c r="H19" s="423" t="e">
        <f t="shared" si="1"/>
        <v>#VALUE!</v>
      </c>
      <c r="I19" s="509" t="s">
        <v>29</v>
      </c>
      <c r="J19" s="516" t="e">
        <f t="shared" si="2"/>
        <v>#VALUE!</v>
      </c>
      <c r="K19" s="494" t="e">
        <f t="shared" si="3"/>
        <v>#VALUE!</v>
      </c>
      <c r="L19" s="435" t="s">
        <v>29</v>
      </c>
      <c r="M19" s="878" t="e">
        <v>#VALUE!</v>
      </c>
      <c r="N19" s="873" t="e">
        <v>#VALUE!</v>
      </c>
      <c r="O19" s="435" t="s">
        <v>29</v>
      </c>
      <c r="P19" s="878" t="e">
        <f t="shared" si="4"/>
        <v>#VALUE!</v>
      </c>
      <c r="Q19" s="873" t="e">
        <f t="shared" si="5"/>
        <v>#VALUE!</v>
      </c>
      <c r="R19" s="664" t="e">
        <f>IF(P19&gt;0,"+","-")</f>
        <v>#VALUE!</v>
      </c>
      <c r="S19" s="996" t="str">
        <f>'Summary Data'!CL20</f>
        <v>-</v>
      </c>
      <c r="T19" s="878" t="e">
        <f t="shared" si="6"/>
        <v>#VALUE!</v>
      </c>
      <c r="U19" s="873" t="e">
        <f t="shared" si="7"/>
        <v>#VALUE!</v>
      </c>
      <c r="V19" s="664" t="e">
        <f>IF(T19&gt;0,"+","-")</f>
        <v>#VALUE!</v>
      </c>
    </row>
    <row r="20" spans="1:22" ht="20.25" hidden="1" customHeight="1" outlineLevel="1" x14ac:dyDescent="0.3">
      <c r="A20" s="493" t="s">
        <v>92</v>
      </c>
      <c r="B20" s="505">
        <v>0</v>
      </c>
      <c r="C20" s="505">
        <v>0</v>
      </c>
      <c r="D20" s="446">
        <f t="shared" si="8"/>
        <v>0</v>
      </c>
      <c r="E20" s="423" t="e">
        <f t="shared" si="9"/>
        <v>#DIV/0!</v>
      </c>
      <c r="F20" s="432">
        <v>0</v>
      </c>
      <c r="G20" s="516">
        <f t="shared" si="0"/>
        <v>0</v>
      </c>
      <c r="H20" s="423" t="e">
        <f t="shared" si="1"/>
        <v>#DIV/0!</v>
      </c>
      <c r="I20" s="505">
        <v>0</v>
      </c>
      <c r="J20" s="516">
        <f t="shared" si="2"/>
        <v>0</v>
      </c>
      <c r="K20" s="494" t="e">
        <f t="shared" si="3"/>
        <v>#DIV/0!</v>
      </c>
      <c r="L20" s="432">
        <v>0</v>
      </c>
      <c r="M20" s="878">
        <v>0</v>
      </c>
      <c r="N20" s="873" t="e">
        <v>#DIV/0!</v>
      </c>
      <c r="O20" s="432">
        <v>0</v>
      </c>
      <c r="P20" s="878">
        <f t="shared" si="4"/>
        <v>0</v>
      </c>
      <c r="Q20" s="873" t="e">
        <f t="shared" si="5"/>
        <v>#DIV/0!</v>
      </c>
      <c r="R20" s="664" t="str">
        <f>IF(P20&gt;0,"+","-")</f>
        <v>-</v>
      </c>
      <c r="S20" s="993">
        <f>'Summary Data'!CL21</f>
        <v>0</v>
      </c>
      <c r="T20" s="878">
        <f t="shared" si="6"/>
        <v>0</v>
      </c>
      <c r="U20" s="873" t="e">
        <f t="shared" si="7"/>
        <v>#DIV/0!</v>
      </c>
      <c r="V20" s="664" t="str">
        <f>IF(T20&gt;0,"+","-")</f>
        <v>-</v>
      </c>
    </row>
    <row r="21" spans="1:22" ht="20.25" customHeight="1" collapsed="1" x14ac:dyDescent="0.3">
      <c r="A21" s="493" t="str">
        <f>'Summary Data'!D22</f>
        <v xml:space="preserve">Number of New Tickets </v>
      </c>
      <c r="B21" s="506">
        <v>130386</v>
      </c>
      <c r="C21" s="506">
        <v>90700</v>
      </c>
      <c r="D21" s="435">
        <f t="shared" si="8"/>
        <v>-39686</v>
      </c>
      <c r="E21" s="423">
        <f t="shared" si="9"/>
        <v>-0.30437316889850136</v>
      </c>
      <c r="F21" s="433">
        <v>77529</v>
      </c>
      <c r="G21" s="518">
        <f t="shared" si="0"/>
        <v>-13171</v>
      </c>
      <c r="H21" s="423">
        <f t="shared" si="1"/>
        <v>-0.14521499448732084</v>
      </c>
      <c r="I21" s="506">
        <v>81542</v>
      </c>
      <c r="J21" s="518">
        <f t="shared" si="2"/>
        <v>4013</v>
      </c>
      <c r="K21" s="494">
        <f t="shared" si="3"/>
        <v>5.1761276425595582E-2</v>
      </c>
      <c r="L21" s="433">
        <v>94090</v>
      </c>
      <c r="M21" s="877">
        <v>12548</v>
      </c>
      <c r="N21" s="873">
        <v>0.15388388805768807</v>
      </c>
      <c r="O21" s="433">
        <v>96396</v>
      </c>
      <c r="P21" s="877">
        <f t="shared" si="4"/>
        <v>2306</v>
      </c>
      <c r="Q21" s="873">
        <f t="shared" si="5"/>
        <v>2.450844935699862E-2</v>
      </c>
      <c r="R21" s="665"/>
      <c r="S21" s="988">
        <f>'Summary Data'!CL22</f>
        <v>76699</v>
      </c>
      <c r="T21" s="877">
        <f t="shared" si="6"/>
        <v>-19697</v>
      </c>
      <c r="U21" s="873">
        <f t="shared" si="7"/>
        <v>-0.20433420473878583</v>
      </c>
      <c r="V21" s="665"/>
    </row>
    <row r="22" spans="1:22" ht="20.25" customHeight="1" x14ac:dyDescent="0.3">
      <c r="A22" s="495" t="str">
        <f>'Summary Data'!E23</f>
        <v>Reported Source - Telephone</v>
      </c>
      <c r="B22" s="506">
        <v>52704</v>
      </c>
      <c r="C22" s="506">
        <v>45194</v>
      </c>
      <c r="D22" s="435">
        <f t="shared" si="8"/>
        <v>-7510</v>
      </c>
      <c r="E22" s="423">
        <f t="shared" si="9"/>
        <v>-0.1424939283545841</v>
      </c>
      <c r="F22" s="433">
        <v>39834</v>
      </c>
      <c r="G22" s="518">
        <f t="shared" si="0"/>
        <v>-5360</v>
      </c>
      <c r="H22" s="423">
        <f t="shared" si="1"/>
        <v>-0.11859981413461965</v>
      </c>
      <c r="I22" s="506">
        <v>45332</v>
      </c>
      <c r="J22" s="518">
        <f t="shared" si="2"/>
        <v>5498</v>
      </c>
      <c r="K22" s="494">
        <f t="shared" si="3"/>
        <v>0.13802279459757996</v>
      </c>
      <c r="L22" s="433">
        <v>53417</v>
      </c>
      <c r="M22" s="877">
        <v>8085</v>
      </c>
      <c r="N22" s="873">
        <v>0.17835083384805436</v>
      </c>
      <c r="O22" s="433">
        <v>51243</v>
      </c>
      <c r="P22" s="877">
        <f t="shared" si="4"/>
        <v>-2174</v>
      </c>
      <c r="Q22" s="873">
        <f t="shared" si="5"/>
        <v>-4.0698653986558586E-2</v>
      </c>
      <c r="R22" s="665"/>
      <c r="S22" s="988">
        <f>'Summary Data'!CL23</f>
        <v>34720</v>
      </c>
      <c r="T22" s="877">
        <f t="shared" si="6"/>
        <v>-16523</v>
      </c>
      <c r="U22" s="873">
        <f t="shared" si="7"/>
        <v>-0.32244404113732605</v>
      </c>
      <c r="V22" s="665"/>
    </row>
    <row r="23" spans="1:22" ht="20.25" customHeight="1" x14ac:dyDescent="0.3">
      <c r="A23" s="495" t="str">
        <f>'Summary Data'!E24</f>
        <v>Reported Source - Email</v>
      </c>
      <c r="B23" s="506">
        <v>20186</v>
      </c>
      <c r="C23" s="506">
        <v>19497</v>
      </c>
      <c r="D23" s="435">
        <f t="shared" si="8"/>
        <v>-689</v>
      </c>
      <c r="E23" s="423">
        <f t="shared" si="9"/>
        <v>-3.4132567125730706E-2</v>
      </c>
      <c r="F23" s="433">
        <v>20842</v>
      </c>
      <c r="G23" s="518">
        <f t="shared" si="0"/>
        <v>1345</v>
      </c>
      <c r="H23" s="423">
        <f t="shared" si="1"/>
        <v>6.8984972046981591E-2</v>
      </c>
      <c r="I23" s="506">
        <v>21669</v>
      </c>
      <c r="J23" s="518">
        <f t="shared" si="2"/>
        <v>827</v>
      </c>
      <c r="K23" s="494">
        <f t="shared" si="3"/>
        <v>3.9679493330774397E-2</v>
      </c>
      <c r="L23" s="433">
        <v>27865</v>
      </c>
      <c r="M23" s="877">
        <v>6196</v>
      </c>
      <c r="N23" s="873">
        <v>0.28593843739904934</v>
      </c>
      <c r="O23" s="433">
        <v>35165</v>
      </c>
      <c r="P23" s="877">
        <f t="shared" si="4"/>
        <v>7300</v>
      </c>
      <c r="Q23" s="873">
        <f t="shared" si="5"/>
        <v>0.26197739099228423</v>
      </c>
      <c r="R23" s="665"/>
      <c r="S23" s="988">
        <f>'Summary Data'!CL24</f>
        <v>32252</v>
      </c>
      <c r="T23" s="877">
        <f t="shared" si="6"/>
        <v>-2913</v>
      </c>
      <c r="U23" s="873">
        <f t="shared" si="7"/>
        <v>-8.2838049196644392E-2</v>
      </c>
      <c r="V23" s="665"/>
    </row>
    <row r="24" spans="1:22" ht="20.25" customHeight="1" x14ac:dyDescent="0.3">
      <c r="A24" s="495" t="str">
        <f>'Summary Data'!E25</f>
        <v>Reported Source - Fax</v>
      </c>
      <c r="B24" s="506">
        <v>33004</v>
      </c>
      <c r="C24" s="506">
        <v>14957</v>
      </c>
      <c r="D24" s="435">
        <f t="shared" si="8"/>
        <v>-18047</v>
      </c>
      <c r="E24" s="423">
        <f t="shared" si="9"/>
        <v>-0.54681250757483946</v>
      </c>
      <c r="F24" s="433">
        <v>6759</v>
      </c>
      <c r="G24" s="518">
        <f t="shared" si="0"/>
        <v>-8198</v>
      </c>
      <c r="H24" s="423">
        <f t="shared" si="1"/>
        <v>-0.54810456642374805</v>
      </c>
      <c r="I24" s="506">
        <v>7143</v>
      </c>
      <c r="J24" s="518">
        <f t="shared" si="2"/>
        <v>384</v>
      </c>
      <c r="K24" s="494">
        <f t="shared" si="3"/>
        <v>5.6813138038171326E-2</v>
      </c>
      <c r="L24" s="433">
        <v>5134</v>
      </c>
      <c r="M24" s="877">
        <v>-2009</v>
      </c>
      <c r="N24" s="873">
        <v>-0.28125437491250177</v>
      </c>
      <c r="O24" s="433">
        <v>3931</v>
      </c>
      <c r="P24" s="877">
        <f t="shared" si="4"/>
        <v>-1203</v>
      </c>
      <c r="Q24" s="873">
        <f t="shared" si="5"/>
        <v>-0.23432021815348655</v>
      </c>
      <c r="R24" s="665"/>
      <c r="S24" s="988">
        <f>'Summary Data'!CL25</f>
        <v>4910</v>
      </c>
      <c r="T24" s="877">
        <f t="shared" si="6"/>
        <v>979</v>
      </c>
      <c r="U24" s="873">
        <f t="shared" si="7"/>
        <v>0.24904604426354618</v>
      </c>
      <c r="V24" s="665"/>
    </row>
    <row r="25" spans="1:22" ht="20.25" customHeight="1" x14ac:dyDescent="0.3">
      <c r="A25" s="495" t="str">
        <f>'Summary Data'!E26</f>
        <v>Reported Source - US Mail</v>
      </c>
      <c r="B25" s="506">
        <v>23565</v>
      </c>
      <c r="C25" s="506">
        <v>10327</v>
      </c>
      <c r="D25" s="435">
        <f t="shared" si="8"/>
        <v>-13238</v>
      </c>
      <c r="E25" s="423">
        <f t="shared" si="9"/>
        <v>-0.56176532993846806</v>
      </c>
      <c r="F25" s="433">
        <v>9661</v>
      </c>
      <c r="G25" s="518">
        <f t="shared" si="0"/>
        <v>-666</v>
      </c>
      <c r="H25" s="423">
        <f t="shared" si="1"/>
        <v>-6.4491139730802755E-2</v>
      </c>
      <c r="I25" s="506">
        <v>7250</v>
      </c>
      <c r="J25" s="518">
        <f t="shared" si="2"/>
        <v>-2411</v>
      </c>
      <c r="K25" s="494">
        <f t="shared" si="3"/>
        <v>-0.24956008694752096</v>
      </c>
      <c r="L25" s="433">
        <v>7399</v>
      </c>
      <c r="M25" s="877">
        <v>149</v>
      </c>
      <c r="N25" s="873">
        <v>2.0551724137931035E-2</v>
      </c>
      <c r="O25" s="433">
        <v>5868</v>
      </c>
      <c r="P25" s="877">
        <f t="shared" si="4"/>
        <v>-1531</v>
      </c>
      <c r="Q25" s="873">
        <f t="shared" si="5"/>
        <v>-0.20691985403432897</v>
      </c>
      <c r="R25" s="665"/>
      <c r="S25" s="988">
        <f>'Summary Data'!CL26</f>
        <v>4509</v>
      </c>
      <c r="T25" s="877">
        <f t="shared" si="6"/>
        <v>-1359</v>
      </c>
      <c r="U25" s="873">
        <f t="shared" si="7"/>
        <v>-0.23159509202453987</v>
      </c>
      <c r="V25" s="665"/>
    </row>
    <row r="26" spans="1:22" ht="20.25" customHeight="1" x14ac:dyDescent="0.3">
      <c r="A26" s="495" t="str">
        <f>'Summary Data'!E27</f>
        <v>Reported Source - Other</v>
      </c>
      <c r="B26" s="506">
        <v>927</v>
      </c>
      <c r="C26" s="506">
        <v>725</v>
      </c>
      <c r="D26" s="435">
        <f t="shared" si="8"/>
        <v>-202</v>
      </c>
      <c r="E26" s="423">
        <f t="shared" si="9"/>
        <v>-0.21790722761596548</v>
      </c>
      <c r="F26" s="433">
        <v>433</v>
      </c>
      <c r="G26" s="518">
        <f t="shared" si="0"/>
        <v>-292</v>
      </c>
      <c r="H26" s="423">
        <f t="shared" si="1"/>
        <v>-0.40275862068965518</v>
      </c>
      <c r="I26" s="506">
        <v>148</v>
      </c>
      <c r="J26" s="518">
        <f t="shared" si="2"/>
        <v>-285</v>
      </c>
      <c r="K26" s="494">
        <f t="shared" si="3"/>
        <v>-0.65819861431870674</v>
      </c>
      <c r="L26" s="433">
        <v>275</v>
      </c>
      <c r="M26" s="877">
        <v>127</v>
      </c>
      <c r="N26" s="873">
        <v>0.85810810810810811</v>
      </c>
      <c r="O26" s="433">
        <v>189</v>
      </c>
      <c r="P26" s="877">
        <f t="shared" si="4"/>
        <v>-86</v>
      </c>
      <c r="Q26" s="873">
        <f t="shared" si="5"/>
        <v>-0.31272727272727274</v>
      </c>
      <c r="R26" s="665"/>
      <c r="S26" s="988">
        <f>'Summary Data'!CL27</f>
        <v>308</v>
      </c>
      <c r="T26" s="877">
        <f t="shared" si="6"/>
        <v>119</v>
      </c>
      <c r="U26" s="873">
        <f t="shared" si="7"/>
        <v>0.62962962962962965</v>
      </c>
      <c r="V26" s="665"/>
    </row>
    <row r="27" spans="1:22" ht="20.25" customHeight="1" x14ac:dyDescent="0.3">
      <c r="A27" s="493" t="str">
        <f>'Summary Data'!E28</f>
        <v>Resolved Tickets</v>
      </c>
      <c r="B27" s="506">
        <v>142029</v>
      </c>
      <c r="C27" s="506">
        <v>91957</v>
      </c>
      <c r="D27" s="435">
        <f t="shared" si="8"/>
        <v>-50072</v>
      </c>
      <c r="E27" s="423">
        <f t="shared" si="9"/>
        <v>-0.35254771912778377</v>
      </c>
      <c r="F27" s="433">
        <v>76984</v>
      </c>
      <c r="G27" s="518">
        <f t="shared" si="0"/>
        <v>-14973</v>
      </c>
      <c r="H27" s="423">
        <f t="shared" si="1"/>
        <v>-0.16282610350489904</v>
      </c>
      <c r="I27" s="506">
        <v>82222</v>
      </c>
      <c r="J27" s="518">
        <f t="shared" si="2"/>
        <v>5238</v>
      </c>
      <c r="K27" s="494">
        <f t="shared" si="3"/>
        <v>6.8040112231112962E-2</v>
      </c>
      <c r="L27" s="433">
        <v>94891</v>
      </c>
      <c r="M27" s="877">
        <v>12669</v>
      </c>
      <c r="N27" s="873">
        <v>0.15408284887256452</v>
      </c>
      <c r="O27" s="433">
        <v>97104</v>
      </c>
      <c r="P27" s="877">
        <f t="shared" si="4"/>
        <v>2213</v>
      </c>
      <c r="Q27" s="873">
        <f t="shared" si="5"/>
        <v>2.3321495189217101E-2</v>
      </c>
      <c r="R27" s="665"/>
      <c r="S27" s="988">
        <f>'Summary Data'!CL28</f>
        <v>77374</v>
      </c>
      <c r="T27" s="877">
        <f t="shared" si="6"/>
        <v>-19730</v>
      </c>
      <c r="U27" s="873">
        <f t="shared" si="7"/>
        <v>-0.20318421486241556</v>
      </c>
      <c r="V27" s="665"/>
    </row>
    <row r="28" spans="1:22" ht="20.25" hidden="1" customHeight="1" outlineLevel="1" x14ac:dyDescent="0.3">
      <c r="A28" s="493" t="s">
        <v>44</v>
      </c>
      <c r="B28" s="510">
        <v>0</v>
      </c>
      <c r="C28" s="510">
        <v>0</v>
      </c>
      <c r="D28" s="435">
        <f t="shared" si="8"/>
        <v>0</v>
      </c>
      <c r="E28" s="423" t="e">
        <f t="shared" si="9"/>
        <v>#DIV/0!</v>
      </c>
      <c r="F28" s="436">
        <v>0</v>
      </c>
      <c r="G28" s="518">
        <f t="shared" si="0"/>
        <v>0</v>
      </c>
      <c r="H28" s="423" t="e">
        <f t="shared" si="1"/>
        <v>#DIV/0!</v>
      </c>
      <c r="I28" s="510">
        <v>0</v>
      </c>
      <c r="J28" s="518">
        <f t="shared" si="2"/>
        <v>0</v>
      </c>
      <c r="K28" s="494" t="e">
        <f t="shared" si="3"/>
        <v>#DIV/0!</v>
      </c>
      <c r="L28" s="436">
        <v>0</v>
      </c>
      <c r="M28" s="877">
        <v>0</v>
      </c>
      <c r="N28" s="873" t="e">
        <v>#DIV/0!</v>
      </c>
      <c r="O28" s="436">
        <v>0</v>
      </c>
      <c r="P28" s="877">
        <f t="shared" si="4"/>
        <v>0</v>
      </c>
      <c r="Q28" s="873" t="e">
        <f t="shared" si="5"/>
        <v>#DIV/0!</v>
      </c>
      <c r="R28" s="665" t="str">
        <f t="shared" ref="R28:R34" si="10">IF(P28&gt;0,"-","+")</f>
        <v>+</v>
      </c>
      <c r="S28" s="997">
        <f>'Summary Data'!CL29</f>
        <v>0</v>
      </c>
      <c r="T28" s="877">
        <f t="shared" si="6"/>
        <v>0</v>
      </c>
      <c r="U28" s="873" t="e">
        <f t="shared" si="7"/>
        <v>#DIV/0!</v>
      </c>
      <c r="V28" s="665" t="str">
        <f t="shared" ref="V28:V34" si="11">IF(T28&gt;0,"-","+")</f>
        <v>+</v>
      </c>
    </row>
    <row r="29" spans="1:22" ht="20.25" hidden="1" customHeight="1" outlineLevel="1" x14ac:dyDescent="0.3">
      <c r="A29" s="493" t="s">
        <v>45</v>
      </c>
      <c r="B29" s="506">
        <v>0</v>
      </c>
      <c r="C29" s="506">
        <v>0</v>
      </c>
      <c r="D29" s="435">
        <f t="shared" si="8"/>
        <v>0</v>
      </c>
      <c r="E29" s="423" t="e">
        <f t="shared" si="9"/>
        <v>#DIV/0!</v>
      </c>
      <c r="F29" s="433">
        <v>0</v>
      </c>
      <c r="G29" s="518">
        <f t="shared" si="0"/>
        <v>0</v>
      </c>
      <c r="H29" s="423" t="e">
        <f t="shared" si="1"/>
        <v>#DIV/0!</v>
      </c>
      <c r="I29" s="506">
        <v>0</v>
      </c>
      <c r="J29" s="518">
        <f t="shared" si="2"/>
        <v>0</v>
      </c>
      <c r="K29" s="494" t="e">
        <f t="shared" si="3"/>
        <v>#DIV/0!</v>
      </c>
      <c r="L29" s="433">
        <v>0</v>
      </c>
      <c r="M29" s="877">
        <v>0</v>
      </c>
      <c r="N29" s="873" t="e">
        <v>#DIV/0!</v>
      </c>
      <c r="O29" s="433">
        <v>0</v>
      </c>
      <c r="P29" s="877">
        <f t="shared" si="4"/>
        <v>0</v>
      </c>
      <c r="Q29" s="873" t="e">
        <f t="shared" si="5"/>
        <v>#DIV/0!</v>
      </c>
      <c r="R29" s="665" t="str">
        <f t="shared" si="10"/>
        <v>+</v>
      </c>
      <c r="S29" s="988">
        <f>'Summary Data'!CL30</f>
        <v>0</v>
      </c>
      <c r="T29" s="877">
        <f t="shared" si="6"/>
        <v>0</v>
      </c>
      <c r="U29" s="873" t="e">
        <f t="shared" si="7"/>
        <v>#DIV/0!</v>
      </c>
      <c r="V29" s="665" t="str">
        <f t="shared" si="11"/>
        <v>+</v>
      </c>
    </row>
    <row r="30" spans="1:22" ht="20.25" hidden="1" customHeight="1" outlineLevel="1" x14ac:dyDescent="0.3">
      <c r="A30" s="493" t="s">
        <v>81</v>
      </c>
      <c r="B30" s="504">
        <v>0</v>
      </c>
      <c r="C30" s="504">
        <v>0</v>
      </c>
      <c r="D30" s="435">
        <f t="shared" si="8"/>
        <v>0</v>
      </c>
      <c r="E30" s="423" t="e">
        <f t="shared" si="9"/>
        <v>#DIV/0!</v>
      </c>
      <c r="F30" s="431">
        <v>0</v>
      </c>
      <c r="G30" s="518">
        <f t="shared" si="0"/>
        <v>0</v>
      </c>
      <c r="H30" s="423" t="e">
        <f t="shared" si="1"/>
        <v>#DIV/0!</v>
      </c>
      <c r="I30" s="504">
        <v>0</v>
      </c>
      <c r="J30" s="518">
        <f t="shared" si="2"/>
        <v>0</v>
      </c>
      <c r="K30" s="494" t="e">
        <f t="shared" si="3"/>
        <v>#DIV/0!</v>
      </c>
      <c r="L30" s="431">
        <v>0</v>
      </c>
      <c r="M30" s="877">
        <v>0</v>
      </c>
      <c r="N30" s="873" t="e">
        <v>#DIV/0!</v>
      </c>
      <c r="O30" s="431">
        <v>0</v>
      </c>
      <c r="P30" s="877">
        <f t="shared" si="4"/>
        <v>0</v>
      </c>
      <c r="Q30" s="873" t="e">
        <f t="shared" si="5"/>
        <v>#DIV/0!</v>
      </c>
      <c r="R30" s="665" t="str">
        <f t="shared" si="10"/>
        <v>+</v>
      </c>
      <c r="S30" s="992">
        <f>'Summary Data'!CL31</f>
        <v>0</v>
      </c>
      <c r="T30" s="877">
        <f t="shared" si="6"/>
        <v>0</v>
      </c>
      <c r="U30" s="873" t="e">
        <f t="shared" si="7"/>
        <v>#DIV/0!</v>
      </c>
      <c r="V30" s="665" t="str">
        <f t="shared" si="11"/>
        <v>+</v>
      </c>
    </row>
    <row r="31" spans="1:22" ht="20.25" hidden="1" customHeight="1" outlineLevel="1" x14ac:dyDescent="0.3">
      <c r="A31" s="493" t="s">
        <v>82</v>
      </c>
      <c r="B31" s="504" t="s">
        <v>29</v>
      </c>
      <c r="C31" s="504" t="s">
        <v>29</v>
      </c>
      <c r="D31" s="435" t="e">
        <f t="shared" si="8"/>
        <v>#VALUE!</v>
      </c>
      <c r="E31" s="423" t="e">
        <f t="shared" si="9"/>
        <v>#VALUE!</v>
      </c>
      <c r="F31" s="431" t="s">
        <v>29</v>
      </c>
      <c r="G31" s="518" t="e">
        <f t="shared" si="0"/>
        <v>#VALUE!</v>
      </c>
      <c r="H31" s="423" t="e">
        <f t="shared" si="1"/>
        <v>#VALUE!</v>
      </c>
      <c r="I31" s="504" t="s">
        <v>29</v>
      </c>
      <c r="J31" s="518" t="e">
        <f t="shared" si="2"/>
        <v>#VALUE!</v>
      </c>
      <c r="K31" s="494" t="e">
        <f t="shared" si="3"/>
        <v>#VALUE!</v>
      </c>
      <c r="L31" s="431" t="s">
        <v>29</v>
      </c>
      <c r="M31" s="877" t="e">
        <v>#VALUE!</v>
      </c>
      <c r="N31" s="873" t="e">
        <v>#VALUE!</v>
      </c>
      <c r="O31" s="431" t="s">
        <v>29</v>
      </c>
      <c r="P31" s="877" t="e">
        <f t="shared" si="4"/>
        <v>#VALUE!</v>
      </c>
      <c r="Q31" s="873" t="e">
        <f t="shared" si="5"/>
        <v>#VALUE!</v>
      </c>
      <c r="R31" s="665" t="e">
        <f t="shared" si="10"/>
        <v>#VALUE!</v>
      </c>
      <c r="S31" s="992" t="str">
        <f>'Summary Data'!CL32</f>
        <v>-</v>
      </c>
      <c r="T31" s="877" t="e">
        <f t="shared" si="6"/>
        <v>#VALUE!</v>
      </c>
      <c r="U31" s="873" t="e">
        <f t="shared" si="7"/>
        <v>#VALUE!</v>
      </c>
      <c r="V31" s="665" t="e">
        <f t="shared" si="11"/>
        <v>#VALUE!</v>
      </c>
    </row>
    <row r="32" spans="1:22" ht="20.25" hidden="1" customHeight="1" outlineLevel="1" x14ac:dyDescent="0.3">
      <c r="A32" s="493" t="s">
        <v>106</v>
      </c>
      <c r="B32" s="504" t="s">
        <v>29</v>
      </c>
      <c r="C32" s="504" t="s">
        <v>29</v>
      </c>
      <c r="D32" s="435" t="e">
        <f t="shared" si="8"/>
        <v>#VALUE!</v>
      </c>
      <c r="E32" s="423" t="e">
        <f t="shared" si="9"/>
        <v>#VALUE!</v>
      </c>
      <c r="F32" s="431" t="s">
        <v>29</v>
      </c>
      <c r="G32" s="518" t="e">
        <f t="shared" si="0"/>
        <v>#VALUE!</v>
      </c>
      <c r="H32" s="423" t="e">
        <f t="shared" si="1"/>
        <v>#VALUE!</v>
      </c>
      <c r="I32" s="504" t="s">
        <v>29</v>
      </c>
      <c r="J32" s="518" t="e">
        <f t="shared" si="2"/>
        <v>#VALUE!</v>
      </c>
      <c r="K32" s="494" t="e">
        <f t="shared" si="3"/>
        <v>#VALUE!</v>
      </c>
      <c r="L32" s="431" t="s">
        <v>29</v>
      </c>
      <c r="M32" s="877" t="e">
        <v>#VALUE!</v>
      </c>
      <c r="N32" s="873" t="e">
        <v>#VALUE!</v>
      </c>
      <c r="O32" s="431" t="s">
        <v>29</v>
      </c>
      <c r="P32" s="877" t="e">
        <f t="shared" si="4"/>
        <v>#VALUE!</v>
      </c>
      <c r="Q32" s="873" t="e">
        <f t="shared" si="5"/>
        <v>#VALUE!</v>
      </c>
      <c r="R32" s="665" t="e">
        <f t="shared" si="10"/>
        <v>#VALUE!</v>
      </c>
      <c r="S32" s="992" t="str">
        <f>'Summary Data'!CL34</f>
        <v>-</v>
      </c>
      <c r="T32" s="877" t="e">
        <f t="shared" si="6"/>
        <v>#VALUE!</v>
      </c>
      <c r="U32" s="873" t="e">
        <f t="shared" si="7"/>
        <v>#VALUE!</v>
      </c>
      <c r="V32" s="665" t="e">
        <f t="shared" si="11"/>
        <v>#VALUE!</v>
      </c>
    </row>
    <row r="33" spans="1:22" ht="20.25" hidden="1" customHeight="1" outlineLevel="1" x14ac:dyDescent="0.3">
      <c r="A33" s="493" t="s">
        <v>105</v>
      </c>
      <c r="B33" s="507" t="s">
        <v>29</v>
      </c>
      <c r="C33" s="507" t="s">
        <v>29</v>
      </c>
      <c r="D33" s="435" t="e">
        <f t="shared" si="8"/>
        <v>#VALUE!</v>
      </c>
      <c r="E33" s="423" t="e">
        <f t="shared" si="9"/>
        <v>#VALUE!</v>
      </c>
      <c r="F33" s="434" t="s">
        <v>29</v>
      </c>
      <c r="G33" s="518" t="e">
        <f t="shared" si="0"/>
        <v>#VALUE!</v>
      </c>
      <c r="H33" s="423" t="e">
        <f t="shared" si="1"/>
        <v>#VALUE!</v>
      </c>
      <c r="I33" s="507" t="s">
        <v>29</v>
      </c>
      <c r="J33" s="518" t="e">
        <f t="shared" si="2"/>
        <v>#VALUE!</v>
      </c>
      <c r="K33" s="494" t="e">
        <f t="shared" si="3"/>
        <v>#VALUE!</v>
      </c>
      <c r="L33" s="434" t="s">
        <v>29</v>
      </c>
      <c r="M33" s="877" t="e">
        <v>#VALUE!</v>
      </c>
      <c r="N33" s="873" t="e">
        <v>#VALUE!</v>
      </c>
      <c r="O33" s="434" t="s">
        <v>29</v>
      </c>
      <c r="P33" s="877" t="e">
        <f t="shared" si="4"/>
        <v>#VALUE!</v>
      </c>
      <c r="Q33" s="873" t="e">
        <f t="shared" si="5"/>
        <v>#VALUE!</v>
      </c>
      <c r="R33" s="665" t="e">
        <f t="shared" si="10"/>
        <v>#VALUE!</v>
      </c>
      <c r="S33" s="994" t="str">
        <f>'Summary Data'!CL35</f>
        <v>-</v>
      </c>
      <c r="T33" s="877" t="e">
        <f t="shared" si="6"/>
        <v>#VALUE!</v>
      </c>
      <c r="U33" s="873" t="e">
        <f t="shared" si="7"/>
        <v>#VALUE!</v>
      </c>
      <c r="V33" s="665" t="e">
        <f t="shared" si="11"/>
        <v>#VALUE!</v>
      </c>
    </row>
    <row r="34" spans="1:22" ht="20.25" hidden="1" customHeight="1" outlineLevel="1" x14ac:dyDescent="0.3">
      <c r="A34" s="493" t="s">
        <v>162</v>
      </c>
      <c r="B34" s="505">
        <v>0</v>
      </c>
      <c r="C34" s="505">
        <v>0</v>
      </c>
      <c r="D34" s="446">
        <f t="shared" si="8"/>
        <v>0</v>
      </c>
      <c r="E34" s="423" t="e">
        <f t="shared" si="9"/>
        <v>#DIV/0!</v>
      </c>
      <c r="F34" s="432">
        <v>0</v>
      </c>
      <c r="G34" s="518">
        <f t="shared" si="0"/>
        <v>0</v>
      </c>
      <c r="H34" s="423" t="e">
        <f t="shared" si="1"/>
        <v>#DIV/0!</v>
      </c>
      <c r="I34" s="505">
        <v>0</v>
      </c>
      <c r="J34" s="518">
        <f t="shared" si="2"/>
        <v>0</v>
      </c>
      <c r="K34" s="494" t="e">
        <f t="shared" si="3"/>
        <v>#DIV/0!</v>
      </c>
      <c r="L34" s="432">
        <v>0</v>
      </c>
      <c r="M34" s="877">
        <v>0</v>
      </c>
      <c r="N34" s="873" t="e">
        <v>#DIV/0!</v>
      </c>
      <c r="O34" s="432">
        <v>0</v>
      </c>
      <c r="P34" s="877">
        <f t="shared" si="4"/>
        <v>0</v>
      </c>
      <c r="Q34" s="873" t="e">
        <f t="shared" si="5"/>
        <v>#DIV/0!</v>
      </c>
      <c r="R34" s="665" t="str">
        <f t="shared" si="10"/>
        <v>+</v>
      </c>
      <c r="S34" s="993">
        <f>'Summary Data'!CL36</f>
        <v>0</v>
      </c>
      <c r="T34" s="877">
        <f t="shared" si="6"/>
        <v>0</v>
      </c>
      <c r="U34" s="873" t="e">
        <f t="shared" si="7"/>
        <v>#DIV/0!</v>
      </c>
      <c r="V34" s="665" t="str">
        <f t="shared" si="11"/>
        <v>+</v>
      </c>
    </row>
    <row r="35" spans="1:22" ht="20.25" customHeight="1" collapsed="1" x14ac:dyDescent="0.3">
      <c r="A35" s="493" t="str">
        <f>'Summary Data'!E37</f>
        <v>Bi Weekly Payrolls</v>
      </c>
      <c r="B35" s="505">
        <v>751822</v>
      </c>
      <c r="C35" s="505">
        <v>745688</v>
      </c>
      <c r="D35" s="446">
        <f t="shared" si="8"/>
        <v>-6134</v>
      </c>
      <c r="E35" s="423">
        <f t="shared" si="9"/>
        <v>-8.1588461098504698E-3</v>
      </c>
      <c r="F35" s="432">
        <v>758621</v>
      </c>
      <c r="G35" s="518">
        <f t="shared" si="0"/>
        <v>12933</v>
      </c>
      <c r="H35" s="423">
        <f t="shared" si="1"/>
        <v>1.7343714797609724E-2</v>
      </c>
      <c r="I35" s="505">
        <v>574258</v>
      </c>
      <c r="J35" s="518">
        <f t="shared" si="2"/>
        <v>-184363</v>
      </c>
      <c r="K35" s="494">
        <f t="shared" si="3"/>
        <v>-0.24302385512660471</v>
      </c>
      <c r="L35" s="432">
        <v>586467</v>
      </c>
      <c r="M35" s="877">
        <v>12209</v>
      </c>
      <c r="N35" s="873">
        <v>2.126047873952126E-2</v>
      </c>
      <c r="O35" s="432">
        <v>634834</v>
      </c>
      <c r="P35" s="877">
        <f t="shared" si="4"/>
        <v>48367</v>
      </c>
      <c r="Q35" s="873">
        <f t="shared" si="5"/>
        <v>8.2471818533694133E-2</v>
      </c>
      <c r="R35" s="665"/>
      <c r="S35" s="993">
        <f>'Summary Data'!CL37</f>
        <v>636155</v>
      </c>
      <c r="T35" s="877">
        <f t="shared" si="6"/>
        <v>1321</v>
      </c>
      <c r="U35" s="873">
        <f t="shared" si="7"/>
        <v>2.0808589332014355E-3</v>
      </c>
      <c r="V35" s="665"/>
    </row>
    <row r="36" spans="1:22" ht="20.25" customHeight="1" x14ac:dyDescent="0.3">
      <c r="A36" s="866" t="str">
        <f>'Summary Data'!E38</f>
        <v>Monthly Payrolls</v>
      </c>
      <c r="B36" s="505">
        <v>799735</v>
      </c>
      <c r="C36" s="505">
        <v>801628</v>
      </c>
      <c r="D36" s="446">
        <f t="shared" si="8"/>
        <v>1893</v>
      </c>
      <c r="E36" s="423">
        <f t="shared" si="9"/>
        <v>2.3670340800390128E-3</v>
      </c>
      <c r="F36" s="432">
        <v>777710</v>
      </c>
      <c r="G36" s="518">
        <f t="shared" si="0"/>
        <v>-23918</v>
      </c>
      <c r="H36" s="423">
        <f t="shared" ref="H36:H68" si="12">G36/C36</f>
        <v>-2.9836782148328151E-2</v>
      </c>
      <c r="I36" s="505">
        <v>807267</v>
      </c>
      <c r="J36" s="518">
        <f t="shared" si="2"/>
        <v>29557</v>
      </c>
      <c r="K36" s="494">
        <f t="shared" si="3"/>
        <v>3.8005169021871905E-2</v>
      </c>
      <c r="L36" s="432">
        <v>801599</v>
      </c>
      <c r="M36" s="877">
        <v>-5668</v>
      </c>
      <c r="N36" s="873">
        <v>-7.021220983887611E-3</v>
      </c>
      <c r="O36" s="432">
        <v>798695</v>
      </c>
      <c r="P36" s="877">
        <f t="shared" si="4"/>
        <v>-2904</v>
      </c>
      <c r="Q36" s="873">
        <f t="shared" si="5"/>
        <v>-3.6227590104279074E-3</v>
      </c>
      <c r="R36" s="665"/>
      <c r="S36" s="993">
        <f>'Summary Data'!CL38</f>
        <v>739143</v>
      </c>
      <c r="T36" s="877">
        <f t="shared" ref="T36:T52" si="13">S36-O36</f>
        <v>-59552</v>
      </c>
      <c r="U36" s="873">
        <f t="shared" ref="U36:U52" si="14">T36/O36</f>
        <v>-7.4561628656746315E-2</v>
      </c>
      <c r="V36" s="665"/>
    </row>
    <row r="37" spans="1:22" ht="20.25" customHeight="1" x14ac:dyDescent="0.3">
      <c r="A37" s="495" t="str">
        <f>'Summary Data'!E39</f>
        <v>Total Payrolls Processed</v>
      </c>
      <c r="B37" s="511">
        <v>1551557</v>
      </c>
      <c r="C37" s="511">
        <v>1547316</v>
      </c>
      <c r="D37" s="435">
        <f t="shared" si="8"/>
        <v>-4241</v>
      </c>
      <c r="E37" s="423">
        <f t="shared" si="9"/>
        <v>-2.7333833046417244E-3</v>
      </c>
      <c r="F37" s="437">
        <v>1536331</v>
      </c>
      <c r="G37" s="518">
        <f t="shared" si="0"/>
        <v>-10985</v>
      </c>
      <c r="H37" s="423">
        <f t="shared" si="12"/>
        <v>-7.099390169816637E-3</v>
      </c>
      <c r="I37" s="511">
        <v>1381525</v>
      </c>
      <c r="J37" s="518">
        <f t="shared" si="2"/>
        <v>-154806</v>
      </c>
      <c r="K37" s="494">
        <f t="shared" si="3"/>
        <v>-0.10076344225300407</v>
      </c>
      <c r="L37" s="437">
        <v>1388066</v>
      </c>
      <c r="M37" s="877">
        <v>6541</v>
      </c>
      <c r="N37" s="873">
        <v>4.7346229709922007E-3</v>
      </c>
      <c r="O37" s="437">
        <v>1433529</v>
      </c>
      <c r="P37" s="877">
        <f t="shared" si="4"/>
        <v>45463</v>
      </c>
      <c r="Q37" s="873">
        <f t="shared" si="5"/>
        <v>3.2752765358419554E-2</v>
      </c>
      <c r="R37" s="665"/>
      <c r="S37" s="998">
        <f>'Summary Data'!CL39</f>
        <v>1375298</v>
      </c>
      <c r="T37" s="877">
        <f t="shared" si="13"/>
        <v>-58231</v>
      </c>
      <c r="U37" s="873">
        <f t="shared" si="14"/>
        <v>-4.0620733867260443E-2</v>
      </c>
      <c r="V37" s="665"/>
    </row>
    <row r="38" spans="1:22" ht="20.25" customHeight="1" x14ac:dyDescent="0.3">
      <c r="A38" s="867" t="str">
        <f>'Summary Data'!E40</f>
        <v>Payrolls Processed Off-Cycle %</v>
      </c>
      <c r="B38" s="508">
        <v>3.7123998667145324E-4</v>
      </c>
      <c r="C38" s="508">
        <v>4.4270207249197965E-4</v>
      </c>
      <c r="D38" s="450">
        <f t="shared" si="8"/>
        <v>7.1462085820526414E-5</v>
      </c>
      <c r="E38" s="423">
        <f t="shared" si="9"/>
        <v>0.19249565883583075</v>
      </c>
      <c r="F38" s="438">
        <v>5.0509948702460604E-4</v>
      </c>
      <c r="G38" s="517">
        <f t="shared" si="0"/>
        <v>6.2397414532626384E-5</v>
      </c>
      <c r="H38" s="423">
        <f t="shared" si="12"/>
        <v>0.1409467414087085</v>
      </c>
      <c r="I38" s="508">
        <v>1.7951177141202655E-4</v>
      </c>
      <c r="J38" s="517">
        <f t="shared" si="2"/>
        <v>-3.2558771561257951E-4</v>
      </c>
      <c r="K38" s="494">
        <f t="shared" si="3"/>
        <v>-0.64460116071493545</v>
      </c>
      <c r="L38" s="438">
        <v>3.105039673905996E-4</v>
      </c>
      <c r="M38" s="879">
        <v>1.3099219597857305E-4</v>
      </c>
      <c r="N38" s="873">
        <v>0.72971368366652478</v>
      </c>
      <c r="O38" s="438">
        <v>4.24825727278625E-4</v>
      </c>
      <c r="P38" s="879">
        <f t="shared" si="4"/>
        <v>1.1432175988802541E-4</v>
      </c>
      <c r="Q38" s="873">
        <f t="shared" si="5"/>
        <v>0.36818131777431989</v>
      </c>
      <c r="R38" s="664" t="str">
        <f t="shared" ref="R38:R47" si="15">IF(P38&gt;0,"-","+")</f>
        <v>-</v>
      </c>
      <c r="S38" s="995">
        <f>'Summary Data'!CL40</f>
        <v>3.5628641937965447E-4</v>
      </c>
      <c r="T38" s="879">
        <f t="shared" si="13"/>
        <v>-6.8539307898970536E-5</v>
      </c>
      <c r="U38" s="873">
        <f t="shared" si="14"/>
        <v>-0.16133511578506293</v>
      </c>
      <c r="V38" s="664" t="str">
        <f t="shared" ref="V38:V47" si="16">IF(T38&gt;0,"-","+")</f>
        <v>+</v>
      </c>
    </row>
    <row r="39" spans="1:22" ht="20.25" hidden="1" customHeight="1" outlineLevel="1" x14ac:dyDescent="0.3">
      <c r="A39" s="493" t="s">
        <v>16</v>
      </c>
      <c r="B39" s="500">
        <v>0</v>
      </c>
      <c r="C39" s="500">
        <v>0</v>
      </c>
      <c r="D39" s="446">
        <f t="shared" si="8"/>
        <v>0</v>
      </c>
      <c r="E39" s="423" t="e">
        <f t="shared" si="9"/>
        <v>#DIV/0!</v>
      </c>
      <c r="F39" s="424">
        <v>0</v>
      </c>
      <c r="G39" s="516">
        <f t="shared" si="0"/>
        <v>0</v>
      </c>
      <c r="H39" s="423" t="e">
        <f t="shared" si="12"/>
        <v>#DIV/0!</v>
      </c>
      <c r="I39" s="500">
        <v>0</v>
      </c>
      <c r="J39" s="516">
        <f t="shared" si="2"/>
        <v>0</v>
      </c>
      <c r="K39" s="494" t="e">
        <f t="shared" si="3"/>
        <v>#DIV/0!</v>
      </c>
      <c r="L39" s="424">
        <v>0</v>
      </c>
      <c r="M39" s="878">
        <v>0</v>
      </c>
      <c r="N39" s="873" t="e">
        <v>#DIV/0!</v>
      </c>
      <c r="O39" s="424">
        <v>0</v>
      </c>
      <c r="P39" s="878">
        <f t="shared" si="4"/>
        <v>0</v>
      </c>
      <c r="Q39" s="873" t="e">
        <f t="shared" si="5"/>
        <v>#DIV/0!</v>
      </c>
      <c r="R39" s="664" t="str">
        <f t="shared" si="15"/>
        <v>+</v>
      </c>
      <c r="S39" s="999">
        <f>'Summary Data'!CL41</f>
        <v>0</v>
      </c>
      <c r="T39" s="878">
        <f t="shared" si="13"/>
        <v>0</v>
      </c>
      <c r="U39" s="873" t="e">
        <f t="shared" si="14"/>
        <v>#DIV/0!</v>
      </c>
      <c r="V39" s="664" t="str">
        <f t="shared" si="16"/>
        <v>+</v>
      </c>
    </row>
    <row r="40" spans="1:22" ht="20.25" hidden="1" customHeight="1" outlineLevel="1" x14ac:dyDescent="0.3">
      <c r="A40" s="493" t="s">
        <v>15</v>
      </c>
      <c r="B40" s="504" t="s">
        <v>29</v>
      </c>
      <c r="C40" s="504" t="s">
        <v>29</v>
      </c>
      <c r="D40" s="435" t="e">
        <f t="shared" si="8"/>
        <v>#VALUE!</v>
      </c>
      <c r="E40" s="423" t="e">
        <f t="shared" si="9"/>
        <v>#VALUE!</v>
      </c>
      <c r="F40" s="431" t="s">
        <v>29</v>
      </c>
      <c r="G40" s="516" t="e">
        <f t="shared" si="0"/>
        <v>#VALUE!</v>
      </c>
      <c r="H40" s="423" t="e">
        <f t="shared" si="12"/>
        <v>#VALUE!</v>
      </c>
      <c r="I40" s="504" t="s">
        <v>29</v>
      </c>
      <c r="J40" s="516" t="e">
        <f t="shared" si="2"/>
        <v>#VALUE!</v>
      </c>
      <c r="K40" s="494" t="e">
        <f t="shared" si="3"/>
        <v>#VALUE!</v>
      </c>
      <c r="L40" s="431" t="s">
        <v>29</v>
      </c>
      <c r="M40" s="878" t="e">
        <v>#VALUE!</v>
      </c>
      <c r="N40" s="873" t="e">
        <v>#VALUE!</v>
      </c>
      <c r="O40" s="431" t="s">
        <v>29</v>
      </c>
      <c r="P40" s="878" t="e">
        <f t="shared" si="4"/>
        <v>#VALUE!</v>
      </c>
      <c r="Q40" s="873" t="e">
        <f t="shared" si="5"/>
        <v>#VALUE!</v>
      </c>
      <c r="R40" s="664" t="e">
        <f t="shared" si="15"/>
        <v>#VALUE!</v>
      </c>
      <c r="S40" s="992" t="str">
        <f>'Summary Data'!CL42</f>
        <v>-</v>
      </c>
      <c r="T40" s="878" t="e">
        <f t="shared" si="13"/>
        <v>#VALUE!</v>
      </c>
      <c r="U40" s="873" t="e">
        <f t="shared" si="14"/>
        <v>#VALUE!</v>
      </c>
      <c r="V40" s="664" t="e">
        <f t="shared" si="16"/>
        <v>#VALUE!</v>
      </c>
    </row>
    <row r="41" spans="1:22" ht="20.25" hidden="1" customHeight="1" outlineLevel="1" x14ac:dyDescent="0.3">
      <c r="A41" s="493" t="s">
        <v>171</v>
      </c>
      <c r="B41" s="504" t="s">
        <v>29</v>
      </c>
      <c r="C41" s="504" t="s">
        <v>29</v>
      </c>
      <c r="D41" s="435" t="e">
        <f t="shared" si="8"/>
        <v>#VALUE!</v>
      </c>
      <c r="E41" s="423" t="e">
        <f t="shared" si="9"/>
        <v>#VALUE!</v>
      </c>
      <c r="F41" s="431" t="s">
        <v>29</v>
      </c>
      <c r="G41" s="516" t="e">
        <f t="shared" si="0"/>
        <v>#VALUE!</v>
      </c>
      <c r="H41" s="423" t="e">
        <f t="shared" si="12"/>
        <v>#VALUE!</v>
      </c>
      <c r="I41" s="504" t="s">
        <v>29</v>
      </c>
      <c r="J41" s="516" t="e">
        <f t="shared" si="2"/>
        <v>#VALUE!</v>
      </c>
      <c r="K41" s="494" t="e">
        <f t="shared" si="3"/>
        <v>#VALUE!</v>
      </c>
      <c r="L41" s="431" t="s">
        <v>29</v>
      </c>
      <c r="M41" s="878" t="e">
        <v>#VALUE!</v>
      </c>
      <c r="N41" s="873" t="e">
        <v>#VALUE!</v>
      </c>
      <c r="O41" s="431" t="s">
        <v>29</v>
      </c>
      <c r="P41" s="878" t="e">
        <f t="shared" si="4"/>
        <v>#VALUE!</v>
      </c>
      <c r="Q41" s="873" t="e">
        <f t="shared" si="5"/>
        <v>#VALUE!</v>
      </c>
      <c r="R41" s="664" t="e">
        <f t="shared" si="15"/>
        <v>#VALUE!</v>
      </c>
      <c r="S41" s="992" t="str">
        <f>'Summary Data'!CL43</f>
        <v>-</v>
      </c>
      <c r="T41" s="878" t="e">
        <f t="shared" si="13"/>
        <v>#VALUE!</v>
      </c>
      <c r="U41" s="873" t="e">
        <f t="shared" si="14"/>
        <v>#VALUE!</v>
      </c>
      <c r="V41" s="664" t="e">
        <f t="shared" si="16"/>
        <v>#VALUE!</v>
      </c>
    </row>
    <row r="42" spans="1:22" ht="20.25" hidden="1" customHeight="1" outlineLevel="1" x14ac:dyDescent="0.3">
      <c r="A42" s="493" t="s">
        <v>58</v>
      </c>
      <c r="B42" s="500">
        <v>0</v>
      </c>
      <c r="C42" s="500">
        <v>0</v>
      </c>
      <c r="D42" s="446">
        <f t="shared" si="8"/>
        <v>0</v>
      </c>
      <c r="E42" s="423" t="e">
        <f t="shared" si="9"/>
        <v>#DIV/0!</v>
      </c>
      <c r="F42" s="424">
        <v>0</v>
      </c>
      <c r="G42" s="516">
        <f t="shared" si="0"/>
        <v>0</v>
      </c>
      <c r="H42" s="423" t="e">
        <f t="shared" si="12"/>
        <v>#DIV/0!</v>
      </c>
      <c r="I42" s="787">
        <v>0</v>
      </c>
      <c r="J42" s="516">
        <f t="shared" si="2"/>
        <v>0</v>
      </c>
      <c r="K42" s="494" t="e">
        <f t="shared" si="3"/>
        <v>#DIV/0!</v>
      </c>
      <c r="L42" s="524">
        <v>0</v>
      </c>
      <c r="M42" s="878">
        <v>0</v>
      </c>
      <c r="N42" s="873" t="e">
        <v>#DIV/0!</v>
      </c>
      <c r="O42" s="524">
        <v>0</v>
      </c>
      <c r="P42" s="878">
        <f t="shared" si="4"/>
        <v>0</v>
      </c>
      <c r="Q42" s="873" t="e">
        <f t="shared" si="5"/>
        <v>#DIV/0!</v>
      </c>
      <c r="R42" s="664" t="str">
        <f t="shared" si="15"/>
        <v>+</v>
      </c>
      <c r="S42" s="1000">
        <f>'Summary Data'!CL44</f>
        <v>0</v>
      </c>
      <c r="T42" s="878">
        <f t="shared" si="13"/>
        <v>0</v>
      </c>
      <c r="U42" s="873" t="e">
        <f t="shared" si="14"/>
        <v>#DIV/0!</v>
      </c>
      <c r="V42" s="664" t="str">
        <f t="shared" si="16"/>
        <v>+</v>
      </c>
    </row>
    <row r="43" spans="1:22" ht="20.25" customHeight="1" collapsed="1" x14ac:dyDescent="0.3">
      <c r="A43" s="867" t="str">
        <f>'Summary Data'!E45</f>
        <v>Total ERP Costs</v>
      </c>
      <c r="B43" s="512">
        <v>16449087.869999999</v>
      </c>
      <c r="C43" s="512">
        <v>15105028.170000004</v>
      </c>
      <c r="D43" s="435">
        <f t="shared" si="8"/>
        <v>-1344059.6999999955</v>
      </c>
      <c r="E43" s="423">
        <f t="shared" si="9"/>
        <v>-8.1710287562589065E-2</v>
      </c>
      <c r="F43" s="439">
        <v>12600150.57</v>
      </c>
      <c r="G43" s="521">
        <f t="shared" si="0"/>
        <v>-2504877.6000000034</v>
      </c>
      <c r="H43" s="423">
        <f t="shared" si="12"/>
        <v>-0.16583071357489582</v>
      </c>
      <c r="I43" s="512">
        <v>11128676.879999997</v>
      </c>
      <c r="J43" s="521">
        <f t="shared" si="2"/>
        <v>-1471473.6900000032</v>
      </c>
      <c r="K43" s="494">
        <f t="shared" si="3"/>
        <v>-0.11678223064282026</v>
      </c>
      <c r="L43" s="439">
        <v>12657083.51</v>
      </c>
      <c r="M43" s="880">
        <v>1528406.6300000027</v>
      </c>
      <c r="N43" s="873">
        <v>0.13733947408849587</v>
      </c>
      <c r="O43" s="439">
        <v>13794491.269999998</v>
      </c>
      <c r="P43" s="880">
        <f t="shared" si="4"/>
        <v>1137407.7599999979</v>
      </c>
      <c r="Q43" s="873">
        <f t="shared" si="5"/>
        <v>8.9863336929187881E-2</v>
      </c>
      <c r="R43" s="664" t="str">
        <f t="shared" si="15"/>
        <v>-</v>
      </c>
      <c r="S43" s="1001">
        <f>'Summary Data'!CL45</f>
        <v>12102056.82</v>
      </c>
      <c r="T43" s="880">
        <f t="shared" si="13"/>
        <v>-1692434.4499999974</v>
      </c>
      <c r="U43" s="873">
        <f t="shared" si="14"/>
        <v>-0.12268915300129062</v>
      </c>
      <c r="V43" s="664" t="str">
        <f t="shared" si="16"/>
        <v>+</v>
      </c>
    </row>
    <row r="44" spans="1:22" ht="20.25" customHeight="1" x14ac:dyDescent="0.3">
      <c r="A44" s="867" t="str">
        <f>'Summary Data'!E46</f>
        <v>Cost Per Employee Payroll</v>
      </c>
      <c r="B44" s="513">
        <v>10.601665211139519</v>
      </c>
      <c r="C44" s="513">
        <v>9.7620836144653094</v>
      </c>
      <c r="D44" s="451">
        <f t="shared" si="8"/>
        <v>-0.83958159667420951</v>
      </c>
      <c r="E44" s="423">
        <f t="shared" si="9"/>
        <v>-7.9193370093599391E-2</v>
      </c>
      <c r="F44" s="440">
        <v>8.2014556563657184</v>
      </c>
      <c r="G44" s="522">
        <f t="shared" si="0"/>
        <v>-1.560627958099591</v>
      </c>
      <c r="H44" s="423">
        <f t="shared" si="12"/>
        <v>-0.1598662764767837</v>
      </c>
      <c r="I44" s="513">
        <v>8.0553568556486468</v>
      </c>
      <c r="J44" s="522">
        <f t="shared" si="2"/>
        <v>-0.1460988007170716</v>
      </c>
      <c r="K44" s="494">
        <f t="shared" si="3"/>
        <v>-1.7813764633803048E-2</v>
      </c>
      <c r="L44" s="440">
        <v>9.1185026576546075</v>
      </c>
      <c r="M44" s="881">
        <v>1.0631458020059608</v>
      </c>
      <c r="N44" s="873">
        <v>0.13197997569287728</v>
      </c>
      <c r="O44" s="440">
        <v>9.6227500594686237</v>
      </c>
      <c r="P44" s="881">
        <f t="shared" si="4"/>
        <v>0.50424740181401617</v>
      </c>
      <c r="Q44" s="873">
        <f t="shared" si="5"/>
        <v>5.5299364462072204E-2</v>
      </c>
      <c r="R44" s="664" t="str">
        <f t="shared" si="15"/>
        <v>-</v>
      </c>
      <c r="S44" s="1002">
        <f>'Summary Data'!CL46</f>
        <v>8.7995887582182188</v>
      </c>
      <c r="T44" s="881">
        <f t="shared" si="13"/>
        <v>-0.82316130125040488</v>
      </c>
      <c r="U44" s="873">
        <f t="shared" si="14"/>
        <v>-8.5543248672496491E-2</v>
      </c>
      <c r="V44" s="664" t="str">
        <f t="shared" si="16"/>
        <v>+</v>
      </c>
    </row>
    <row r="45" spans="1:22" ht="20.25" customHeight="1" x14ac:dyDescent="0.3">
      <c r="A45" s="867" t="str">
        <f>'Summary Data'!E47</f>
        <v>Cost as % of System Implementation</v>
      </c>
      <c r="B45" s="508">
        <v>0.17363572723741089</v>
      </c>
      <c r="C45" s="508">
        <v>0.15944790203370277</v>
      </c>
      <c r="D45" s="450">
        <f t="shared" si="8"/>
        <v>-1.4187825203708121E-2</v>
      </c>
      <c r="E45" s="423">
        <f t="shared" si="9"/>
        <v>-8.1710287562589065E-2</v>
      </c>
      <c r="F45" s="438">
        <v>0.13300654266143377</v>
      </c>
      <c r="G45" s="517">
        <f t="shared" si="0"/>
        <v>-2.6441359372268991E-2</v>
      </c>
      <c r="H45" s="423">
        <f t="shared" si="12"/>
        <v>-0.16583071357489568</v>
      </c>
      <c r="I45" s="508">
        <v>0.1174737419193421</v>
      </c>
      <c r="J45" s="517">
        <f t="shared" si="2"/>
        <v>-1.5532800742091679E-2</v>
      </c>
      <c r="K45" s="494">
        <f t="shared" si="3"/>
        <v>-0.11678223064282031</v>
      </c>
      <c r="L45" s="438">
        <v>0.13360752385375221</v>
      </c>
      <c r="M45" s="879">
        <v>1.6133781934410119E-2</v>
      </c>
      <c r="N45" s="873">
        <v>0.13733947408849573</v>
      </c>
      <c r="O45" s="438">
        <v>0.14561394178609646</v>
      </c>
      <c r="P45" s="879">
        <f t="shared" si="4"/>
        <v>1.2006417932344249E-2</v>
      </c>
      <c r="Q45" s="873">
        <f t="shared" si="5"/>
        <v>8.9863336929187937E-2</v>
      </c>
      <c r="R45" s="664" t="str">
        <f t="shared" si="15"/>
        <v>-</v>
      </c>
      <c r="S45" s="995">
        <f>'Summary Data'!CL47</f>
        <v>0.12774869060318106</v>
      </c>
      <c r="T45" s="879">
        <f t="shared" si="13"/>
        <v>-1.7865251182915404E-2</v>
      </c>
      <c r="U45" s="873">
        <f t="shared" si="14"/>
        <v>-0.12268915300129055</v>
      </c>
      <c r="V45" s="664" t="str">
        <f t="shared" si="16"/>
        <v>+</v>
      </c>
    </row>
    <row r="46" spans="1:22" ht="20.25" customHeight="1" x14ac:dyDescent="0.3">
      <c r="A46" s="867" t="str">
        <f>'Summary Data'!E48</f>
        <v>Service Center Costs</v>
      </c>
      <c r="B46" s="512">
        <v>4406958.51</v>
      </c>
      <c r="C46" s="512">
        <v>4265604.1500000004</v>
      </c>
      <c r="D46" s="435">
        <f t="shared" si="8"/>
        <v>-141354.3599999994</v>
      </c>
      <c r="E46" s="423">
        <f t="shared" si="9"/>
        <v>-3.207526453431471E-2</v>
      </c>
      <c r="F46" s="439">
        <v>4001965.3</v>
      </c>
      <c r="G46" s="521">
        <f t="shared" si="0"/>
        <v>-263638.85000000056</v>
      </c>
      <c r="H46" s="423">
        <f t="shared" si="12"/>
        <v>-6.1805746789701653E-2</v>
      </c>
      <c r="I46" s="512">
        <v>3699499.15</v>
      </c>
      <c r="J46" s="521">
        <f t="shared" si="2"/>
        <v>-302466.14999999991</v>
      </c>
      <c r="K46" s="494">
        <f t="shared" si="3"/>
        <v>-7.557940344960011E-2</v>
      </c>
      <c r="L46" s="439">
        <v>3829259.43</v>
      </c>
      <c r="M46" s="880">
        <v>129760.28000000026</v>
      </c>
      <c r="N46" s="873">
        <v>3.5075093881289383E-2</v>
      </c>
      <c r="O46" s="439">
        <v>3706387.2100000009</v>
      </c>
      <c r="P46" s="880">
        <f t="shared" si="4"/>
        <v>-122872.21999999927</v>
      </c>
      <c r="Q46" s="873">
        <f t="shared" si="5"/>
        <v>-3.2087724074625908E-2</v>
      </c>
      <c r="R46" s="664" t="str">
        <f t="shared" si="15"/>
        <v>+</v>
      </c>
      <c r="S46" s="1001">
        <f>'Summary Data'!CL48</f>
        <v>3517018.2299999995</v>
      </c>
      <c r="T46" s="880">
        <f t="shared" si="13"/>
        <v>-189368.98000000138</v>
      </c>
      <c r="U46" s="873">
        <f t="shared" si="14"/>
        <v>-5.1092605621203116E-2</v>
      </c>
      <c r="V46" s="664" t="str">
        <f t="shared" si="16"/>
        <v>+</v>
      </c>
    </row>
    <row r="47" spans="1:22" ht="20.25" customHeight="1" x14ac:dyDescent="0.3">
      <c r="A47" s="867" t="str">
        <f>'Summary Data'!E49</f>
        <v>Service Center Costs Per Ticket</v>
      </c>
      <c r="B47" s="514">
        <v>33.799322856748425</v>
      </c>
      <c r="C47" s="514">
        <v>47.02981422271224</v>
      </c>
      <c r="D47" s="435">
        <v>13.230491365963815</v>
      </c>
      <c r="E47" s="423">
        <v>0.39144249788785912</v>
      </c>
      <c r="F47" s="514">
        <v>51.618946458744468</v>
      </c>
      <c r="G47" s="523">
        <v>4.5891322360322278</v>
      </c>
      <c r="H47" s="423">
        <v>9.7579212503373772E-2</v>
      </c>
      <c r="I47" s="514">
        <v>45.369247136445018</v>
      </c>
      <c r="J47" s="441">
        <f t="shared" ref="J47:K47" si="17">J46/J21</f>
        <v>-75.371579865437312</v>
      </c>
      <c r="K47" s="441">
        <f t="shared" si="17"/>
        <v>-1.4601533939805749</v>
      </c>
      <c r="L47" s="441">
        <v>40.697836433202255</v>
      </c>
      <c r="M47" s="882">
        <v>-4.6714107032427634</v>
      </c>
      <c r="N47" s="873">
        <v>-0.1029642543812509</v>
      </c>
      <c r="O47" s="441">
        <v>65.758058512525736</v>
      </c>
      <c r="P47" s="882">
        <f t="shared" si="4"/>
        <v>25.060222079323481</v>
      </c>
      <c r="Q47" s="873">
        <f t="shared" si="5"/>
        <v>0.61576300549674334</v>
      </c>
      <c r="R47" s="664" t="str">
        <f t="shared" si="15"/>
        <v>-</v>
      </c>
      <c r="S47" s="1003">
        <f>'Summary Data'!CL49</f>
        <v>45.85481205752356</v>
      </c>
      <c r="T47" s="882">
        <f t="shared" si="13"/>
        <v>-19.903246455002176</v>
      </c>
      <c r="U47" s="873">
        <f t="shared" si="14"/>
        <v>-0.30267387610312374</v>
      </c>
      <c r="V47" s="664" t="str">
        <f t="shared" si="16"/>
        <v>+</v>
      </c>
    </row>
    <row r="48" spans="1:22" ht="20.25" customHeight="1" x14ac:dyDescent="0.3">
      <c r="A48" s="867" t="str">
        <f>'Summary Data'!E50</f>
        <v>Service Center Costs % of Total Costs</v>
      </c>
      <c r="B48" s="508">
        <v>0.26791506889798139</v>
      </c>
      <c r="C48" s="508">
        <v>0.28239630552109057</v>
      </c>
      <c r="D48" s="450">
        <f t="shared" si="8"/>
        <v>1.4481236623109184E-2</v>
      </c>
      <c r="E48" s="423">
        <f t="shared" si="9"/>
        <v>5.4051594345458233E-2</v>
      </c>
      <c r="F48" s="438">
        <v>0.31761249818144038</v>
      </c>
      <c r="G48" s="517">
        <f t="shared" si="0"/>
        <v>3.521619266034981E-2</v>
      </c>
      <c r="H48" s="423">
        <f t="shared" si="12"/>
        <v>0.12470486324304875</v>
      </c>
      <c r="I48" s="508">
        <v>0.33242937951128659</v>
      </c>
      <c r="J48" s="517">
        <f t="shared" si="2"/>
        <v>1.481688132984621E-2</v>
      </c>
      <c r="K48" s="494">
        <f t="shared" si="3"/>
        <v>4.6650813222664393E-2</v>
      </c>
      <c r="L48" s="438">
        <v>0.30253884530149555</v>
      </c>
      <c r="M48" s="879">
        <v>-2.9890534209791042E-2</v>
      </c>
      <c r="N48" s="873">
        <v>-8.991544084862152E-2</v>
      </c>
      <c r="O48" s="438">
        <v>0.26868603832173082</v>
      </c>
      <c r="P48" s="879">
        <f t="shared" si="4"/>
        <v>-3.3852806979764727E-2</v>
      </c>
      <c r="Q48" s="873">
        <f t="shared" si="5"/>
        <v>-0.11189573671449912</v>
      </c>
      <c r="R48" s="665"/>
      <c r="S48" s="995">
        <f>'Summary Data'!CL50</f>
        <v>0.2906132637047063</v>
      </c>
      <c r="T48" s="879">
        <f t="shared" si="13"/>
        <v>2.1927225382975479E-2</v>
      </c>
      <c r="U48" s="873">
        <f t="shared" si="14"/>
        <v>8.160909855955864E-2</v>
      </c>
      <c r="V48" s="665"/>
    </row>
    <row r="49" spans="1:22" ht="20.25" hidden="1" customHeight="1" outlineLevel="1" x14ac:dyDescent="0.3">
      <c r="A49" s="493" t="s">
        <v>5</v>
      </c>
      <c r="B49" s="500">
        <v>0</v>
      </c>
      <c r="C49" s="500">
        <v>0</v>
      </c>
      <c r="D49" s="446">
        <f t="shared" si="8"/>
        <v>0</v>
      </c>
      <c r="E49" s="423" t="e">
        <f t="shared" si="9"/>
        <v>#DIV/0!</v>
      </c>
      <c r="F49" s="424">
        <v>0</v>
      </c>
      <c r="G49" s="516">
        <f t="shared" si="0"/>
        <v>0</v>
      </c>
      <c r="H49" s="423" t="e">
        <f t="shared" si="12"/>
        <v>#DIV/0!</v>
      </c>
      <c r="I49" s="500">
        <v>0</v>
      </c>
      <c r="J49" s="516">
        <f t="shared" si="2"/>
        <v>0</v>
      </c>
      <c r="K49" s="494" t="e">
        <f t="shared" si="3"/>
        <v>#DIV/0!</v>
      </c>
      <c r="L49" s="424">
        <v>0</v>
      </c>
      <c r="M49" s="878">
        <v>0</v>
      </c>
      <c r="N49" s="873" t="e">
        <v>#DIV/0!</v>
      </c>
      <c r="O49" s="424">
        <v>0</v>
      </c>
      <c r="P49" s="878">
        <f t="shared" si="4"/>
        <v>0</v>
      </c>
      <c r="Q49" s="873" t="e">
        <f t="shared" si="5"/>
        <v>#DIV/0!</v>
      </c>
      <c r="R49" s="665"/>
      <c r="S49" s="999">
        <f>'Summary Data'!CL51</f>
        <v>0</v>
      </c>
      <c r="T49" s="878">
        <f t="shared" si="13"/>
        <v>0</v>
      </c>
      <c r="U49" s="873" t="e">
        <f t="shared" si="14"/>
        <v>#DIV/0!</v>
      </c>
      <c r="V49" s="665"/>
    </row>
    <row r="50" spans="1:22" ht="20.25" customHeight="1" collapsed="1" x14ac:dyDescent="0.3">
      <c r="A50" s="867" t="str">
        <f>'Summary Data'!E52</f>
        <v>Number of Classes Offered</v>
      </c>
      <c r="B50" s="506">
        <v>919</v>
      </c>
      <c r="C50" s="506">
        <v>1439</v>
      </c>
      <c r="D50" s="435">
        <f t="shared" si="8"/>
        <v>520</v>
      </c>
      <c r="E50" s="423">
        <f t="shared" si="9"/>
        <v>0.56583242655059851</v>
      </c>
      <c r="F50" s="433">
        <v>1092</v>
      </c>
      <c r="G50" s="518">
        <f t="shared" si="0"/>
        <v>-347</v>
      </c>
      <c r="H50" s="423">
        <f t="shared" si="12"/>
        <v>-0.24113968033356498</v>
      </c>
      <c r="I50" s="506">
        <v>1337</v>
      </c>
      <c r="J50" s="518">
        <f t="shared" si="2"/>
        <v>245</v>
      </c>
      <c r="K50" s="494">
        <f t="shared" si="3"/>
        <v>0.22435897435897437</v>
      </c>
      <c r="L50" s="433">
        <v>450</v>
      </c>
      <c r="M50" s="877">
        <v>-887</v>
      </c>
      <c r="N50" s="873">
        <v>-0.66342557965594617</v>
      </c>
      <c r="O50" s="433">
        <v>296</v>
      </c>
      <c r="P50" s="877">
        <f t="shared" si="4"/>
        <v>-154</v>
      </c>
      <c r="Q50" s="873">
        <f t="shared" si="5"/>
        <v>-0.34222222222222221</v>
      </c>
      <c r="R50" s="665"/>
      <c r="S50" s="988">
        <f>'Summary Data'!CL52</f>
        <v>240</v>
      </c>
      <c r="T50" s="877">
        <f t="shared" si="13"/>
        <v>-56</v>
      </c>
      <c r="U50" s="873">
        <f t="shared" si="14"/>
        <v>-0.1891891891891892</v>
      </c>
      <c r="V50" s="665"/>
    </row>
    <row r="51" spans="1:22" ht="20.25" customHeight="1" x14ac:dyDescent="0.3">
      <c r="A51" s="495" t="str">
        <f>'Summary Data'!E53</f>
        <v>Benefits</v>
      </c>
      <c r="B51" s="506">
        <v>11</v>
      </c>
      <c r="C51" s="506">
        <v>12</v>
      </c>
      <c r="D51" s="435">
        <f t="shared" si="8"/>
        <v>1</v>
      </c>
      <c r="E51" s="423">
        <f t="shared" si="9"/>
        <v>9.0909090909090912E-2</v>
      </c>
      <c r="F51" s="433">
        <v>20</v>
      </c>
      <c r="G51" s="518">
        <f t="shared" si="0"/>
        <v>8</v>
      </c>
      <c r="H51" s="423">
        <f t="shared" si="12"/>
        <v>0.66666666666666663</v>
      </c>
      <c r="I51" s="506">
        <v>13</v>
      </c>
      <c r="J51" s="518">
        <f t="shared" si="2"/>
        <v>-7</v>
      </c>
      <c r="K51" s="494">
        <f t="shared" si="3"/>
        <v>-0.35</v>
      </c>
      <c r="L51" s="433">
        <v>9</v>
      </c>
      <c r="M51" s="877">
        <v>-4</v>
      </c>
      <c r="N51" s="873">
        <v>-0.30769230769230771</v>
      </c>
      <c r="O51" s="433">
        <v>11</v>
      </c>
      <c r="P51" s="877">
        <f t="shared" si="4"/>
        <v>2</v>
      </c>
      <c r="Q51" s="873">
        <f t="shared" si="5"/>
        <v>0.22222222222222221</v>
      </c>
      <c r="R51" s="665"/>
      <c r="S51" s="988">
        <f>'Summary Data'!CL53</f>
        <v>8</v>
      </c>
      <c r="T51" s="877">
        <f t="shared" si="13"/>
        <v>-3</v>
      </c>
      <c r="U51" s="873">
        <f t="shared" si="14"/>
        <v>-0.27272727272727271</v>
      </c>
      <c r="V51" s="665"/>
    </row>
    <row r="52" spans="1:22" ht="20.25" customHeight="1" x14ac:dyDescent="0.3">
      <c r="A52" s="495" t="str">
        <f>'Summary Data'!E54</f>
        <v xml:space="preserve">BI </v>
      </c>
      <c r="B52" s="506">
        <v>31</v>
      </c>
      <c r="C52" s="506">
        <v>10</v>
      </c>
      <c r="D52" s="435">
        <f t="shared" si="8"/>
        <v>-21</v>
      </c>
      <c r="E52" s="423">
        <f t="shared" si="9"/>
        <v>-0.67741935483870963</v>
      </c>
      <c r="F52" s="433">
        <v>19</v>
      </c>
      <c r="G52" s="518">
        <f t="shared" si="0"/>
        <v>9</v>
      </c>
      <c r="H52" s="423">
        <f t="shared" si="12"/>
        <v>0.9</v>
      </c>
      <c r="I52" s="506">
        <v>16</v>
      </c>
      <c r="J52" s="518">
        <f t="shared" si="2"/>
        <v>-3</v>
      </c>
      <c r="K52" s="494">
        <f t="shared" si="3"/>
        <v>-0.15789473684210525</v>
      </c>
      <c r="L52" s="433">
        <v>17</v>
      </c>
      <c r="M52" s="877">
        <v>1</v>
      </c>
      <c r="N52" s="873">
        <v>6.25E-2</v>
      </c>
      <c r="O52" s="433">
        <v>14</v>
      </c>
      <c r="P52" s="877">
        <f t="shared" si="4"/>
        <v>-3</v>
      </c>
      <c r="Q52" s="873">
        <f t="shared" si="5"/>
        <v>-0.17647058823529413</v>
      </c>
      <c r="R52" s="665"/>
      <c r="S52" s="988">
        <f>'Summary Data'!CL54</f>
        <v>6</v>
      </c>
      <c r="T52" s="877">
        <f t="shared" si="13"/>
        <v>-8</v>
      </c>
      <c r="U52" s="873">
        <f t="shared" si="14"/>
        <v>-0.5714285714285714</v>
      </c>
      <c r="V52" s="665"/>
    </row>
    <row r="53" spans="1:22" ht="20.25" customHeight="1" x14ac:dyDescent="0.3">
      <c r="A53" s="495" t="str">
        <f>'Summary Data'!E55</f>
        <v>Bus Objects</v>
      </c>
      <c r="B53" s="506">
        <v>0</v>
      </c>
      <c r="C53" s="506">
        <v>0</v>
      </c>
      <c r="D53" s="435">
        <f t="shared" ref="D53:D54" si="18">C53-B53</f>
        <v>0</v>
      </c>
      <c r="E53" s="423" t="e">
        <f t="shared" ref="E53:E54" si="19">D53/B53</f>
        <v>#DIV/0!</v>
      </c>
      <c r="F53" s="433">
        <v>0</v>
      </c>
      <c r="G53" s="518">
        <f t="shared" ref="G53:G54" si="20">F53-C53</f>
        <v>0</v>
      </c>
      <c r="H53" s="423" t="e">
        <f t="shared" ref="H53:H54" si="21">G53/C53</f>
        <v>#DIV/0!</v>
      </c>
      <c r="I53" s="506">
        <v>0</v>
      </c>
      <c r="J53" s="518">
        <f t="shared" ref="J53:J54" si="22">I53-F53</f>
        <v>0</v>
      </c>
      <c r="K53" s="494" t="e">
        <f t="shared" ref="K53:K54" si="23">J53/F53</f>
        <v>#DIV/0!</v>
      </c>
      <c r="L53" s="433">
        <v>0</v>
      </c>
      <c r="M53" s="877">
        <v>0</v>
      </c>
      <c r="N53" s="873" t="e">
        <v>#DIV/0!</v>
      </c>
      <c r="O53" s="433">
        <v>47</v>
      </c>
      <c r="P53" s="877">
        <f t="shared" ref="P53:P54" si="24">O53-L53</f>
        <v>47</v>
      </c>
      <c r="Q53" s="1022">
        <v>1</v>
      </c>
      <c r="R53" s="665"/>
      <c r="S53" s="988">
        <f>'Summary Data'!CL55</f>
        <v>29</v>
      </c>
      <c r="T53" s="877">
        <f t="shared" ref="T53:T54" si="25">S53-O53</f>
        <v>-18</v>
      </c>
      <c r="U53" s="873">
        <f t="shared" ref="U53:U54" si="26">T53/O53</f>
        <v>-0.38297872340425532</v>
      </c>
      <c r="V53" s="665"/>
    </row>
    <row r="54" spans="1:22" ht="20.25" customHeight="1" x14ac:dyDescent="0.3">
      <c r="A54" s="495" t="str">
        <f>'Summary Data'!E56</f>
        <v>Finance</v>
      </c>
      <c r="B54" s="506">
        <v>0</v>
      </c>
      <c r="C54" s="506">
        <v>0</v>
      </c>
      <c r="D54" s="435">
        <f t="shared" si="18"/>
        <v>0</v>
      </c>
      <c r="E54" s="423" t="e">
        <f t="shared" si="19"/>
        <v>#DIV/0!</v>
      </c>
      <c r="F54" s="433">
        <v>0</v>
      </c>
      <c r="G54" s="518">
        <f t="shared" si="20"/>
        <v>0</v>
      </c>
      <c r="H54" s="423" t="e">
        <f t="shared" si="21"/>
        <v>#DIV/0!</v>
      </c>
      <c r="I54" s="506">
        <v>0</v>
      </c>
      <c r="J54" s="518">
        <f t="shared" si="22"/>
        <v>0</v>
      </c>
      <c r="K54" s="494" t="e">
        <f t="shared" si="23"/>
        <v>#DIV/0!</v>
      </c>
      <c r="L54" s="433">
        <v>0</v>
      </c>
      <c r="M54" s="877">
        <v>0</v>
      </c>
      <c r="N54" s="873" t="e">
        <v>#DIV/0!</v>
      </c>
      <c r="O54" s="433">
        <v>5</v>
      </c>
      <c r="P54" s="877">
        <f t="shared" si="24"/>
        <v>5</v>
      </c>
      <c r="Q54" s="1022">
        <v>1</v>
      </c>
      <c r="R54" s="665"/>
      <c r="S54" s="988">
        <f>'Summary Data'!CL56</f>
        <v>3</v>
      </c>
      <c r="T54" s="877">
        <f t="shared" si="25"/>
        <v>-2</v>
      </c>
      <c r="U54" s="873">
        <f t="shared" si="26"/>
        <v>-0.4</v>
      </c>
      <c r="V54" s="665"/>
    </row>
    <row r="55" spans="1:22" ht="20.25" customHeight="1" x14ac:dyDescent="0.3">
      <c r="A55" s="495" t="str">
        <f>'Summary Data'!E57</f>
        <v>Org Management</v>
      </c>
      <c r="B55" s="506">
        <v>49</v>
      </c>
      <c r="C55" s="506">
        <v>57</v>
      </c>
      <c r="D55" s="435">
        <f t="shared" si="8"/>
        <v>8</v>
      </c>
      <c r="E55" s="423">
        <f t="shared" si="9"/>
        <v>0.16326530612244897</v>
      </c>
      <c r="F55" s="433">
        <v>57</v>
      </c>
      <c r="G55" s="518">
        <f t="shared" si="0"/>
        <v>0</v>
      </c>
      <c r="H55" s="423">
        <f t="shared" si="12"/>
        <v>0</v>
      </c>
      <c r="I55" s="506">
        <v>76</v>
      </c>
      <c r="J55" s="518">
        <f t="shared" si="2"/>
        <v>19</v>
      </c>
      <c r="K55" s="494">
        <f t="shared" si="3"/>
        <v>0.33333333333333331</v>
      </c>
      <c r="L55" s="433">
        <v>36</v>
      </c>
      <c r="M55" s="877">
        <v>-40</v>
      </c>
      <c r="N55" s="873">
        <v>-0.52631578947368418</v>
      </c>
      <c r="O55" s="433">
        <v>28</v>
      </c>
      <c r="P55" s="877">
        <f t="shared" si="4"/>
        <v>-8</v>
      </c>
      <c r="Q55" s="873">
        <f t="shared" si="5"/>
        <v>-0.22222222222222221</v>
      </c>
      <c r="R55" s="665"/>
      <c r="S55" s="988">
        <f>'Summary Data'!CL57</f>
        <v>25</v>
      </c>
      <c r="T55" s="877">
        <f t="shared" ref="T55:T68" si="27">S55-O55</f>
        <v>-3</v>
      </c>
      <c r="U55" s="873">
        <f t="shared" ref="U55:U68" si="28">T55/O55</f>
        <v>-0.10714285714285714</v>
      </c>
      <c r="V55" s="665"/>
    </row>
    <row r="56" spans="1:22" ht="20.25" customHeight="1" x14ac:dyDescent="0.3">
      <c r="A56" s="495" t="str">
        <f>'Summary Data'!E58</f>
        <v>Personnel Administration</v>
      </c>
      <c r="B56" s="506">
        <v>245</v>
      </c>
      <c r="C56" s="506">
        <v>317</v>
      </c>
      <c r="D56" s="435">
        <f t="shared" si="8"/>
        <v>72</v>
      </c>
      <c r="E56" s="423">
        <f t="shared" si="9"/>
        <v>0.29387755102040819</v>
      </c>
      <c r="F56" s="433">
        <v>272</v>
      </c>
      <c r="G56" s="518">
        <f t="shared" si="0"/>
        <v>-45</v>
      </c>
      <c r="H56" s="423">
        <f t="shared" si="12"/>
        <v>-0.14195583596214512</v>
      </c>
      <c r="I56" s="506">
        <v>327</v>
      </c>
      <c r="J56" s="518">
        <f t="shared" si="2"/>
        <v>55</v>
      </c>
      <c r="K56" s="494">
        <f t="shared" si="3"/>
        <v>0.20220588235294118</v>
      </c>
      <c r="L56" s="433">
        <v>141</v>
      </c>
      <c r="M56" s="877">
        <v>-186</v>
      </c>
      <c r="N56" s="873">
        <v>-0.56880733944954132</v>
      </c>
      <c r="O56" s="433">
        <v>108</v>
      </c>
      <c r="P56" s="877">
        <f t="shared" si="4"/>
        <v>-33</v>
      </c>
      <c r="Q56" s="873">
        <f t="shared" si="5"/>
        <v>-0.23404255319148937</v>
      </c>
      <c r="R56" s="665"/>
      <c r="S56" s="988">
        <f>'Summary Data'!CL58</f>
        <v>86</v>
      </c>
      <c r="T56" s="877">
        <f t="shared" si="27"/>
        <v>-22</v>
      </c>
      <c r="U56" s="873">
        <f t="shared" si="28"/>
        <v>-0.20370370370370369</v>
      </c>
      <c r="V56" s="665"/>
    </row>
    <row r="57" spans="1:22" ht="20.25" customHeight="1" x14ac:dyDescent="0.3">
      <c r="A57" s="495" t="str">
        <f>'Summary Data'!E59</f>
        <v>Payroll</v>
      </c>
      <c r="B57" s="506">
        <v>92</v>
      </c>
      <c r="C57" s="506">
        <v>147</v>
      </c>
      <c r="D57" s="435">
        <f t="shared" si="8"/>
        <v>55</v>
      </c>
      <c r="E57" s="423">
        <f t="shared" si="9"/>
        <v>0.59782608695652173</v>
      </c>
      <c r="F57" s="433">
        <v>107</v>
      </c>
      <c r="G57" s="518">
        <f t="shared" si="0"/>
        <v>-40</v>
      </c>
      <c r="H57" s="423">
        <f t="shared" si="12"/>
        <v>-0.27210884353741499</v>
      </c>
      <c r="I57" s="506">
        <v>147</v>
      </c>
      <c r="J57" s="518">
        <f t="shared" si="2"/>
        <v>40</v>
      </c>
      <c r="K57" s="494">
        <f t="shared" si="3"/>
        <v>0.37383177570093457</v>
      </c>
      <c r="L57" s="433">
        <v>41</v>
      </c>
      <c r="M57" s="877">
        <v>-106</v>
      </c>
      <c r="N57" s="873">
        <v>-0.72108843537414968</v>
      </c>
      <c r="O57" s="433">
        <v>8</v>
      </c>
      <c r="P57" s="877">
        <f t="shared" si="4"/>
        <v>-33</v>
      </c>
      <c r="Q57" s="873">
        <f t="shared" si="5"/>
        <v>-0.80487804878048785</v>
      </c>
      <c r="R57" s="665"/>
      <c r="S57" s="988">
        <f>'Summary Data'!CL59</f>
        <v>9</v>
      </c>
      <c r="T57" s="877">
        <f t="shared" si="27"/>
        <v>1</v>
      </c>
      <c r="U57" s="873">
        <f t="shared" si="28"/>
        <v>0.125</v>
      </c>
      <c r="V57" s="665"/>
    </row>
    <row r="58" spans="1:22" ht="20.25" customHeight="1" x14ac:dyDescent="0.3">
      <c r="A58" s="495" t="str">
        <f>'Summary Data'!E60</f>
        <v>Time</v>
      </c>
      <c r="B58" s="506">
        <v>289</v>
      </c>
      <c r="C58" s="506">
        <v>450</v>
      </c>
      <c r="D58" s="435">
        <f t="shared" si="8"/>
        <v>161</v>
      </c>
      <c r="E58" s="423">
        <f t="shared" si="9"/>
        <v>0.55709342560553632</v>
      </c>
      <c r="F58" s="433">
        <v>402</v>
      </c>
      <c r="G58" s="518">
        <f t="shared" si="0"/>
        <v>-48</v>
      </c>
      <c r="H58" s="423">
        <f t="shared" si="12"/>
        <v>-0.10666666666666667</v>
      </c>
      <c r="I58" s="506">
        <v>630</v>
      </c>
      <c r="J58" s="518">
        <f t="shared" si="2"/>
        <v>228</v>
      </c>
      <c r="K58" s="494">
        <f t="shared" si="3"/>
        <v>0.56716417910447758</v>
      </c>
      <c r="L58" s="433">
        <v>168</v>
      </c>
      <c r="M58" s="877">
        <v>-462</v>
      </c>
      <c r="N58" s="873">
        <v>-0.73333333333333328</v>
      </c>
      <c r="O58" s="433">
        <v>32</v>
      </c>
      <c r="P58" s="877">
        <f t="shared" si="4"/>
        <v>-136</v>
      </c>
      <c r="Q58" s="873">
        <f t="shared" si="5"/>
        <v>-0.80952380952380953</v>
      </c>
      <c r="R58" s="665"/>
      <c r="S58" s="988">
        <f>'Summary Data'!CL60</f>
        <v>24</v>
      </c>
      <c r="T58" s="877">
        <f t="shared" si="27"/>
        <v>-8</v>
      </c>
      <c r="U58" s="873">
        <f t="shared" si="28"/>
        <v>-0.25</v>
      </c>
      <c r="V58" s="665"/>
    </row>
    <row r="59" spans="1:22" ht="20.25" customHeight="1" x14ac:dyDescent="0.3">
      <c r="A59" s="495" t="str">
        <f>'Summary Data'!E61</f>
        <v>Workflow</v>
      </c>
      <c r="B59" s="506">
        <v>14</v>
      </c>
      <c r="C59" s="506">
        <v>10</v>
      </c>
      <c r="D59" s="435">
        <f t="shared" si="8"/>
        <v>-4</v>
      </c>
      <c r="E59" s="423">
        <f t="shared" si="9"/>
        <v>-0.2857142857142857</v>
      </c>
      <c r="F59" s="433">
        <v>10</v>
      </c>
      <c r="G59" s="518">
        <f t="shared" si="0"/>
        <v>0</v>
      </c>
      <c r="H59" s="423">
        <f t="shared" si="12"/>
        <v>0</v>
      </c>
      <c r="I59" s="506">
        <v>13</v>
      </c>
      <c r="J59" s="518">
        <f t="shared" si="2"/>
        <v>3</v>
      </c>
      <c r="K59" s="494">
        <f t="shared" si="3"/>
        <v>0.3</v>
      </c>
      <c r="L59" s="433">
        <v>12</v>
      </c>
      <c r="M59" s="877">
        <v>-1</v>
      </c>
      <c r="N59" s="873">
        <v>-7.6923076923076927E-2</v>
      </c>
      <c r="O59" s="433">
        <v>8</v>
      </c>
      <c r="P59" s="877">
        <f t="shared" si="4"/>
        <v>-4</v>
      </c>
      <c r="Q59" s="873">
        <f t="shared" si="5"/>
        <v>-0.33333333333333331</v>
      </c>
      <c r="R59" s="665"/>
      <c r="S59" s="988">
        <f>'Summary Data'!CL61</f>
        <v>8</v>
      </c>
      <c r="T59" s="877">
        <f t="shared" si="27"/>
        <v>0</v>
      </c>
      <c r="U59" s="873">
        <f t="shared" si="28"/>
        <v>0</v>
      </c>
      <c r="V59" s="665"/>
    </row>
    <row r="60" spans="1:22" ht="20.25" customHeight="1" x14ac:dyDescent="0.3">
      <c r="A60" s="495" t="str">
        <f>'Summary Data'!E62</f>
        <v>Other (Non-ERP)</v>
      </c>
      <c r="B60" s="506">
        <v>188</v>
      </c>
      <c r="C60" s="506">
        <v>436</v>
      </c>
      <c r="D60" s="435">
        <f t="shared" si="8"/>
        <v>248</v>
      </c>
      <c r="E60" s="423">
        <f t="shared" si="9"/>
        <v>1.3191489361702127</v>
      </c>
      <c r="F60" s="433">
        <v>205</v>
      </c>
      <c r="G60" s="518">
        <f t="shared" si="0"/>
        <v>-231</v>
      </c>
      <c r="H60" s="423">
        <f t="shared" si="12"/>
        <v>-0.52981651376146788</v>
      </c>
      <c r="I60" s="506">
        <v>115</v>
      </c>
      <c r="J60" s="518">
        <f t="shared" si="2"/>
        <v>-90</v>
      </c>
      <c r="K60" s="494">
        <f t="shared" si="3"/>
        <v>-0.43902439024390244</v>
      </c>
      <c r="L60" s="433">
        <v>26</v>
      </c>
      <c r="M60" s="877">
        <v>-89</v>
      </c>
      <c r="N60" s="873">
        <v>-0.77391304347826084</v>
      </c>
      <c r="O60" s="433">
        <v>35</v>
      </c>
      <c r="P60" s="877">
        <f t="shared" si="4"/>
        <v>9</v>
      </c>
      <c r="Q60" s="873">
        <f t="shared" si="5"/>
        <v>0.34615384615384615</v>
      </c>
      <c r="R60" s="665"/>
      <c r="S60" s="988">
        <f>'Summary Data'!CL62</f>
        <v>42</v>
      </c>
      <c r="T60" s="877">
        <f t="shared" si="27"/>
        <v>7</v>
      </c>
      <c r="U60" s="873">
        <f t="shared" si="28"/>
        <v>0.2</v>
      </c>
      <c r="V60" s="665"/>
    </row>
    <row r="61" spans="1:22" ht="20.25" customHeight="1" x14ac:dyDescent="0.3">
      <c r="A61" s="867" t="str">
        <f>'Summary Data'!E63</f>
        <v>Number Trained in Classroom</v>
      </c>
      <c r="B61" s="506">
        <v>1703</v>
      </c>
      <c r="C61" s="506">
        <v>1324</v>
      </c>
      <c r="D61" s="435">
        <f t="shared" si="8"/>
        <v>-379</v>
      </c>
      <c r="E61" s="423">
        <f t="shared" si="9"/>
        <v>-0.22254844392248974</v>
      </c>
      <c r="F61" s="433">
        <v>1048</v>
      </c>
      <c r="G61" s="518">
        <f t="shared" si="0"/>
        <v>-276</v>
      </c>
      <c r="H61" s="423">
        <f t="shared" si="12"/>
        <v>-0.20845921450151059</v>
      </c>
      <c r="I61" s="506">
        <v>1780</v>
      </c>
      <c r="J61" s="518">
        <f t="shared" si="2"/>
        <v>732</v>
      </c>
      <c r="K61" s="494">
        <f t="shared" si="3"/>
        <v>0.69847328244274809</v>
      </c>
      <c r="L61" s="433">
        <v>1199</v>
      </c>
      <c r="M61" s="877">
        <v>-581</v>
      </c>
      <c r="N61" s="873">
        <v>-0.32640449438202246</v>
      </c>
      <c r="O61" s="433">
        <v>2342</v>
      </c>
      <c r="P61" s="877">
        <f t="shared" si="4"/>
        <v>1143</v>
      </c>
      <c r="Q61" s="873">
        <f t="shared" si="5"/>
        <v>0.95329441201000831</v>
      </c>
      <c r="R61" s="665"/>
      <c r="S61" s="988">
        <f>'Summary Data'!CL63</f>
        <v>1990</v>
      </c>
      <c r="T61" s="877">
        <f t="shared" si="27"/>
        <v>-352</v>
      </c>
      <c r="U61" s="873">
        <f t="shared" si="28"/>
        <v>-0.1502988898377455</v>
      </c>
      <c r="V61" s="665"/>
    </row>
    <row r="62" spans="1:22" ht="20.25" customHeight="1" thickBot="1" x14ac:dyDescent="0.35">
      <c r="A62" s="868" t="str">
        <f>'Summary Data'!E64</f>
        <v>Number Attending eLearning</v>
      </c>
      <c r="B62" s="515">
        <v>2950</v>
      </c>
      <c r="C62" s="515">
        <v>2407</v>
      </c>
      <c r="D62" s="497">
        <f t="shared" si="8"/>
        <v>-543</v>
      </c>
      <c r="E62" s="498">
        <f t="shared" si="9"/>
        <v>-0.1840677966101695</v>
      </c>
      <c r="F62" s="496">
        <v>1511</v>
      </c>
      <c r="G62" s="519">
        <f t="shared" si="0"/>
        <v>-896</v>
      </c>
      <c r="H62" s="498">
        <f t="shared" si="12"/>
        <v>-0.37224761113419191</v>
      </c>
      <c r="I62" s="515">
        <v>2237</v>
      </c>
      <c r="J62" s="519">
        <f t="shared" si="2"/>
        <v>726</v>
      </c>
      <c r="K62" s="499">
        <f t="shared" si="3"/>
        <v>0.48047650562541361</v>
      </c>
      <c r="L62" s="496">
        <v>611</v>
      </c>
      <c r="M62" s="883">
        <v>-1626</v>
      </c>
      <c r="N62" s="874">
        <v>-0.72686633884666962</v>
      </c>
      <c r="O62" s="496">
        <v>574</v>
      </c>
      <c r="P62" s="883">
        <f t="shared" si="4"/>
        <v>-37</v>
      </c>
      <c r="Q62" s="874">
        <f t="shared" si="5"/>
        <v>-6.0556464811783964E-2</v>
      </c>
      <c r="R62" s="665"/>
      <c r="S62" s="1004">
        <f>'Summary Data'!CL64</f>
        <v>413</v>
      </c>
      <c r="T62" s="883">
        <f t="shared" si="27"/>
        <v>-161</v>
      </c>
      <c r="U62" s="874">
        <f t="shared" si="28"/>
        <v>-0.28048780487804881</v>
      </c>
      <c r="V62" s="665"/>
    </row>
    <row r="63" spans="1:22" ht="20.25" hidden="1" customHeight="1" outlineLevel="1" x14ac:dyDescent="0.3">
      <c r="A63" s="2" t="s">
        <v>4</v>
      </c>
      <c r="B63" s="424" t="e">
        <f>'Summary Data'!#REF!</f>
        <v>#REF!</v>
      </c>
      <c r="C63" s="424">
        <f>'Summary Data'!T65</f>
        <v>0</v>
      </c>
      <c r="D63" s="446" t="e">
        <f t="shared" si="8"/>
        <v>#REF!</v>
      </c>
      <c r="E63" s="423" t="e">
        <f t="shared" si="9"/>
        <v>#REF!</v>
      </c>
      <c r="F63" s="433">
        <f>'Summary Data'!AH65</f>
        <v>0</v>
      </c>
      <c r="G63" s="446">
        <f t="shared" ref="G63:G68" si="29">F63-C63</f>
        <v>0</v>
      </c>
      <c r="H63" s="423" t="e">
        <f t="shared" si="12"/>
        <v>#DIV/0!</v>
      </c>
      <c r="I63" s="433">
        <f>'Summary Data'!AV65</f>
        <v>0</v>
      </c>
      <c r="J63" s="446">
        <f t="shared" si="2"/>
        <v>0</v>
      </c>
      <c r="K63" s="423" t="e">
        <f t="shared" si="3"/>
        <v>#DIV/0!</v>
      </c>
      <c r="L63" s="433">
        <f>'Summary Data'!BJ65</f>
        <v>0</v>
      </c>
      <c r="M63" s="446">
        <f t="shared" ref="M63:M68" si="30">L63-I63</f>
        <v>0</v>
      </c>
      <c r="N63" s="423" t="e">
        <f t="shared" ref="N63:N68" si="31">M63/I63</f>
        <v>#DIV/0!</v>
      </c>
      <c r="O63" s="433">
        <f>'Summary Data'!BX65</f>
        <v>0</v>
      </c>
      <c r="P63" s="446">
        <f t="shared" si="4"/>
        <v>0</v>
      </c>
      <c r="Q63" s="423" t="e">
        <f t="shared" si="5"/>
        <v>#DIV/0!</v>
      </c>
      <c r="S63" s="433">
        <f>'Summary Data'!CL65</f>
        <v>0</v>
      </c>
      <c r="T63" s="446">
        <f t="shared" si="27"/>
        <v>0</v>
      </c>
      <c r="U63" s="423" t="e">
        <f t="shared" si="28"/>
        <v>#DIV/0!</v>
      </c>
    </row>
    <row r="64" spans="1:22" ht="20.25" hidden="1" customHeight="1" outlineLevel="1" x14ac:dyDescent="0.3">
      <c r="A64" s="2" t="s">
        <v>68</v>
      </c>
      <c r="B64" s="431" t="e">
        <f>'Summary Data'!#REF!</f>
        <v>#REF!</v>
      </c>
      <c r="C64" s="431" t="str">
        <f>'Summary Data'!T66</f>
        <v>-</v>
      </c>
      <c r="D64" s="435" t="e">
        <f t="shared" si="8"/>
        <v>#VALUE!</v>
      </c>
      <c r="E64" s="423" t="e">
        <f t="shared" si="9"/>
        <v>#VALUE!</v>
      </c>
      <c r="F64" s="433" t="str">
        <f>'Summary Data'!AH66</f>
        <v>-</v>
      </c>
      <c r="G64" s="446" t="e">
        <f t="shared" si="29"/>
        <v>#VALUE!</v>
      </c>
      <c r="H64" s="423" t="e">
        <f t="shared" si="12"/>
        <v>#VALUE!</v>
      </c>
      <c r="I64" s="433" t="str">
        <f>'Summary Data'!AV66</f>
        <v>-</v>
      </c>
      <c r="J64" s="446" t="e">
        <f t="shared" si="2"/>
        <v>#VALUE!</v>
      </c>
      <c r="K64" s="423" t="e">
        <f t="shared" si="3"/>
        <v>#VALUE!</v>
      </c>
      <c r="L64" s="433" t="str">
        <f>'Summary Data'!BJ66</f>
        <v>-</v>
      </c>
      <c r="M64" s="446" t="e">
        <f t="shared" si="30"/>
        <v>#VALUE!</v>
      </c>
      <c r="N64" s="423" t="e">
        <f t="shared" si="31"/>
        <v>#VALUE!</v>
      </c>
      <c r="O64" s="433" t="str">
        <f>'Summary Data'!BX66</f>
        <v>-</v>
      </c>
      <c r="P64" s="446" t="e">
        <f t="shared" si="4"/>
        <v>#VALUE!</v>
      </c>
      <c r="Q64" s="423" t="e">
        <f t="shared" si="5"/>
        <v>#VALUE!</v>
      </c>
      <c r="S64" s="433" t="str">
        <f>'Summary Data'!CL66</f>
        <v>-</v>
      </c>
      <c r="T64" s="446" t="e">
        <f t="shared" si="27"/>
        <v>#VALUE!</v>
      </c>
      <c r="U64" s="423" t="e">
        <f t="shared" si="28"/>
        <v>#VALUE!</v>
      </c>
    </row>
    <row r="65" spans="1:21" ht="20.25" hidden="1" customHeight="1" outlineLevel="1" x14ac:dyDescent="0.3">
      <c r="A65" s="2" t="s">
        <v>69</v>
      </c>
      <c r="B65" s="431" t="e">
        <f>'Summary Data'!#REF!</f>
        <v>#REF!</v>
      </c>
      <c r="C65" s="431" t="str">
        <f>'Summary Data'!T67</f>
        <v>-</v>
      </c>
      <c r="D65" s="435" t="e">
        <f t="shared" si="8"/>
        <v>#VALUE!</v>
      </c>
      <c r="E65" s="423" t="e">
        <f t="shared" si="9"/>
        <v>#VALUE!</v>
      </c>
      <c r="F65" s="433" t="str">
        <f>'Summary Data'!AH67</f>
        <v>-</v>
      </c>
      <c r="G65" s="446" t="e">
        <f t="shared" si="29"/>
        <v>#VALUE!</v>
      </c>
      <c r="H65" s="423" t="e">
        <f t="shared" si="12"/>
        <v>#VALUE!</v>
      </c>
      <c r="I65" s="433" t="str">
        <f>'Summary Data'!AV67</f>
        <v>-</v>
      </c>
      <c r="J65" s="446" t="e">
        <f t="shared" si="2"/>
        <v>#VALUE!</v>
      </c>
      <c r="K65" s="423" t="e">
        <f t="shared" si="3"/>
        <v>#VALUE!</v>
      </c>
      <c r="L65" s="433" t="str">
        <f>'Summary Data'!BJ67</f>
        <v>-</v>
      </c>
      <c r="M65" s="446" t="e">
        <f t="shared" si="30"/>
        <v>#VALUE!</v>
      </c>
      <c r="N65" s="423" t="e">
        <f t="shared" si="31"/>
        <v>#VALUE!</v>
      </c>
      <c r="O65" s="433" t="str">
        <f>'Summary Data'!BX67</f>
        <v>-</v>
      </c>
      <c r="P65" s="446" t="e">
        <f t="shared" si="4"/>
        <v>#VALUE!</v>
      </c>
      <c r="Q65" s="423" t="e">
        <f t="shared" si="5"/>
        <v>#VALUE!</v>
      </c>
      <c r="S65" s="433" t="str">
        <f>'Summary Data'!CL67</f>
        <v>-</v>
      </c>
      <c r="T65" s="446" t="e">
        <f t="shared" si="27"/>
        <v>#VALUE!</v>
      </c>
      <c r="U65" s="423" t="e">
        <f t="shared" si="28"/>
        <v>#VALUE!</v>
      </c>
    </row>
    <row r="66" spans="1:21" ht="20.25" hidden="1" customHeight="1" outlineLevel="1" x14ac:dyDescent="0.3">
      <c r="A66" s="2" t="s">
        <v>70</v>
      </c>
      <c r="B66" s="431" t="e">
        <f>'Summary Data'!#REF!</f>
        <v>#REF!</v>
      </c>
      <c r="C66" s="431" t="str">
        <f>'Summary Data'!T68</f>
        <v>-</v>
      </c>
      <c r="D66" s="435" t="e">
        <f t="shared" si="8"/>
        <v>#VALUE!</v>
      </c>
      <c r="E66" s="423" t="e">
        <f t="shared" si="9"/>
        <v>#VALUE!</v>
      </c>
      <c r="F66" s="433" t="str">
        <f>'Summary Data'!AH68</f>
        <v>-</v>
      </c>
      <c r="G66" s="446" t="e">
        <f t="shared" si="29"/>
        <v>#VALUE!</v>
      </c>
      <c r="H66" s="423" t="e">
        <f t="shared" si="12"/>
        <v>#VALUE!</v>
      </c>
      <c r="I66" s="433" t="str">
        <f>'Summary Data'!AV68</f>
        <v>-</v>
      </c>
      <c r="J66" s="446" t="e">
        <f t="shared" si="2"/>
        <v>#VALUE!</v>
      </c>
      <c r="K66" s="423" t="e">
        <f t="shared" si="3"/>
        <v>#VALUE!</v>
      </c>
      <c r="L66" s="433" t="str">
        <f>'Summary Data'!BJ68</f>
        <v>-</v>
      </c>
      <c r="M66" s="446" t="e">
        <f t="shared" si="30"/>
        <v>#VALUE!</v>
      </c>
      <c r="N66" s="423" t="e">
        <f t="shared" si="31"/>
        <v>#VALUE!</v>
      </c>
      <c r="O66" s="433" t="str">
        <f>'Summary Data'!BX68</f>
        <v>-</v>
      </c>
      <c r="P66" s="446" t="e">
        <f t="shared" si="4"/>
        <v>#VALUE!</v>
      </c>
      <c r="Q66" s="423" t="e">
        <f t="shared" si="5"/>
        <v>#VALUE!</v>
      </c>
      <c r="S66" s="433" t="str">
        <f>'Summary Data'!CL68</f>
        <v>-</v>
      </c>
      <c r="T66" s="446" t="e">
        <f t="shared" si="27"/>
        <v>#VALUE!</v>
      </c>
      <c r="U66" s="423" t="e">
        <f t="shared" si="28"/>
        <v>#VALUE!</v>
      </c>
    </row>
    <row r="67" spans="1:21" ht="20.25" hidden="1" customHeight="1" outlineLevel="1" x14ac:dyDescent="0.3">
      <c r="A67" s="2" t="s">
        <v>71</v>
      </c>
      <c r="B67" s="431" t="e">
        <f>'Summary Data'!#REF!</f>
        <v>#REF!</v>
      </c>
      <c r="C67" s="431" t="str">
        <f>'Summary Data'!T69</f>
        <v>-</v>
      </c>
      <c r="D67" s="435" t="e">
        <f t="shared" si="8"/>
        <v>#VALUE!</v>
      </c>
      <c r="E67" s="423" t="e">
        <f t="shared" si="9"/>
        <v>#VALUE!</v>
      </c>
      <c r="F67" s="433" t="str">
        <f>'Summary Data'!AH69</f>
        <v>-</v>
      </c>
      <c r="G67" s="446" t="e">
        <f t="shared" si="29"/>
        <v>#VALUE!</v>
      </c>
      <c r="H67" s="423" t="e">
        <f t="shared" si="12"/>
        <v>#VALUE!</v>
      </c>
      <c r="I67" s="433" t="str">
        <f>'Summary Data'!AV69</f>
        <v>-</v>
      </c>
      <c r="J67" s="446" t="e">
        <f t="shared" si="2"/>
        <v>#VALUE!</v>
      </c>
      <c r="K67" s="423" t="e">
        <f t="shared" si="3"/>
        <v>#VALUE!</v>
      </c>
      <c r="L67" s="433" t="str">
        <f>'Summary Data'!BJ69</f>
        <v>-</v>
      </c>
      <c r="M67" s="446" t="e">
        <f t="shared" si="30"/>
        <v>#VALUE!</v>
      </c>
      <c r="N67" s="423" t="e">
        <f t="shared" si="31"/>
        <v>#VALUE!</v>
      </c>
      <c r="O67" s="433" t="str">
        <f>'Summary Data'!BX69</f>
        <v>-</v>
      </c>
      <c r="P67" s="446" t="e">
        <f t="shared" si="4"/>
        <v>#VALUE!</v>
      </c>
      <c r="Q67" s="423" t="e">
        <f t="shared" si="5"/>
        <v>#VALUE!</v>
      </c>
      <c r="S67" s="433" t="str">
        <f>'Summary Data'!CL69</f>
        <v>-</v>
      </c>
      <c r="T67" s="446" t="e">
        <f t="shared" si="27"/>
        <v>#VALUE!</v>
      </c>
      <c r="U67" s="423" t="e">
        <f t="shared" si="28"/>
        <v>#VALUE!</v>
      </c>
    </row>
    <row r="68" spans="1:21" ht="20.25" hidden="1" customHeight="1" outlineLevel="1" x14ac:dyDescent="0.3">
      <c r="B68" s="442"/>
      <c r="C68" s="442"/>
      <c r="D68" s="435">
        <f t="shared" si="8"/>
        <v>0</v>
      </c>
      <c r="E68" s="423" t="e">
        <f t="shared" si="9"/>
        <v>#DIV/0!</v>
      </c>
      <c r="F68" s="433" t="str">
        <f>'Summary Data'!AH70</f>
        <v>-</v>
      </c>
      <c r="G68" s="446" t="e">
        <f t="shared" si="29"/>
        <v>#VALUE!</v>
      </c>
      <c r="H68" s="423" t="e">
        <f t="shared" si="12"/>
        <v>#VALUE!</v>
      </c>
      <c r="I68" s="433" t="str">
        <f>'Summary Data'!AV70</f>
        <v>-</v>
      </c>
      <c r="J68" s="446" t="e">
        <f t="shared" si="2"/>
        <v>#VALUE!</v>
      </c>
      <c r="K68" s="423" t="e">
        <f t="shared" si="3"/>
        <v>#VALUE!</v>
      </c>
      <c r="L68" s="433" t="str">
        <f>'Summary Data'!BJ70</f>
        <v>-</v>
      </c>
      <c r="M68" s="446" t="e">
        <f t="shared" si="30"/>
        <v>#VALUE!</v>
      </c>
      <c r="N68" s="423" t="e">
        <f t="shared" si="31"/>
        <v>#VALUE!</v>
      </c>
      <c r="O68" s="433" t="str">
        <f>'Summary Data'!BX70</f>
        <v>-</v>
      </c>
      <c r="P68" s="446" t="e">
        <f t="shared" si="4"/>
        <v>#VALUE!</v>
      </c>
      <c r="Q68" s="423" t="e">
        <f t="shared" si="5"/>
        <v>#VALUE!</v>
      </c>
      <c r="S68" s="433" t="str">
        <f>'Summary Data'!CL70</f>
        <v>-</v>
      </c>
      <c r="T68" s="446" t="e">
        <f t="shared" si="27"/>
        <v>#VALUE!</v>
      </c>
      <c r="U68" s="423" t="e">
        <f t="shared" si="28"/>
        <v>#VALUE!</v>
      </c>
    </row>
    <row r="69" spans="1:21" ht="20.25" customHeight="1" collapsed="1" x14ac:dyDescent="0.3"/>
    <row r="70" spans="1:21" ht="20.25" customHeight="1" x14ac:dyDescent="0.3">
      <c r="B70" s="438"/>
      <c r="C70" s="438"/>
      <c r="D70" s="450"/>
      <c r="F70" s="438"/>
      <c r="I70" s="438"/>
      <c r="L70" s="438"/>
      <c r="O70" s="438"/>
      <c r="S70" s="438"/>
    </row>
    <row r="71" spans="1:21" ht="20.25" customHeight="1" x14ac:dyDescent="0.3">
      <c r="B71" s="443"/>
      <c r="C71" s="443"/>
      <c r="F71" s="443"/>
      <c r="I71" s="443"/>
      <c r="L71" s="443"/>
      <c r="O71" s="443"/>
      <c r="S71" s="443"/>
    </row>
  </sheetData>
  <sheetProtection sheet="1" objects="1" scenarios="1"/>
  <mergeCells count="5">
    <mergeCell ref="G2:H2"/>
    <mergeCell ref="J2:K2"/>
    <mergeCell ref="M2:N2"/>
    <mergeCell ref="P2:Q2"/>
    <mergeCell ref="T2:U2"/>
  </mergeCells>
  <conditionalFormatting sqref="R1:R1048576">
    <cfRule type="cellIs" dxfId="3" priority="4" stopIfTrue="1" operator="equal">
      <formula>"+"</formula>
    </cfRule>
    <cfRule type="cellIs" dxfId="2" priority="5" stopIfTrue="1" operator="equal">
      <formula>"-"</formula>
    </cfRule>
    <cfRule type="cellIs" priority="6" stopIfTrue="1" operator="equal">
      <formula>"-"</formula>
    </cfRule>
  </conditionalFormatting>
  <conditionalFormatting sqref="V1:V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45" right="0.45" top="1.07" bottom="0.75" header="0.3" footer="0.3"/>
  <pageSetup scale="76" orientation="portrait" r:id="rId1"/>
  <headerFooter>
    <oddHeader xml:space="preserve">&amp;C&amp;"-,Bold"&amp;12OSC ERP 
HR/Payroll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2"/>
  <sheetViews>
    <sheetView topLeftCell="IW1" workbookViewId="0">
      <selection activeCell="IW1" sqref="IW1"/>
    </sheetView>
  </sheetViews>
  <sheetFormatPr defaultRowHeight="15" outlineLevelCol="1" x14ac:dyDescent="0.25"/>
  <cols>
    <col min="1" max="1" width="18.85546875" style="316" hidden="1" customWidth="1" outlineLevel="1"/>
    <col min="2" max="2" width="14" style="316" hidden="1" customWidth="1" outlineLevel="1"/>
    <col min="3" max="3" width="138.28515625" style="317" hidden="1" customWidth="1" outlineLevel="1"/>
    <col min="4" max="256" width="9.140625" style="316" hidden="1" customWidth="1" outlineLevel="1"/>
    <col min="257" max="257" width="9.140625" collapsed="1"/>
  </cols>
  <sheetData>
    <row r="1" spans="1:3" x14ac:dyDescent="0.25">
      <c r="A1" s="316" t="s">
        <v>115</v>
      </c>
      <c r="B1" s="316" t="s">
        <v>112</v>
      </c>
      <c r="C1" s="317" t="s">
        <v>114</v>
      </c>
    </row>
    <row r="2" spans="1:3" ht="30" x14ac:dyDescent="0.25">
      <c r="A2" s="316" t="s">
        <v>111</v>
      </c>
      <c r="B2" s="318" t="s">
        <v>113</v>
      </c>
      <c r="C2" s="317" t="s">
        <v>116</v>
      </c>
    </row>
  </sheetData>
  <sheetProtection password="DE65"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Summary Data</vt:lpstr>
      <vt:lpstr>Definitions</vt:lpstr>
      <vt:lpstr>Notes</vt:lpstr>
      <vt:lpstr>PR Processing Table</vt:lpstr>
      <vt:lpstr>FY Comp</vt:lpstr>
      <vt:lpstr>Chg</vt:lpstr>
      <vt:lpstr>1st Call Resolution</vt:lpstr>
      <vt:lpstr>Call Volume </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Ritchie B</cp:lastModifiedBy>
  <cp:lastPrinted>2016-05-04T11:03:27Z</cp:lastPrinted>
  <dcterms:created xsi:type="dcterms:W3CDTF">2009-03-26T16:04:32Z</dcterms:created>
  <dcterms:modified xsi:type="dcterms:W3CDTF">2016-06-07T13:45:54Z</dcterms:modified>
</cp:coreProperties>
</file>