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codeName="ThisWorkbook" defaultThemeVersion="124226"/>
  <mc:AlternateContent xmlns:mc="http://schemas.openxmlformats.org/markup-compatibility/2006">
    <mc:Choice Requires="x15">
      <x15ac:absPath xmlns:x15ac="http://schemas.microsoft.com/office/spreadsheetml/2010/11/ac" url="J:\Communications Division\Drupal_Website\state_employees\statewide_accounting\statewide_financial_reporting\year_end\GASB_75\"/>
    </mc:Choice>
  </mc:AlternateContent>
  <bookViews>
    <workbookView xWindow="0" yWindow="0" windowWidth="28800" windowHeight="11610" tabRatio="824"/>
  </bookViews>
  <sheets>
    <sheet name="Info" sheetId="5" r:id="rId1"/>
    <sheet name="Detail" sheetId="1" r:id="rId2"/>
    <sheet name="Summary" sheetId="2" r:id="rId3"/>
    <sheet name="Disclosures" sheetId="3" r:id="rId4"/>
    <sheet name="Data" sheetId="4" state="hidden" r:id="rId5"/>
    <sheet name="ER Contributions" sheetId="6" state="hidden" r:id="rId6"/>
    <sheet name="Allocation Exhibit 2016-06-30" sheetId="11" state="hidden" r:id="rId7"/>
    <sheet name="75 - Summary Exhibit" sheetId="9" state="hidden" r:id="rId8"/>
    <sheet name="75- Deferred Amortization" sheetId="10" state="hidden" r:id="rId9"/>
  </sheets>
  <definedNames>
    <definedName name="_xlnm.Print_Area" localSheetId="7">'75 - Summary Exhibit'!$A$1:$N$3</definedName>
    <definedName name="_xlnm.Print_Area" localSheetId="1">Detail!$A$1:$G$46</definedName>
    <definedName name="_xlnm.Print_Area" localSheetId="3">Disclosures!$A$6:$J$75</definedName>
    <definedName name="_xlnm.Print_Area" localSheetId="2">Summary!$A$1:$I$21</definedName>
    <definedName name="_xlnm.Print_Titles" localSheetId="3">Disclosures!$1:$4</definedName>
  </definedNames>
  <calcPr calcId="171027"/>
</workbook>
</file>

<file path=xl/calcChain.xml><?xml version="1.0" encoding="utf-8"?>
<calcChain xmlns="http://schemas.openxmlformats.org/spreadsheetml/2006/main">
  <c r="M5" i="10" l="1"/>
  <c r="N5" i="10"/>
  <c r="O5" i="10"/>
  <c r="P5" i="10"/>
  <c r="Q5" i="10"/>
  <c r="M6" i="10"/>
  <c r="N6" i="10"/>
  <c r="O6" i="10"/>
  <c r="P6" i="10"/>
  <c r="Q6" i="10"/>
  <c r="M7" i="10"/>
  <c r="N7" i="10"/>
  <c r="O7" i="10"/>
  <c r="P7" i="10"/>
  <c r="Q7" i="10"/>
  <c r="M8" i="10"/>
  <c r="N8" i="10"/>
  <c r="O8" i="10"/>
  <c r="P8" i="10"/>
  <c r="Q8" i="10"/>
  <c r="M9" i="10"/>
  <c r="N9" i="10"/>
  <c r="O9" i="10"/>
  <c r="P9" i="10"/>
  <c r="Q9" i="10"/>
  <c r="M10" i="10"/>
  <c r="N10" i="10"/>
  <c r="O10" i="10"/>
  <c r="P10" i="10"/>
  <c r="Q10" i="10"/>
  <c r="M11" i="10"/>
  <c r="N11" i="10"/>
  <c r="O11" i="10"/>
  <c r="P11" i="10"/>
  <c r="Q11" i="10"/>
  <c r="M12" i="10"/>
  <c r="N12" i="10"/>
  <c r="O12" i="10"/>
  <c r="P12" i="10"/>
  <c r="Q12" i="10"/>
  <c r="M13" i="10"/>
  <c r="N13" i="10"/>
  <c r="O13" i="10"/>
  <c r="P13" i="10"/>
  <c r="Q13" i="10"/>
  <c r="M14" i="10"/>
  <c r="N14" i="10"/>
  <c r="O14" i="10"/>
  <c r="P14" i="10"/>
  <c r="Q14" i="10"/>
  <c r="M15" i="10"/>
  <c r="N15" i="10"/>
  <c r="O15" i="10"/>
  <c r="P15" i="10"/>
  <c r="Q15" i="10"/>
  <c r="M16" i="10"/>
  <c r="N16" i="10"/>
  <c r="O16" i="10"/>
  <c r="P16" i="10"/>
  <c r="Q16" i="10"/>
  <c r="M17" i="10"/>
  <c r="N17" i="10"/>
  <c r="O17" i="10"/>
  <c r="P17" i="10"/>
  <c r="Q17" i="10"/>
  <c r="M18" i="10"/>
  <c r="N18" i="10"/>
  <c r="O18" i="10"/>
  <c r="P18" i="10"/>
  <c r="Q18" i="10"/>
  <c r="M19" i="10"/>
  <c r="N19" i="10"/>
  <c r="O19" i="10"/>
  <c r="P19" i="10"/>
  <c r="Q19" i="10"/>
  <c r="M20" i="10"/>
  <c r="N20" i="10"/>
  <c r="O20" i="10"/>
  <c r="P20" i="10"/>
  <c r="Q20" i="10"/>
  <c r="M21" i="10"/>
  <c r="N21" i="10"/>
  <c r="O21" i="10"/>
  <c r="P21" i="10"/>
  <c r="Q21" i="10"/>
  <c r="M22" i="10"/>
  <c r="N22" i="10"/>
  <c r="O22" i="10"/>
  <c r="P22" i="10"/>
  <c r="Q22" i="10"/>
  <c r="M23" i="10"/>
  <c r="N23" i="10"/>
  <c r="O23" i="10"/>
  <c r="P23" i="10"/>
  <c r="Q23" i="10"/>
  <c r="M24" i="10"/>
  <c r="N24" i="10"/>
  <c r="O24" i="10"/>
  <c r="P24" i="10"/>
  <c r="Q24" i="10"/>
  <c r="M25" i="10"/>
  <c r="N25" i="10"/>
  <c r="O25" i="10"/>
  <c r="P25" i="10"/>
  <c r="Q25" i="10"/>
  <c r="M26" i="10"/>
  <c r="N26" i="10"/>
  <c r="O26" i="10"/>
  <c r="P26" i="10"/>
  <c r="Q26" i="10"/>
  <c r="M27" i="10"/>
  <c r="N27" i="10"/>
  <c r="O27" i="10"/>
  <c r="P27" i="10"/>
  <c r="Q27" i="10"/>
  <c r="M28" i="10"/>
  <c r="N28" i="10"/>
  <c r="O28" i="10"/>
  <c r="P28" i="10"/>
  <c r="Q28" i="10"/>
  <c r="M29" i="10"/>
  <c r="N29" i="10"/>
  <c r="O29" i="10"/>
  <c r="P29" i="10"/>
  <c r="Q29" i="10"/>
  <c r="M30" i="10"/>
  <c r="N30" i="10"/>
  <c r="O30" i="10"/>
  <c r="P30" i="10"/>
  <c r="Q30" i="10"/>
  <c r="M31" i="10"/>
  <c r="N31" i="10"/>
  <c r="O31" i="10"/>
  <c r="P31" i="10"/>
  <c r="Q31" i="10"/>
  <c r="M32" i="10"/>
  <c r="N32" i="10"/>
  <c r="O32" i="10"/>
  <c r="P32" i="10"/>
  <c r="Q32" i="10"/>
  <c r="M33" i="10"/>
  <c r="N33" i="10"/>
  <c r="O33" i="10"/>
  <c r="P33" i="10"/>
  <c r="Q33" i="10"/>
  <c r="M34" i="10"/>
  <c r="N34" i="10"/>
  <c r="O34" i="10"/>
  <c r="P34" i="10"/>
  <c r="Q34" i="10"/>
  <c r="M35" i="10"/>
  <c r="N35" i="10"/>
  <c r="O35" i="10"/>
  <c r="P35" i="10"/>
  <c r="Q35" i="10"/>
  <c r="M36" i="10"/>
  <c r="N36" i="10"/>
  <c r="O36" i="10"/>
  <c r="P36" i="10"/>
  <c r="Q36" i="10"/>
  <c r="M37" i="10"/>
  <c r="N37" i="10"/>
  <c r="O37" i="10"/>
  <c r="P37" i="10"/>
  <c r="Q37" i="10"/>
  <c r="M38" i="10"/>
  <c r="N38" i="10"/>
  <c r="O38" i="10"/>
  <c r="P38" i="10"/>
  <c r="Q38" i="10"/>
  <c r="M39" i="10"/>
  <c r="N39" i="10"/>
  <c r="O39" i="10"/>
  <c r="P39" i="10"/>
  <c r="Q39" i="10"/>
  <c r="M40" i="10"/>
  <c r="N40" i="10"/>
  <c r="O40" i="10"/>
  <c r="P40" i="10"/>
  <c r="Q40" i="10"/>
  <c r="M41" i="10"/>
  <c r="N41" i="10"/>
  <c r="O41" i="10"/>
  <c r="P41" i="10"/>
  <c r="Q41" i="10"/>
  <c r="M42" i="10"/>
  <c r="N42" i="10"/>
  <c r="O42" i="10"/>
  <c r="P42" i="10"/>
  <c r="Q42" i="10"/>
  <c r="M43" i="10"/>
  <c r="N43" i="10"/>
  <c r="O43" i="10"/>
  <c r="P43" i="10"/>
  <c r="Q43" i="10"/>
  <c r="M44" i="10"/>
  <c r="N44" i="10"/>
  <c r="O44" i="10"/>
  <c r="P44" i="10"/>
  <c r="Q44" i="10"/>
  <c r="M45" i="10"/>
  <c r="N45" i="10"/>
  <c r="O45" i="10"/>
  <c r="P45" i="10"/>
  <c r="Q45" i="10"/>
  <c r="M46" i="10"/>
  <c r="N46" i="10"/>
  <c r="O46" i="10"/>
  <c r="P46" i="10"/>
  <c r="Q46" i="10"/>
  <c r="M47" i="10"/>
  <c r="N47" i="10"/>
  <c r="O47" i="10"/>
  <c r="P47" i="10"/>
  <c r="Q47" i="10"/>
  <c r="M48" i="10"/>
  <c r="N48" i="10"/>
  <c r="O48" i="10"/>
  <c r="P48" i="10"/>
  <c r="Q48" i="10"/>
  <c r="M49" i="10"/>
  <c r="N49" i="10"/>
  <c r="O49" i="10"/>
  <c r="P49" i="10"/>
  <c r="Q49" i="10"/>
  <c r="M50" i="10"/>
  <c r="N50" i="10"/>
  <c r="O50" i="10"/>
  <c r="P50" i="10"/>
  <c r="Q50" i="10"/>
  <c r="M51" i="10"/>
  <c r="N51" i="10"/>
  <c r="O51" i="10"/>
  <c r="P51" i="10"/>
  <c r="Q51" i="10"/>
  <c r="M52" i="10"/>
  <c r="N52" i="10"/>
  <c r="O52" i="10"/>
  <c r="P52" i="10"/>
  <c r="Q52" i="10"/>
  <c r="M53" i="10"/>
  <c r="N53" i="10"/>
  <c r="O53" i="10"/>
  <c r="P53" i="10"/>
  <c r="Q53" i="10"/>
  <c r="M54" i="10"/>
  <c r="N54" i="10"/>
  <c r="O54" i="10"/>
  <c r="P54" i="10"/>
  <c r="Q54" i="10"/>
  <c r="M55" i="10"/>
  <c r="N55" i="10"/>
  <c r="O55" i="10"/>
  <c r="P55" i="10"/>
  <c r="Q55" i="10"/>
  <c r="M56" i="10"/>
  <c r="N56" i="10"/>
  <c r="O56" i="10"/>
  <c r="P56" i="10"/>
  <c r="Q56" i="10"/>
  <c r="M57" i="10"/>
  <c r="N57" i="10"/>
  <c r="O57" i="10"/>
  <c r="P57" i="10"/>
  <c r="Q57" i="10"/>
  <c r="M58" i="10"/>
  <c r="N58" i="10"/>
  <c r="O58" i="10"/>
  <c r="P58" i="10"/>
  <c r="Q58" i="10"/>
  <c r="M59" i="10"/>
  <c r="N59" i="10"/>
  <c r="O59" i="10"/>
  <c r="P59" i="10"/>
  <c r="Q59" i="10"/>
  <c r="M60" i="10"/>
  <c r="N60" i="10"/>
  <c r="O60" i="10"/>
  <c r="P60" i="10"/>
  <c r="Q60" i="10"/>
  <c r="M61" i="10"/>
  <c r="N61" i="10"/>
  <c r="O61" i="10"/>
  <c r="P61" i="10"/>
  <c r="Q61" i="10"/>
  <c r="M62" i="10"/>
  <c r="N62" i="10"/>
  <c r="O62" i="10"/>
  <c r="P62" i="10"/>
  <c r="Q62" i="10"/>
  <c r="M63" i="10"/>
  <c r="N63" i="10"/>
  <c r="O63" i="10"/>
  <c r="P63" i="10"/>
  <c r="Q63" i="10"/>
  <c r="M64" i="10"/>
  <c r="N64" i="10"/>
  <c r="O64" i="10"/>
  <c r="P64" i="10"/>
  <c r="Q64" i="10"/>
  <c r="M65" i="10"/>
  <c r="N65" i="10"/>
  <c r="O65" i="10"/>
  <c r="P65" i="10"/>
  <c r="Q65" i="10"/>
  <c r="M66" i="10"/>
  <c r="N66" i="10"/>
  <c r="O66" i="10"/>
  <c r="P66" i="10"/>
  <c r="Q66" i="10"/>
  <c r="M67" i="10"/>
  <c r="N67" i="10"/>
  <c r="O67" i="10"/>
  <c r="P67" i="10"/>
  <c r="Q67" i="10"/>
  <c r="M68" i="10"/>
  <c r="N68" i="10"/>
  <c r="O68" i="10"/>
  <c r="P68" i="10"/>
  <c r="Q68" i="10"/>
  <c r="M69" i="10"/>
  <c r="N69" i="10"/>
  <c r="O69" i="10"/>
  <c r="P69" i="10"/>
  <c r="Q69" i="10"/>
  <c r="M70" i="10"/>
  <c r="N70" i="10"/>
  <c r="O70" i="10"/>
  <c r="P70" i="10"/>
  <c r="Q70" i="10"/>
  <c r="M71" i="10"/>
  <c r="N71" i="10"/>
  <c r="O71" i="10"/>
  <c r="P71" i="10"/>
  <c r="Q71" i="10"/>
  <c r="M72" i="10"/>
  <c r="N72" i="10"/>
  <c r="O72" i="10"/>
  <c r="P72" i="10"/>
  <c r="Q72" i="10"/>
  <c r="M73" i="10"/>
  <c r="N73" i="10"/>
  <c r="O73" i="10"/>
  <c r="P73" i="10"/>
  <c r="Q73" i="10"/>
  <c r="M74" i="10"/>
  <c r="N74" i="10"/>
  <c r="O74" i="10"/>
  <c r="P74" i="10"/>
  <c r="Q74" i="10"/>
  <c r="M75" i="10"/>
  <c r="N75" i="10"/>
  <c r="O75" i="10"/>
  <c r="P75" i="10"/>
  <c r="Q75" i="10"/>
  <c r="M76" i="10"/>
  <c r="N76" i="10"/>
  <c r="O76" i="10"/>
  <c r="P76" i="10"/>
  <c r="Q76" i="10"/>
  <c r="M77" i="10"/>
  <c r="N77" i="10"/>
  <c r="O77" i="10"/>
  <c r="P77" i="10"/>
  <c r="Q77" i="10"/>
  <c r="M78" i="10"/>
  <c r="N78" i="10"/>
  <c r="O78" i="10"/>
  <c r="P78" i="10"/>
  <c r="Q78" i="10"/>
  <c r="M79" i="10"/>
  <c r="N79" i="10"/>
  <c r="O79" i="10"/>
  <c r="P79" i="10"/>
  <c r="Q79" i="10"/>
  <c r="M80" i="10"/>
  <c r="N80" i="10"/>
  <c r="O80" i="10"/>
  <c r="P80" i="10"/>
  <c r="Q80" i="10"/>
  <c r="M81" i="10"/>
  <c r="N81" i="10"/>
  <c r="O81" i="10"/>
  <c r="P81" i="10"/>
  <c r="Q81" i="10"/>
  <c r="M82" i="10"/>
  <c r="N82" i="10"/>
  <c r="O82" i="10"/>
  <c r="P82" i="10"/>
  <c r="Q82" i="10"/>
  <c r="M83" i="10"/>
  <c r="N83" i="10"/>
  <c r="O83" i="10"/>
  <c r="P83" i="10"/>
  <c r="Q83" i="10"/>
  <c r="M84" i="10"/>
  <c r="N84" i="10"/>
  <c r="O84" i="10"/>
  <c r="P84" i="10"/>
  <c r="Q84" i="10"/>
  <c r="M85" i="10"/>
  <c r="N85" i="10"/>
  <c r="O85" i="10"/>
  <c r="P85" i="10"/>
  <c r="Q85" i="10"/>
  <c r="M86" i="10"/>
  <c r="N86" i="10"/>
  <c r="O86" i="10"/>
  <c r="P86" i="10"/>
  <c r="Q86" i="10"/>
  <c r="M87" i="10"/>
  <c r="N87" i="10"/>
  <c r="O87" i="10"/>
  <c r="P87" i="10"/>
  <c r="Q87" i="10"/>
  <c r="M88" i="10"/>
  <c r="N88" i="10"/>
  <c r="O88" i="10"/>
  <c r="P88" i="10"/>
  <c r="Q88" i="10"/>
  <c r="M89" i="10"/>
  <c r="N89" i="10"/>
  <c r="O89" i="10"/>
  <c r="P89" i="10"/>
  <c r="Q89" i="10"/>
  <c r="M90" i="10"/>
  <c r="N90" i="10"/>
  <c r="O90" i="10"/>
  <c r="P90" i="10"/>
  <c r="Q90" i="10"/>
  <c r="M91" i="10"/>
  <c r="N91" i="10"/>
  <c r="O91" i="10"/>
  <c r="P91" i="10"/>
  <c r="Q91" i="10"/>
  <c r="M92" i="10"/>
  <c r="N92" i="10"/>
  <c r="O92" i="10"/>
  <c r="P92" i="10"/>
  <c r="Q92" i="10"/>
  <c r="M93" i="10"/>
  <c r="N93" i="10"/>
  <c r="O93" i="10"/>
  <c r="P93" i="10"/>
  <c r="Q93" i="10"/>
  <c r="M94" i="10"/>
  <c r="N94" i="10"/>
  <c r="O94" i="10"/>
  <c r="P94" i="10"/>
  <c r="Q94" i="10"/>
  <c r="M95" i="10"/>
  <c r="N95" i="10"/>
  <c r="O95" i="10"/>
  <c r="P95" i="10"/>
  <c r="Q95" i="10"/>
  <c r="M96" i="10"/>
  <c r="N96" i="10"/>
  <c r="O96" i="10"/>
  <c r="P96" i="10"/>
  <c r="Q96" i="10"/>
  <c r="M97" i="10"/>
  <c r="N97" i="10"/>
  <c r="O97" i="10"/>
  <c r="P97" i="10"/>
  <c r="Q97" i="10"/>
  <c r="M98" i="10"/>
  <c r="N98" i="10"/>
  <c r="O98" i="10"/>
  <c r="P98" i="10"/>
  <c r="Q98" i="10"/>
  <c r="M99" i="10"/>
  <c r="N99" i="10"/>
  <c r="O99" i="10"/>
  <c r="P99" i="10"/>
  <c r="Q99" i="10"/>
  <c r="M100" i="10"/>
  <c r="N100" i="10"/>
  <c r="O100" i="10"/>
  <c r="P100" i="10"/>
  <c r="Q100" i="10"/>
  <c r="M101" i="10"/>
  <c r="N101" i="10"/>
  <c r="O101" i="10"/>
  <c r="P101" i="10"/>
  <c r="Q101" i="10"/>
  <c r="M102" i="10"/>
  <c r="N102" i="10"/>
  <c r="O102" i="10"/>
  <c r="P102" i="10"/>
  <c r="Q102" i="10"/>
  <c r="M103" i="10"/>
  <c r="N103" i="10"/>
  <c r="O103" i="10"/>
  <c r="P103" i="10"/>
  <c r="Q103" i="10"/>
  <c r="M104" i="10"/>
  <c r="N104" i="10"/>
  <c r="O104" i="10"/>
  <c r="P104" i="10"/>
  <c r="Q104" i="10"/>
  <c r="M105" i="10"/>
  <c r="N105" i="10"/>
  <c r="O105" i="10"/>
  <c r="P105" i="10"/>
  <c r="Q105" i="10"/>
  <c r="M106" i="10"/>
  <c r="N106" i="10"/>
  <c r="O106" i="10"/>
  <c r="P106" i="10"/>
  <c r="Q106" i="10"/>
  <c r="M107" i="10"/>
  <c r="N107" i="10"/>
  <c r="O107" i="10"/>
  <c r="P107" i="10"/>
  <c r="Q107" i="10"/>
  <c r="M108" i="10"/>
  <c r="N108" i="10"/>
  <c r="O108" i="10"/>
  <c r="P108" i="10"/>
  <c r="Q108" i="10"/>
  <c r="M109" i="10"/>
  <c r="N109" i="10"/>
  <c r="O109" i="10"/>
  <c r="P109" i="10"/>
  <c r="Q109" i="10"/>
  <c r="M110" i="10"/>
  <c r="N110" i="10"/>
  <c r="O110" i="10"/>
  <c r="P110" i="10"/>
  <c r="Q110" i="10"/>
  <c r="M111" i="10"/>
  <c r="N111" i="10"/>
  <c r="O111" i="10"/>
  <c r="P111" i="10"/>
  <c r="Q111" i="10"/>
  <c r="M112" i="10"/>
  <c r="N112" i="10"/>
  <c r="O112" i="10"/>
  <c r="P112" i="10"/>
  <c r="Q112" i="10"/>
  <c r="M113" i="10"/>
  <c r="N113" i="10"/>
  <c r="O113" i="10"/>
  <c r="P113" i="10"/>
  <c r="Q113" i="10"/>
  <c r="M114" i="10"/>
  <c r="N114" i="10"/>
  <c r="O114" i="10"/>
  <c r="P114" i="10"/>
  <c r="Q114" i="10"/>
  <c r="M115" i="10"/>
  <c r="N115" i="10"/>
  <c r="O115" i="10"/>
  <c r="P115" i="10"/>
  <c r="Q115" i="10"/>
  <c r="M116" i="10"/>
  <c r="N116" i="10"/>
  <c r="O116" i="10"/>
  <c r="P116" i="10"/>
  <c r="Q116" i="10"/>
  <c r="M117" i="10"/>
  <c r="N117" i="10"/>
  <c r="O117" i="10"/>
  <c r="P117" i="10"/>
  <c r="Q117" i="10"/>
  <c r="M118" i="10"/>
  <c r="N118" i="10"/>
  <c r="O118" i="10"/>
  <c r="P118" i="10"/>
  <c r="Q118" i="10"/>
  <c r="M119" i="10"/>
  <c r="N119" i="10"/>
  <c r="O119" i="10"/>
  <c r="P119" i="10"/>
  <c r="Q119" i="10"/>
  <c r="M120" i="10"/>
  <c r="N120" i="10"/>
  <c r="O120" i="10"/>
  <c r="P120" i="10"/>
  <c r="Q120" i="10"/>
  <c r="M121" i="10"/>
  <c r="N121" i="10"/>
  <c r="O121" i="10"/>
  <c r="P121" i="10"/>
  <c r="Q121" i="10"/>
  <c r="M122" i="10"/>
  <c r="N122" i="10"/>
  <c r="O122" i="10"/>
  <c r="P122" i="10"/>
  <c r="Q122" i="10"/>
  <c r="M123" i="10"/>
  <c r="N123" i="10"/>
  <c r="O123" i="10"/>
  <c r="P123" i="10"/>
  <c r="Q123" i="10"/>
  <c r="M124" i="10"/>
  <c r="N124" i="10"/>
  <c r="O124" i="10"/>
  <c r="P124" i="10"/>
  <c r="Q124" i="10"/>
  <c r="M125" i="10"/>
  <c r="N125" i="10"/>
  <c r="O125" i="10"/>
  <c r="P125" i="10"/>
  <c r="Q125" i="10"/>
  <c r="M126" i="10"/>
  <c r="N126" i="10"/>
  <c r="O126" i="10"/>
  <c r="P126" i="10"/>
  <c r="Q126" i="10"/>
  <c r="M127" i="10"/>
  <c r="N127" i="10"/>
  <c r="O127" i="10"/>
  <c r="P127" i="10"/>
  <c r="Q127" i="10"/>
  <c r="M128" i="10"/>
  <c r="N128" i="10"/>
  <c r="O128" i="10"/>
  <c r="P128" i="10"/>
  <c r="Q128" i="10"/>
  <c r="M129" i="10"/>
  <c r="N129" i="10"/>
  <c r="O129" i="10"/>
  <c r="P129" i="10"/>
  <c r="Q129" i="10"/>
  <c r="M130" i="10"/>
  <c r="N130" i="10"/>
  <c r="O130" i="10"/>
  <c r="P130" i="10"/>
  <c r="Q130" i="10"/>
  <c r="M131" i="10"/>
  <c r="N131" i="10"/>
  <c r="O131" i="10"/>
  <c r="P131" i="10"/>
  <c r="Q131" i="10"/>
  <c r="M132" i="10"/>
  <c r="N132" i="10"/>
  <c r="O132" i="10"/>
  <c r="P132" i="10"/>
  <c r="Q132" i="10"/>
  <c r="M133" i="10"/>
  <c r="N133" i="10"/>
  <c r="O133" i="10"/>
  <c r="P133" i="10"/>
  <c r="Q133" i="10"/>
  <c r="M134" i="10"/>
  <c r="N134" i="10"/>
  <c r="O134" i="10"/>
  <c r="P134" i="10"/>
  <c r="Q134" i="10"/>
  <c r="M135" i="10"/>
  <c r="N135" i="10"/>
  <c r="O135" i="10"/>
  <c r="P135" i="10"/>
  <c r="Q135" i="10"/>
  <c r="M136" i="10"/>
  <c r="N136" i="10"/>
  <c r="O136" i="10"/>
  <c r="P136" i="10"/>
  <c r="Q136" i="10"/>
  <c r="M137" i="10"/>
  <c r="N137" i="10"/>
  <c r="O137" i="10"/>
  <c r="P137" i="10"/>
  <c r="Q137" i="10"/>
  <c r="M138" i="10"/>
  <c r="N138" i="10"/>
  <c r="O138" i="10"/>
  <c r="P138" i="10"/>
  <c r="Q138" i="10"/>
  <c r="M139" i="10"/>
  <c r="N139" i="10"/>
  <c r="O139" i="10"/>
  <c r="P139" i="10"/>
  <c r="Q139" i="10"/>
  <c r="M140" i="10"/>
  <c r="N140" i="10"/>
  <c r="O140" i="10"/>
  <c r="P140" i="10"/>
  <c r="Q140" i="10"/>
  <c r="M141" i="10"/>
  <c r="N141" i="10"/>
  <c r="O141" i="10"/>
  <c r="P141" i="10"/>
  <c r="Q141" i="10"/>
  <c r="M142" i="10"/>
  <c r="N142" i="10"/>
  <c r="O142" i="10"/>
  <c r="P142" i="10"/>
  <c r="Q142" i="10"/>
  <c r="M143" i="10"/>
  <c r="N143" i="10"/>
  <c r="O143" i="10"/>
  <c r="P143" i="10"/>
  <c r="Q143" i="10"/>
  <c r="M144" i="10"/>
  <c r="N144" i="10"/>
  <c r="O144" i="10"/>
  <c r="P144" i="10"/>
  <c r="Q144" i="10"/>
  <c r="M145" i="10"/>
  <c r="N145" i="10"/>
  <c r="O145" i="10"/>
  <c r="P145" i="10"/>
  <c r="Q145" i="10"/>
  <c r="M146" i="10"/>
  <c r="N146" i="10"/>
  <c r="O146" i="10"/>
  <c r="P146" i="10"/>
  <c r="Q146" i="10"/>
  <c r="M147" i="10"/>
  <c r="N147" i="10"/>
  <c r="O147" i="10"/>
  <c r="P147" i="10"/>
  <c r="Q147" i="10"/>
  <c r="M148" i="10"/>
  <c r="N148" i="10"/>
  <c r="O148" i="10"/>
  <c r="P148" i="10"/>
  <c r="Q148" i="10"/>
  <c r="M149" i="10"/>
  <c r="N149" i="10"/>
  <c r="O149" i="10"/>
  <c r="P149" i="10"/>
  <c r="Q149" i="10"/>
  <c r="M150" i="10"/>
  <c r="N150" i="10"/>
  <c r="O150" i="10"/>
  <c r="P150" i="10"/>
  <c r="Q150" i="10"/>
  <c r="M151" i="10"/>
  <c r="N151" i="10"/>
  <c r="O151" i="10"/>
  <c r="P151" i="10"/>
  <c r="Q151" i="10"/>
  <c r="M152" i="10"/>
  <c r="N152" i="10"/>
  <c r="O152" i="10"/>
  <c r="P152" i="10"/>
  <c r="Q152" i="10"/>
  <c r="M153" i="10"/>
  <c r="N153" i="10"/>
  <c r="O153" i="10"/>
  <c r="P153" i="10"/>
  <c r="Q153" i="10"/>
  <c r="M154" i="10"/>
  <c r="N154" i="10"/>
  <c r="O154" i="10"/>
  <c r="P154" i="10"/>
  <c r="Q154" i="10"/>
  <c r="M155" i="10"/>
  <c r="N155" i="10"/>
  <c r="O155" i="10"/>
  <c r="P155" i="10"/>
  <c r="Q155" i="10"/>
  <c r="M156" i="10"/>
  <c r="N156" i="10"/>
  <c r="O156" i="10"/>
  <c r="P156" i="10"/>
  <c r="Q156" i="10"/>
  <c r="M157" i="10"/>
  <c r="N157" i="10"/>
  <c r="O157" i="10"/>
  <c r="P157" i="10"/>
  <c r="Q157" i="10"/>
  <c r="M158" i="10"/>
  <c r="N158" i="10"/>
  <c r="O158" i="10"/>
  <c r="P158" i="10"/>
  <c r="Q158" i="10"/>
  <c r="M159" i="10"/>
  <c r="N159" i="10"/>
  <c r="O159" i="10"/>
  <c r="P159" i="10"/>
  <c r="Q159" i="10"/>
  <c r="M160" i="10"/>
  <c r="N160" i="10"/>
  <c r="O160" i="10"/>
  <c r="P160" i="10"/>
  <c r="Q160" i="10"/>
  <c r="M161" i="10"/>
  <c r="N161" i="10"/>
  <c r="O161" i="10"/>
  <c r="P161" i="10"/>
  <c r="Q161" i="10"/>
  <c r="M162" i="10"/>
  <c r="N162" i="10"/>
  <c r="O162" i="10"/>
  <c r="P162" i="10"/>
  <c r="Q162" i="10"/>
  <c r="M163" i="10"/>
  <c r="N163" i="10"/>
  <c r="O163" i="10"/>
  <c r="P163" i="10"/>
  <c r="Q163" i="10"/>
  <c r="M164" i="10"/>
  <c r="N164" i="10"/>
  <c r="O164" i="10"/>
  <c r="P164" i="10"/>
  <c r="Q164" i="10"/>
  <c r="M165" i="10"/>
  <c r="N165" i="10"/>
  <c r="O165" i="10"/>
  <c r="P165" i="10"/>
  <c r="Q165" i="10"/>
  <c r="M166" i="10"/>
  <c r="N166" i="10"/>
  <c r="O166" i="10"/>
  <c r="P166" i="10"/>
  <c r="Q166" i="10"/>
  <c r="M167" i="10"/>
  <c r="N167" i="10"/>
  <c r="O167" i="10"/>
  <c r="P167" i="10"/>
  <c r="Q167" i="10"/>
  <c r="M168" i="10"/>
  <c r="N168" i="10"/>
  <c r="O168" i="10"/>
  <c r="P168" i="10"/>
  <c r="Q168" i="10"/>
  <c r="M169" i="10"/>
  <c r="N169" i="10"/>
  <c r="O169" i="10"/>
  <c r="P169" i="10"/>
  <c r="Q169" i="10"/>
  <c r="M170" i="10"/>
  <c r="N170" i="10"/>
  <c r="O170" i="10"/>
  <c r="P170" i="10"/>
  <c r="Q170" i="10"/>
  <c r="M171" i="10"/>
  <c r="N171" i="10"/>
  <c r="O171" i="10"/>
  <c r="P171" i="10"/>
  <c r="Q171" i="10"/>
  <c r="M172" i="10"/>
  <c r="N172" i="10"/>
  <c r="O172" i="10"/>
  <c r="P172" i="10"/>
  <c r="Q172" i="10"/>
  <c r="M173" i="10"/>
  <c r="N173" i="10"/>
  <c r="O173" i="10"/>
  <c r="P173" i="10"/>
  <c r="Q173" i="10"/>
  <c r="M174" i="10"/>
  <c r="N174" i="10"/>
  <c r="O174" i="10"/>
  <c r="P174" i="10"/>
  <c r="Q174" i="10"/>
  <c r="M175" i="10"/>
  <c r="N175" i="10"/>
  <c r="O175" i="10"/>
  <c r="P175" i="10"/>
  <c r="Q175" i="10"/>
  <c r="M176" i="10"/>
  <c r="N176" i="10"/>
  <c r="O176" i="10"/>
  <c r="P176" i="10"/>
  <c r="Q176" i="10"/>
  <c r="M177" i="10"/>
  <c r="N177" i="10"/>
  <c r="O177" i="10"/>
  <c r="P177" i="10"/>
  <c r="Q177" i="10"/>
  <c r="M178" i="10"/>
  <c r="N178" i="10"/>
  <c r="O178" i="10"/>
  <c r="P178" i="10"/>
  <c r="Q178" i="10"/>
  <c r="M179" i="10"/>
  <c r="N179" i="10"/>
  <c r="O179" i="10"/>
  <c r="P179" i="10"/>
  <c r="Q179" i="10"/>
  <c r="M180" i="10"/>
  <c r="N180" i="10"/>
  <c r="O180" i="10"/>
  <c r="P180" i="10"/>
  <c r="Q180" i="10"/>
  <c r="M181" i="10"/>
  <c r="N181" i="10"/>
  <c r="O181" i="10"/>
  <c r="P181" i="10"/>
  <c r="Q181" i="10"/>
  <c r="M182" i="10"/>
  <c r="N182" i="10"/>
  <c r="O182" i="10"/>
  <c r="P182" i="10"/>
  <c r="Q182" i="10"/>
  <c r="M183" i="10"/>
  <c r="N183" i="10"/>
  <c r="O183" i="10"/>
  <c r="P183" i="10"/>
  <c r="Q183" i="10"/>
  <c r="M184" i="10"/>
  <c r="N184" i="10"/>
  <c r="O184" i="10"/>
  <c r="P184" i="10"/>
  <c r="Q184" i="10"/>
  <c r="M185" i="10"/>
  <c r="N185" i="10"/>
  <c r="O185" i="10"/>
  <c r="P185" i="10"/>
  <c r="Q185" i="10"/>
  <c r="M186" i="10"/>
  <c r="N186" i="10"/>
  <c r="O186" i="10"/>
  <c r="P186" i="10"/>
  <c r="Q186" i="10"/>
  <c r="M187" i="10"/>
  <c r="N187" i="10"/>
  <c r="O187" i="10"/>
  <c r="P187" i="10"/>
  <c r="Q187" i="10"/>
  <c r="M188" i="10"/>
  <c r="N188" i="10"/>
  <c r="O188" i="10"/>
  <c r="P188" i="10"/>
  <c r="Q188" i="10"/>
  <c r="M189" i="10"/>
  <c r="N189" i="10"/>
  <c r="O189" i="10"/>
  <c r="P189" i="10"/>
  <c r="Q189" i="10"/>
  <c r="M190" i="10"/>
  <c r="N190" i="10"/>
  <c r="O190" i="10"/>
  <c r="P190" i="10"/>
  <c r="Q190" i="10"/>
  <c r="M191" i="10"/>
  <c r="N191" i="10"/>
  <c r="O191" i="10"/>
  <c r="P191" i="10"/>
  <c r="Q191" i="10"/>
  <c r="M192" i="10"/>
  <c r="N192" i="10"/>
  <c r="O192" i="10"/>
  <c r="P192" i="10"/>
  <c r="Q192" i="10"/>
  <c r="M193" i="10"/>
  <c r="N193" i="10"/>
  <c r="O193" i="10"/>
  <c r="P193" i="10"/>
  <c r="Q193" i="10"/>
  <c r="M194" i="10"/>
  <c r="N194" i="10"/>
  <c r="O194" i="10"/>
  <c r="P194" i="10"/>
  <c r="Q194" i="10"/>
  <c r="M195" i="10"/>
  <c r="N195" i="10"/>
  <c r="O195" i="10"/>
  <c r="P195" i="10"/>
  <c r="Q195" i="10"/>
  <c r="M196" i="10"/>
  <c r="N196" i="10"/>
  <c r="O196" i="10"/>
  <c r="P196" i="10"/>
  <c r="Q196" i="10"/>
  <c r="M197" i="10"/>
  <c r="N197" i="10"/>
  <c r="O197" i="10"/>
  <c r="P197" i="10"/>
  <c r="Q197" i="10"/>
  <c r="M198" i="10"/>
  <c r="N198" i="10"/>
  <c r="O198" i="10"/>
  <c r="P198" i="10"/>
  <c r="Q198" i="10"/>
  <c r="M199" i="10"/>
  <c r="N199" i="10"/>
  <c r="O199" i="10"/>
  <c r="P199" i="10"/>
  <c r="Q199" i="10"/>
  <c r="M200" i="10"/>
  <c r="N200" i="10"/>
  <c r="O200" i="10"/>
  <c r="P200" i="10"/>
  <c r="Q200" i="10"/>
  <c r="M201" i="10"/>
  <c r="N201" i="10"/>
  <c r="O201" i="10"/>
  <c r="P201" i="10"/>
  <c r="Q201" i="10"/>
  <c r="M202" i="10"/>
  <c r="N202" i="10"/>
  <c r="O202" i="10"/>
  <c r="P202" i="10"/>
  <c r="Q202" i="10"/>
  <c r="M203" i="10"/>
  <c r="N203" i="10"/>
  <c r="O203" i="10"/>
  <c r="P203" i="10"/>
  <c r="Q203" i="10"/>
  <c r="M204" i="10"/>
  <c r="N204" i="10"/>
  <c r="O204" i="10"/>
  <c r="P204" i="10"/>
  <c r="Q204" i="10"/>
  <c r="M205" i="10"/>
  <c r="N205" i="10"/>
  <c r="O205" i="10"/>
  <c r="P205" i="10"/>
  <c r="Q205" i="10"/>
  <c r="M206" i="10"/>
  <c r="N206" i="10"/>
  <c r="O206" i="10"/>
  <c r="P206" i="10"/>
  <c r="Q206" i="10"/>
  <c r="M207" i="10"/>
  <c r="N207" i="10"/>
  <c r="O207" i="10"/>
  <c r="P207" i="10"/>
  <c r="Q207" i="10"/>
  <c r="M208" i="10"/>
  <c r="N208" i="10"/>
  <c r="O208" i="10"/>
  <c r="P208" i="10"/>
  <c r="Q208" i="10"/>
  <c r="M209" i="10"/>
  <c r="N209" i="10"/>
  <c r="O209" i="10"/>
  <c r="P209" i="10"/>
  <c r="Q209" i="10"/>
  <c r="M210" i="10"/>
  <c r="N210" i="10"/>
  <c r="O210" i="10"/>
  <c r="P210" i="10"/>
  <c r="Q210" i="10"/>
  <c r="M211" i="10"/>
  <c r="N211" i="10"/>
  <c r="O211" i="10"/>
  <c r="P211" i="10"/>
  <c r="Q211" i="10"/>
  <c r="M212" i="10"/>
  <c r="N212" i="10"/>
  <c r="O212" i="10"/>
  <c r="P212" i="10"/>
  <c r="Q212" i="10"/>
  <c r="M213" i="10"/>
  <c r="N213" i="10"/>
  <c r="O213" i="10"/>
  <c r="P213" i="10"/>
  <c r="Q213" i="10"/>
  <c r="M214" i="10"/>
  <c r="N214" i="10"/>
  <c r="O214" i="10"/>
  <c r="P214" i="10"/>
  <c r="Q214" i="10"/>
  <c r="M215" i="10"/>
  <c r="N215" i="10"/>
  <c r="O215" i="10"/>
  <c r="P215" i="10"/>
  <c r="Q215" i="10"/>
  <c r="M216" i="10"/>
  <c r="N216" i="10"/>
  <c r="O216" i="10"/>
  <c r="P216" i="10"/>
  <c r="Q216" i="10"/>
  <c r="M217" i="10"/>
  <c r="N217" i="10"/>
  <c r="O217" i="10"/>
  <c r="P217" i="10"/>
  <c r="Q217" i="10"/>
  <c r="M218" i="10"/>
  <c r="N218" i="10"/>
  <c r="O218" i="10"/>
  <c r="P218" i="10"/>
  <c r="Q218" i="10"/>
  <c r="M219" i="10"/>
  <c r="N219" i="10"/>
  <c r="O219" i="10"/>
  <c r="P219" i="10"/>
  <c r="Q219" i="10"/>
  <c r="M220" i="10"/>
  <c r="N220" i="10"/>
  <c r="O220" i="10"/>
  <c r="P220" i="10"/>
  <c r="Q220" i="10"/>
  <c r="M221" i="10"/>
  <c r="N221" i="10"/>
  <c r="O221" i="10"/>
  <c r="P221" i="10"/>
  <c r="Q221" i="10"/>
  <c r="M222" i="10"/>
  <c r="N222" i="10"/>
  <c r="O222" i="10"/>
  <c r="P222" i="10"/>
  <c r="Q222" i="10"/>
  <c r="M223" i="10"/>
  <c r="N223" i="10"/>
  <c r="O223" i="10"/>
  <c r="P223" i="10"/>
  <c r="Q223" i="10"/>
  <c r="M224" i="10"/>
  <c r="N224" i="10"/>
  <c r="O224" i="10"/>
  <c r="P224" i="10"/>
  <c r="Q224" i="10"/>
  <c r="M225" i="10"/>
  <c r="N225" i="10"/>
  <c r="O225" i="10"/>
  <c r="P225" i="10"/>
  <c r="Q225" i="10"/>
  <c r="M226" i="10"/>
  <c r="N226" i="10"/>
  <c r="O226" i="10"/>
  <c r="P226" i="10"/>
  <c r="Q226" i="10"/>
  <c r="M227" i="10"/>
  <c r="N227" i="10"/>
  <c r="O227" i="10"/>
  <c r="P227" i="10"/>
  <c r="Q227" i="10"/>
  <c r="M228" i="10"/>
  <c r="N228" i="10"/>
  <c r="O228" i="10"/>
  <c r="P228" i="10"/>
  <c r="Q228" i="10"/>
  <c r="M229" i="10"/>
  <c r="N229" i="10"/>
  <c r="O229" i="10"/>
  <c r="P229" i="10"/>
  <c r="Q229" i="10"/>
  <c r="M230" i="10"/>
  <c r="N230" i="10"/>
  <c r="O230" i="10"/>
  <c r="P230" i="10"/>
  <c r="Q230" i="10"/>
  <c r="M231" i="10"/>
  <c r="N231" i="10"/>
  <c r="O231" i="10"/>
  <c r="P231" i="10"/>
  <c r="Q231" i="10"/>
  <c r="M232" i="10"/>
  <c r="N232" i="10"/>
  <c r="O232" i="10"/>
  <c r="P232" i="10"/>
  <c r="Q232" i="10"/>
  <c r="M233" i="10"/>
  <c r="N233" i="10"/>
  <c r="O233" i="10"/>
  <c r="P233" i="10"/>
  <c r="Q233" i="10"/>
  <c r="M234" i="10"/>
  <c r="N234" i="10"/>
  <c r="O234" i="10"/>
  <c r="P234" i="10"/>
  <c r="Q234" i="10"/>
  <c r="M235" i="10"/>
  <c r="N235" i="10"/>
  <c r="O235" i="10"/>
  <c r="P235" i="10"/>
  <c r="Q235" i="10"/>
  <c r="M236" i="10"/>
  <c r="N236" i="10"/>
  <c r="O236" i="10"/>
  <c r="P236" i="10"/>
  <c r="Q236" i="10"/>
  <c r="M237" i="10"/>
  <c r="N237" i="10"/>
  <c r="O237" i="10"/>
  <c r="P237" i="10"/>
  <c r="Q237" i="10"/>
  <c r="M238" i="10"/>
  <c r="N238" i="10"/>
  <c r="O238" i="10"/>
  <c r="P238" i="10"/>
  <c r="Q238" i="10"/>
  <c r="M239" i="10"/>
  <c r="N239" i="10"/>
  <c r="O239" i="10"/>
  <c r="P239" i="10"/>
  <c r="Q239" i="10"/>
  <c r="M240" i="10"/>
  <c r="N240" i="10"/>
  <c r="O240" i="10"/>
  <c r="P240" i="10"/>
  <c r="Q240" i="10"/>
  <c r="M241" i="10"/>
  <c r="N241" i="10"/>
  <c r="O241" i="10"/>
  <c r="P241" i="10"/>
  <c r="Q241" i="10"/>
  <c r="M242" i="10"/>
  <c r="N242" i="10"/>
  <c r="O242" i="10"/>
  <c r="P242" i="10"/>
  <c r="Q242" i="10"/>
  <c r="M243" i="10"/>
  <c r="N243" i="10"/>
  <c r="O243" i="10"/>
  <c r="P243" i="10"/>
  <c r="Q243" i="10"/>
  <c r="M244" i="10"/>
  <c r="N244" i="10"/>
  <c r="O244" i="10"/>
  <c r="P244" i="10"/>
  <c r="Q244" i="10"/>
  <c r="M245" i="10"/>
  <c r="N245" i="10"/>
  <c r="O245" i="10"/>
  <c r="P245" i="10"/>
  <c r="Q245" i="10"/>
  <c r="M246" i="10"/>
  <c r="N246" i="10"/>
  <c r="O246" i="10"/>
  <c r="P246" i="10"/>
  <c r="Q246" i="10"/>
  <c r="M247" i="10"/>
  <c r="N247" i="10"/>
  <c r="O247" i="10"/>
  <c r="P247" i="10"/>
  <c r="Q247" i="10"/>
  <c r="M248" i="10"/>
  <c r="N248" i="10"/>
  <c r="O248" i="10"/>
  <c r="P248" i="10"/>
  <c r="Q248" i="10"/>
  <c r="M249" i="10"/>
  <c r="N249" i="10"/>
  <c r="O249" i="10"/>
  <c r="P249" i="10"/>
  <c r="Q249" i="10"/>
  <c r="M250" i="10"/>
  <c r="N250" i="10"/>
  <c r="O250" i="10"/>
  <c r="P250" i="10"/>
  <c r="Q250" i="10"/>
  <c r="M251" i="10"/>
  <c r="N251" i="10"/>
  <c r="O251" i="10"/>
  <c r="P251" i="10"/>
  <c r="Q251" i="10"/>
  <c r="M252" i="10"/>
  <c r="N252" i="10"/>
  <c r="O252" i="10"/>
  <c r="P252" i="10"/>
  <c r="Q252" i="10"/>
  <c r="M253" i="10"/>
  <c r="N253" i="10"/>
  <c r="O253" i="10"/>
  <c r="P253" i="10"/>
  <c r="Q253" i="10"/>
  <c r="M254" i="10"/>
  <c r="N254" i="10"/>
  <c r="O254" i="10"/>
  <c r="P254" i="10"/>
  <c r="Q254" i="10"/>
  <c r="M255" i="10"/>
  <c r="N255" i="10"/>
  <c r="O255" i="10"/>
  <c r="P255" i="10"/>
  <c r="Q255" i="10"/>
  <c r="M256" i="10"/>
  <c r="N256" i="10"/>
  <c r="O256" i="10"/>
  <c r="P256" i="10"/>
  <c r="Q256" i="10"/>
  <c r="M257" i="10"/>
  <c r="N257" i="10"/>
  <c r="O257" i="10"/>
  <c r="P257" i="10"/>
  <c r="Q257" i="10"/>
  <c r="M258" i="10"/>
  <c r="N258" i="10"/>
  <c r="O258" i="10"/>
  <c r="P258" i="10"/>
  <c r="Q258" i="10"/>
  <c r="M259" i="10"/>
  <c r="N259" i="10"/>
  <c r="O259" i="10"/>
  <c r="P259" i="10"/>
  <c r="Q259" i="10"/>
  <c r="M260" i="10"/>
  <c r="N260" i="10"/>
  <c r="O260" i="10"/>
  <c r="P260" i="10"/>
  <c r="Q260" i="10"/>
  <c r="M261" i="10"/>
  <c r="N261" i="10"/>
  <c r="O261" i="10"/>
  <c r="P261" i="10"/>
  <c r="Q261" i="10"/>
  <c r="M262" i="10"/>
  <c r="N262" i="10"/>
  <c r="O262" i="10"/>
  <c r="P262" i="10"/>
  <c r="Q262" i="10"/>
  <c r="M263" i="10"/>
  <c r="N263" i="10"/>
  <c r="O263" i="10"/>
  <c r="P263" i="10"/>
  <c r="Q263" i="10"/>
  <c r="M264" i="10"/>
  <c r="N264" i="10"/>
  <c r="O264" i="10"/>
  <c r="P264" i="10"/>
  <c r="Q264" i="10"/>
  <c r="M265" i="10"/>
  <c r="N265" i="10"/>
  <c r="O265" i="10"/>
  <c r="P265" i="10"/>
  <c r="Q265" i="10"/>
  <c r="M266" i="10"/>
  <c r="N266" i="10"/>
  <c r="O266" i="10"/>
  <c r="P266" i="10"/>
  <c r="Q266" i="10"/>
  <c r="M267" i="10"/>
  <c r="N267" i="10"/>
  <c r="O267" i="10"/>
  <c r="P267" i="10"/>
  <c r="Q267" i="10"/>
  <c r="M268" i="10"/>
  <c r="N268" i="10"/>
  <c r="O268" i="10"/>
  <c r="P268" i="10"/>
  <c r="Q268" i="10"/>
  <c r="M269" i="10"/>
  <c r="N269" i="10"/>
  <c r="O269" i="10"/>
  <c r="P269" i="10"/>
  <c r="Q269" i="10"/>
  <c r="M270" i="10"/>
  <c r="N270" i="10"/>
  <c r="O270" i="10"/>
  <c r="P270" i="10"/>
  <c r="Q270" i="10"/>
  <c r="M271" i="10"/>
  <c r="N271" i="10"/>
  <c r="O271" i="10"/>
  <c r="P271" i="10"/>
  <c r="Q271" i="10"/>
  <c r="M272" i="10"/>
  <c r="N272" i="10"/>
  <c r="O272" i="10"/>
  <c r="P272" i="10"/>
  <c r="Q272" i="10"/>
  <c r="M273" i="10"/>
  <c r="N273" i="10"/>
  <c r="O273" i="10"/>
  <c r="P273" i="10"/>
  <c r="Q273" i="10"/>
  <c r="M274" i="10"/>
  <c r="N274" i="10"/>
  <c r="O274" i="10"/>
  <c r="P274" i="10"/>
  <c r="Q274" i="10"/>
  <c r="M275" i="10"/>
  <c r="N275" i="10"/>
  <c r="O275" i="10"/>
  <c r="P275" i="10"/>
  <c r="Q275" i="10"/>
  <c r="M276" i="10"/>
  <c r="N276" i="10"/>
  <c r="O276" i="10"/>
  <c r="P276" i="10"/>
  <c r="Q276" i="10"/>
  <c r="M277" i="10"/>
  <c r="N277" i="10"/>
  <c r="O277" i="10"/>
  <c r="P277" i="10"/>
  <c r="Q277" i="10"/>
  <c r="M278" i="10"/>
  <c r="N278" i="10"/>
  <c r="O278" i="10"/>
  <c r="P278" i="10"/>
  <c r="Q278" i="10"/>
  <c r="M279" i="10"/>
  <c r="N279" i="10"/>
  <c r="O279" i="10"/>
  <c r="P279" i="10"/>
  <c r="Q279" i="10"/>
  <c r="M280" i="10"/>
  <c r="N280" i="10"/>
  <c r="O280" i="10"/>
  <c r="P280" i="10"/>
  <c r="Q280" i="10"/>
  <c r="M281" i="10"/>
  <c r="N281" i="10"/>
  <c r="O281" i="10"/>
  <c r="P281" i="10"/>
  <c r="Q281" i="10"/>
  <c r="M282" i="10"/>
  <c r="N282" i="10"/>
  <c r="O282" i="10"/>
  <c r="P282" i="10"/>
  <c r="Q282" i="10"/>
  <c r="M283" i="10"/>
  <c r="N283" i="10"/>
  <c r="O283" i="10"/>
  <c r="P283" i="10"/>
  <c r="Q283" i="10"/>
  <c r="M284" i="10"/>
  <c r="N284" i="10"/>
  <c r="O284" i="10"/>
  <c r="P284" i="10"/>
  <c r="Q284" i="10"/>
  <c r="M285" i="10"/>
  <c r="N285" i="10"/>
  <c r="O285" i="10"/>
  <c r="P285" i="10"/>
  <c r="Q285" i="10"/>
  <c r="M286" i="10"/>
  <c r="N286" i="10"/>
  <c r="O286" i="10"/>
  <c r="P286" i="10"/>
  <c r="Q286" i="10"/>
  <c r="M287" i="10"/>
  <c r="N287" i="10"/>
  <c r="O287" i="10"/>
  <c r="P287" i="10"/>
  <c r="Q287" i="10"/>
  <c r="M288" i="10"/>
  <c r="N288" i="10"/>
  <c r="O288" i="10"/>
  <c r="P288" i="10"/>
  <c r="Q288" i="10"/>
  <c r="M289" i="10"/>
  <c r="N289" i="10"/>
  <c r="O289" i="10"/>
  <c r="P289" i="10"/>
  <c r="Q289" i="10"/>
  <c r="M290" i="10"/>
  <c r="N290" i="10"/>
  <c r="O290" i="10"/>
  <c r="P290" i="10"/>
  <c r="Q290" i="10"/>
  <c r="M291" i="10"/>
  <c r="N291" i="10"/>
  <c r="O291" i="10"/>
  <c r="P291" i="10"/>
  <c r="Q291" i="10"/>
  <c r="M292" i="10"/>
  <c r="N292" i="10"/>
  <c r="O292" i="10"/>
  <c r="P292" i="10"/>
  <c r="Q292" i="10"/>
  <c r="M293" i="10"/>
  <c r="N293" i="10"/>
  <c r="O293" i="10"/>
  <c r="P293" i="10"/>
  <c r="Q293" i="10"/>
  <c r="M294" i="10"/>
  <c r="N294" i="10"/>
  <c r="O294" i="10"/>
  <c r="P294" i="10"/>
  <c r="Q294" i="10"/>
  <c r="M295" i="10"/>
  <c r="N295" i="10"/>
  <c r="O295" i="10"/>
  <c r="P295" i="10"/>
  <c r="Q295" i="10"/>
  <c r="M296" i="10"/>
  <c r="N296" i="10"/>
  <c r="O296" i="10"/>
  <c r="P296" i="10"/>
  <c r="Q296" i="10"/>
  <c r="M297" i="10"/>
  <c r="N297" i="10"/>
  <c r="O297" i="10"/>
  <c r="P297" i="10"/>
  <c r="Q297" i="10"/>
  <c r="N4" i="10"/>
  <c r="O4" i="10"/>
  <c r="P4" i="10"/>
  <c r="Q4" i="10"/>
  <c r="M4" i="10"/>
  <c r="AS86" i="4"/>
  <c r="AS87" i="4"/>
  <c r="AS88" i="4"/>
  <c r="AC88" i="4"/>
  <c r="AC87" i="4"/>
  <c r="AC86" i="4"/>
  <c r="V86" i="4" s="1"/>
  <c r="AS6" i="4" l="1"/>
  <c r="AS7" i="4"/>
  <c r="AS8" i="4"/>
  <c r="AS9" i="4"/>
  <c r="AS10" i="4"/>
  <c r="AS11" i="4"/>
  <c r="AS12" i="4"/>
  <c r="AS13" i="4"/>
  <c r="AS14" i="4"/>
  <c r="AS15" i="4"/>
  <c r="AS16" i="4"/>
  <c r="AS17" i="4"/>
  <c r="AS18" i="4"/>
  <c r="AS19" i="4"/>
  <c r="AS20" i="4"/>
  <c r="AS21" i="4"/>
  <c r="AS22" i="4"/>
  <c r="AS23" i="4"/>
  <c r="AS24" i="4"/>
  <c r="AS25" i="4"/>
  <c r="AS26" i="4"/>
  <c r="AS27" i="4"/>
  <c r="AS28" i="4"/>
  <c r="AS29" i="4"/>
  <c r="AS30" i="4"/>
  <c r="AS31" i="4"/>
  <c r="AS32" i="4"/>
  <c r="AS33" i="4"/>
  <c r="AS34" i="4"/>
  <c r="AS35" i="4"/>
  <c r="AS36" i="4"/>
  <c r="AS37" i="4"/>
  <c r="AS38" i="4"/>
  <c r="AS39" i="4"/>
  <c r="AS40" i="4"/>
  <c r="AS41" i="4"/>
  <c r="AS42" i="4"/>
  <c r="AS43" i="4"/>
  <c r="AS44" i="4"/>
  <c r="AS45" i="4"/>
  <c r="AS46" i="4"/>
  <c r="AS47" i="4"/>
  <c r="AS48" i="4"/>
  <c r="AS49" i="4"/>
  <c r="AS50" i="4"/>
  <c r="AS51" i="4"/>
  <c r="AS52" i="4"/>
  <c r="AS53" i="4"/>
  <c r="AS54" i="4"/>
  <c r="AS55" i="4"/>
  <c r="AS56" i="4"/>
  <c r="AS57" i="4"/>
  <c r="AS58" i="4"/>
  <c r="AS59" i="4"/>
  <c r="AS60" i="4"/>
  <c r="AS61" i="4"/>
  <c r="AS62" i="4"/>
  <c r="AS63" i="4"/>
  <c r="AS64" i="4"/>
  <c r="AS65" i="4"/>
  <c r="AS66" i="4"/>
  <c r="AS67" i="4"/>
  <c r="AS68" i="4"/>
  <c r="AS69" i="4"/>
  <c r="AS70" i="4"/>
  <c r="AS71" i="4"/>
  <c r="AS72" i="4"/>
  <c r="AS73" i="4"/>
  <c r="AS74" i="4"/>
  <c r="AS75" i="4"/>
  <c r="AS76" i="4"/>
  <c r="AS77" i="4"/>
  <c r="AS78" i="4"/>
  <c r="AS79" i="4"/>
  <c r="AS80" i="4"/>
  <c r="AS81" i="4"/>
  <c r="AS82" i="4"/>
  <c r="AS83" i="4"/>
  <c r="AS84" i="4"/>
  <c r="AS85" i="4"/>
  <c r="AS5" i="4"/>
  <c r="AS4" i="4"/>
  <c r="AR5" i="4"/>
  <c r="AR6" i="4"/>
  <c r="AR7" i="4"/>
  <c r="AR8" i="4"/>
  <c r="AR9" i="4"/>
  <c r="AR10" i="4"/>
  <c r="AR11" i="4"/>
  <c r="AR12" i="4"/>
  <c r="AR13" i="4"/>
  <c r="AR14" i="4"/>
  <c r="AR15" i="4"/>
  <c r="AR16" i="4"/>
  <c r="AR17" i="4"/>
  <c r="AR18" i="4"/>
  <c r="AR19" i="4"/>
  <c r="AR20" i="4"/>
  <c r="AR21" i="4"/>
  <c r="AR22" i="4"/>
  <c r="AR23" i="4"/>
  <c r="AR24" i="4"/>
  <c r="AR25" i="4"/>
  <c r="AR26" i="4"/>
  <c r="AR27" i="4"/>
  <c r="AR28" i="4"/>
  <c r="AR29" i="4"/>
  <c r="AR30" i="4"/>
  <c r="AR31" i="4"/>
  <c r="AR32" i="4"/>
  <c r="AR33" i="4"/>
  <c r="AR34" i="4"/>
  <c r="AR35" i="4"/>
  <c r="AR36" i="4"/>
  <c r="AR37" i="4"/>
  <c r="AR38" i="4"/>
  <c r="AR39" i="4"/>
  <c r="AR40" i="4"/>
  <c r="AR41" i="4"/>
  <c r="AR42" i="4"/>
  <c r="AR43" i="4"/>
  <c r="AR44" i="4"/>
  <c r="AR45" i="4"/>
  <c r="AR46" i="4"/>
  <c r="AR47" i="4"/>
  <c r="AR48" i="4"/>
  <c r="AR49" i="4"/>
  <c r="AR50" i="4"/>
  <c r="AR51" i="4"/>
  <c r="AR52" i="4"/>
  <c r="AR53" i="4"/>
  <c r="AR54" i="4"/>
  <c r="AR55" i="4"/>
  <c r="AR56" i="4"/>
  <c r="AR57" i="4"/>
  <c r="AR58" i="4"/>
  <c r="AR59" i="4"/>
  <c r="AR60" i="4"/>
  <c r="AR61" i="4"/>
  <c r="AR62" i="4"/>
  <c r="AR63" i="4"/>
  <c r="AR64" i="4"/>
  <c r="AR65" i="4"/>
  <c r="AR66" i="4"/>
  <c r="AR67" i="4"/>
  <c r="AR68" i="4"/>
  <c r="AR69" i="4"/>
  <c r="AR70" i="4"/>
  <c r="AR71" i="4"/>
  <c r="AR72" i="4"/>
  <c r="AR73" i="4"/>
  <c r="AR74" i="4"/>
  <c r="AR75" i="4"/>
  <c r="AR76" i="4"/>
  <c r="AR77" i="4"/>
  <c r="AR78" i="4"/>
  <c r="AR79" i="4"/>
  <c r="AR80" i="4"/>
  <c r="AR81" i="4"/>
  <c r="AR82" i="4"/>
  <c r="AR83" i="4"/>
  <c r="AR84" i="4"/>
  <c r="AR85" i="4"/>
  <c r="AR86" i="4"/>
  <c r="AR87" i="4"/>
  <c r="AR88" i="4"/>
  <c r="AR4" i="4"/>
  <c r="AQ86" i="4"/>
  <c r="AQ87" i="4"/>
  <c r="AQ88" i="4"/>
  <c r="AQ5" i="4"/>
  <c r="AQ6" i="4"/>
  <c r="AQ7" i="4"/>
  <c r="AQ8" i="4"/>
  <c r="AQ9" i="4"/>
  <c r="AQ10" i="4"/>
  <c r="AQ11" i="4"/>
  <c r="AQ12" i="4"/>
  <c r="AQ13" i="4"/>
  <c r="AQ14" i="4"/>
  <c r="AQ15" i="4"/>
  <c r="AQ16" i="4"/>
  <c r="AQ17" i="4"/>
  <c r="AQ18" i="4"/>
  <c r="AQ19" i="4"/>
  <c r="AQ20" i="4"/>
  <c r="AQ21" i="4"/>
  <c r="AQ22" i="4"/>
  <c r="AQ23" i="4"/>
  <c r="AQ24" i="4"/>
  <c r="AQ25" i="4"/>
  <c r="AQ26" i="4"/>
  <c r="AQ27" i="4"/>
  <c r="AQ28" i="4"/>
  <c r="AQ29" i="4"/>
  <c r="AQ30" i="4"/>
  <c r="AQ31" i="4"/>
  <c r="AQ32" i="4"/>
  <c r="AQ33" i="4"/>
  <c r="AQ34" i="4"/>
  <c r="AQ35" i="4"/>
  <c r="AQ36" i="4"/>
  <c r="AQ37" i="4"/>
  <c r="AQ38" i="4"/>
  <c r="AQ39" i="4"/>
  <c r="AQ40" i="4"/>
  <c r="AQ41" i="4"/>
  <c r="AQ42" i="4"/>
  <c r="AQ43" i="4"/>
  <c r="AQ44" i="4"/>
  <c r="AQ45" i="4"/>
  <c r="AQ46" i="4"/>
  <c r="AQ47" i="4"/>
  <c r="AQ48" i="4"/>
  <c r="AQ49" i="4"/>
  <c r="AQ50" i="4"/>
  <c r="AQ51" i="4"/>
  <c r="AQ52" i="4"/>
  <c r="AQ53" i="4"/>
  <c r="AQ54" i="4"/>
  <c r="AQ55" i="4"/>
  <c r="AQ56" i="4"/>
  <c r="AQ57" i="4"/>
  <c r="AQ58" i="4"/>
  <c r="AQ59" i="4"/>
  <c r="AQ60" i="4"/>
  <c r="AQ61" i="4"/>
  <c r="AQ62" i="4"/>
  <c r="AQ63" i="4"/>
  <c r="AQ64" i="4"/>
  <c r="AQ65" i="4"/>
  <c r="AQ66" i="4"/>
  <c r="AQ67" i="4"/>
  <c r="AQ68" i="4"/>
  <c r="AQ69" i="4"/>
  <c r="AQ70" i="4"/>
  <c r="AQ71" i="4"/>
  <c r="AQ72" i="4"/>
  <c r="AQ73" i="4"/>
  <c r="AQ74" i="4"/>
  <c r="AQ75" i="4"/>
  <c r="AQ76" i="4"/>
  <c r="AQ77" i="4"/>
  <c r="AQ78" i="4"/>
  <c r="AQ79" i="4"/>
  <c r="AQ80" i="4"/>
  <c r="AQ81" i="4"/>
  <c r="AQ82" i="4"/>
  <c r="AQ83" i="4"/>
  <c r="AQ84" i="4"/>
  <c r="AQ85" i="4"/>
  <c r="AQ4" i="4"/>
  <c r="E4" i="4" l="1"/>
  <c r="E5" i="4"/>
  <c r="E6" i="4"/>
  <c r="E7" i="4"/>
  <c r="E8" i="4"/>
  <c r="E9" i="4"/>
  <c r="E10" i="4"/>
  <c r="E11" i="4"/>
  <c r="E86" i="4" s="1"/>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8" i="4" s="1"/>
  <c r="E84" i="4"/>
  <c r="E85" i="4"/>
  <c r="AC4" i="4"/>
  <c r="AC5" i="4"/>
  <c r="AC6" i="4"/>
  <c r="AC7" i="4"/>
  <c r="AC8" i="4"/>
  <c r="AC9" i="4"/>
  <c r="AC10" i="4"/>
  <c r="AC11" i="4"/>
  <c r="AC12" i="4"/>
  <c r="AC13" i="4"/>
  <c r="AC14" i="4"/>
  <c r="AC15" i="4"/>
  <c r="AC16" i="4"/>
  <c r="AC17" i="4"/>
  <c r="AC18" i="4"/>
  <c r="AC19" i="4"/>
  <c r="AC20" i="4"/>
  <c r="AC21" i="4"/>
  <c r="AC22" i="4"/>
  <c r="AC23" i="4"/>
  <c r="AC24"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C68" i="4"/>
  <c r="AC69" i="4"/>
  <c r="AC70" i="4"/>
  <c r="AC71" i="4"/>
  <c r="AC72" i="4"/>
  <c r="AC73" i="4"/>
  <c r="AC74" i="4"/>
  <c r="AC75" i="4"/>
  <c r="AC76" i="4"/>
  <c r="AC77" i="4"/>
  <c r="AC78" i="4"/>
  <c r="AC79" i="4"/>
  <c r="E87" i="4"/>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N90" i="9"/>
  <c r="N91" i="9"/>
  <c r="N92" i="9"/>
  <c r="N93" i="9"/>
  <c r="N94" i="9"/>
  <c r="N95" i="9"/>
  <c r="N96" i="9"/>
  <c r="N97" i="9"/>
  <c r="N98" i="9"/>
  <c r="N99" i="9"/>
  <c r="N100" i="9"/>
  <c r="N101" i="9"/>
  <c r="N102" i="9"/>
  <c r="N103" i="9"/>
  <c r="N104" i="9"/>
  <c r="N105" i="9"/>
  <c r="N106" i="9"/>
  <c r="N107" i="9"/>
  <c r="N108" i="9"/>
  <c r="N109" i="9"/>
  <c r="N110" i="9"/>
  <c r="N111" i="9"/>
  <c r="N112" i="9"/>
  <c r="N113" i="9"/>
  <c r="N114" i="9"/>
  <c r="N115" i="9"/>
  <c r="N116" i="9"/>
  <c r="N117" i="9"/>
  <c r="N118" i="9"/>
  <c r="N119" i="9"/>
  <c r="N120" i="9"/>
  <c r="N121" i="9"/>
  <c r="N122" i="9"/>
  <c r="N123" i="9"/>
  <c r="N124" i="9"/>
  <c r="N125" i="9"/>
  <c r="N126" i="9"/>
  <c r="N127" i="9"/>
  <c r="N128" i="9"/>
  <c r="N129" i="9"/>
  <c r="N130" i="9"/>
  <c r="N131" i="9"/>
  <c r="N132" i="9"/>
  <c r="N133" i="9"/>
  <c r="N134" i="9"/>
  <c r="N135" i="9"/>
  <c r="N136" i="9"/>
  <c r="N137" i="9"/>
  <c r="N138" i="9"/>
  <c r="N139" i="9"/>
  <c r="N140" i="9"/>
  <c r="N141" i="9"/>
  <c r="N142" i="9"/>
  <c r="N143" i="9"/>
  <c r="N144" i="9"/>
  <c r="N145" i="9"/>
  <c r="N146" i="9"/>
  <c r="N147" i="9"/>
  <c r="N148" i="9"/>
  <c r="N149" i="9"/>
  <c r="N150" i="9"/>
  <c r="N151" i="9"/>
  <c r="N152" i="9"/>
  <c r="N153" i="9"/>
  <c r="N154" i="9"/>
  <c r="N155" i="9"/>
  <c r="N156" i="9"/>
  <c r="N157" i="9"/>
  <c r="N158" i="9"/>
  <c r="N159" i="9"/>
  <c r="N160" i="9"/>
  <c r="N161" i="9"/>
  <c r="N162" i="9"/>
  <c r="N163" i="9"/>
  <c r="N164" i="9"/>
  <c r="N165" i="9"/>
  <c r="N166" i="9"/>
  <c r="N167" i="9"/>
  <c r="N168" i="9"/>
  <c r="N169" i="9"/>
  <c r="N170" i="9"/>
  <c r="N171" i="9"/>
  <c r="N172" i="9"/>
  <c r="N173" i="9"/>
  <c r="N174" i="9"/>
  <c r="N175" i="9"/>
  <c r="N176" i="9"/>
  <c r="N177" i="9"/>
  <c r="N178" i="9"/>
  <c r="N179" i="9"/>
  <c r="N180" i="9"/>
  <c r="N181" i="9"/>
  <c r="N182" i="9"/>
  <c r="N183" i="9"/>
  <c r="N184" i="9"/>
  <c r="N185" i="9"/>
  <c r="N186" i="9"/>
  <c r="N187" i="9"/>
  <c r="N188" i="9"/>
  <c r="N189" i="9"/>
  <c r="N190" i="9"/>
  <c r="N191" i="9"/>
  <c r="N192" i="9"/>
  <c r="N193" i="9"/>
  <c r="N194" i="9"/>
  <c r="N195" i="9"/>
  <c r="N196" i="9"/>
  <c r="N197" i="9"/>
  <c r="N198" i="9"/>
  <c r="N199" i="9"/>
  <c r="N200" i="9"/>
  <c r="N201" i="9"/>
  <c r="N202" i="9"/>
  <c r="N203" i="9"/>
  <c r="N204" i="9"/>
  <c r="N205" i="9"/>
  <c r="N206" i="9"/>
  <c r="N207" i="9"/>
  <c r="N208" i="9"/>
  <c r="N209" i="9"/>
  <c r="N210" i="9"/>
  <c r="N211" i="9"/>
  <c r="N212" i="9"/>
  <c r="N213" i="9"/>
  <c r="N214" i="9"/>
  <c r="N215" i="9"/>
  <c r="N216" i="9"/>
  <c r="N217" i="9"/>
  <c r="N218" i="9"/>
  <c r="N219" i="9"/>
  <c r="N220" i="9"/>
  <c r="N221" i="9"/>
  <c r="N222" i="9"/>
  <c r="N223" i="9"/>
  <c r="N224" i="9"/>
  <c r="N225" i="9"/>
  <c r="N226" i="9"/>
  <c r="N227" i="9"/>
  <c r="N228" i="9"/>
  <c r="N229" i="9"/>
  <c r="N230" i="9"/>
  <c r="N231" i="9"/>
  <c r="N232" i="9"/>
  <c r="N233" i="9"/>
  <c r="N234" i="9"/>
  <c r="N235" i="9"/>
  <c r="N236" i="9"/>
  <c r="N237" i="9"/>
  <c r="N238" i="9"/>
  <c r="N239" i="9"/>
  <c r="N240" i="9"/>
  <c r="N241" i="9"/>
  <c r="N242" i="9"/>
  <c r="N243" i="9"/>
  <c r="N244" i="9"/>
  <c r="N245" i="9"/>
  <c r="N246" i="9"/>
  <c r="N247" i="9"/>
  <c r="N248" i="9"/>
  <c r="N249" i="9"/>
  <c r="N250" i="9"/>
  <c r="N251" i="9"/>
  <c r="N252" i="9"/>
  <c r="N253" i="9"/>
  <c r="N254" i="9"/>
  <c r="N255" i="9"/>
  <c r="N256" i="9"/>
  <c r="N257" i="9"/>
  <c r="N258" i="9"/>
  <c r="N259" i="9"/>
  <c r="N260" i="9"/>
  <c r="N261" i="9"/>
  <c r="N262" i="9"/>
  <c r="N263" i="9"/>
  <c r="N264" i="9"/>
  <c r="N265" i="9"/>
  <c r="N266" i="9"/>
  <c r="N267" i="9"/>
  <c r="N268" i="9"/>
  <c r="N269" i="9"/>
  <c r="N270" i="9"/>
  <c r="N271" i="9"/>
  <c r="N272" i="9"/>
  <c r="N273" i="9"/>
  <c r="N274" i="9"/>
  <c r="N275" i="9"/>
  <c r="N276" i="9"/>
  <c r="N277" i="9"/>
  <c r="N278" i="9"/>
  <c r="N279" i="9"/>
  <c r="N280" i="9"/>
  <c r="N281" i="9"/>
  <c r="N282" i="9"/>
  <c r="N283" i="9"/>
  <c r="N284" i="9"/>
  <c r="N285" i="9"/>
  <c r="N286" i="9"/>
  <c r="N287" i="9"/>
  <c r="N288" i="9"/>
  <c r="N289" i="9"/>
  <c r="N290" i="9"/>
  <c r="N291" i="9"/>
  <c r="N292" i="9"/>
  <c r="N293" i="9"/>
  <c r="N294" i="9"/>
  <c r="N4" i="9"/>
  <c r="AC80" i="4"/>
  <c r="AC81" i="4"/>
  <c r="AC82" i="4"/>
  <c r="AC83" i="4"/>
  <c r="AC84" i="4"/>
  <c r="AC85" i="4"/>
  <c r="AU81" i="4"/>
  <c r="AU82" i="4"/>
  <c r="AU83" i="4"/>
  <c r="AU84" i="4"/>
  <c r="AU85" i="4"/>
  <c r="AU5" i="4"/>
  <c r="AU6" i="4"/>
  <c r="AU7" i="4"/>
  <c r="AU8" i="4"/>
  <c r="AU9" i="4"/>
  <c r="AU10" i="4"/>
  <c r="AU11" i="4"/>
  <c r="AU12" i="4"/>
  <c r="AU13" i="4"/>
  <c r="AU14" i="4"/>
  <c r="AU15" i="4"/>
  <c r="AU16" i="4"/>
  <c r="AU17" i="4"/>
  <c r="AU18" i="4"/>
  <c r="AU19" i="4"/>
  <c r="AU20" i="4"/>
  <c r="AU21" i="4"/>
  <c r="AU22" i="4"/>
  <c r="AU23" i="4"/>
  <c r="AU24" i="4"/>
  <c r="AU25" i="4"/>
  <c r="AU26" i="4"/>
  <c r="AU27" i="4"/>
  <c r="AU28" i="4"/>
  <c r="AU29" i="4"/>
  <c r="AU30" i="4"/>
  <c r="AU31" i="4"/>
  <c r="AU32" i="4"/>
  <c r="AU33" i="4"/>
  <c r="AU34" i="4"/>
  <c r="AU35" i="4"/>
  <c r="AU36" i="4"/>
  <c r="AU37" i="4"/>
  <c r="AU38" i="4"/>
  <c r="AU39" i="4"/>
  <c r="AU40" i="4"/>
  <c r="AU41" i="4"/>
  <c r="AU42" i="4"/>
  <c r="AU43" i="4"/>
  <c r="AU44" i="4"/>
  <c r="AU45" i="4"/>
  <c r="AU46" i="4"/>
  <c r="AU47" i="4"/>
  <c r="AU48" i="4"/>
  <c r="AU49" i="4"/>
  <c r="AU50" i="4"/>
  <c r="AU51" i="4"/>
  <c r="AU52" i="4"/>
  <c r="AU53" i="4"/>
  <c r="AU54" i="4"/>
  <c r="AU55" i="4"/>
  <c r="AU56" i="4"/>
  <c r="AU57" i="4"/>
  <c r="AU58" i="4"/>
  <c r="AU59" i="4"/>
  <c r="AU60" i="4"/>
  <c r="AU61" i="4"/>
  <c r="AU62" i="4"/>
  <c r="AU63" i="4"/>
  <c r="AU64" i="4"/>
  <c r="AU65" i="4"/>
  <c r="AU66" i="4"/>
  <c r="AU67" i="4"/>
  <c r="AU68" i="4"/>
  <c r="AU69" i="4"/>
  <c r="AU70" i="4"/>
  <c r="AU71" i="4"/>
  <c r="AU72" i="4"/>
  <c r="AU73" i="4"/>
  <c r="AU74" i="4"/>
  <c r="AU75" i="4"/>
  <c r="AU76" i="4"/>
  <c r="AU77" i="4"/>
  <c r="AU78" i="4"/>
  <c r="AU79" i="4"/>
  <c r="AU80" i="4"/>
  <c r="AU4" i="4"/>
  <c r="D297" i="11"/>
  <c r="C297" i="11"/>
  <c r="C297" i="6" l="1"/>
  <c r="D297" i="6" l="1"/>
  <c r="D305" i="10" l="1"/>
  <c r="E305" i="10"/>
  <c r="F305" i="10"/>
  <c r="G305" i="10"/>
  <c r="C305" i="10"/>
  <c r="N303" i="9" l="1"/>
  <c r="M303" i="9"/>
  <c r="L303" i="9"/>
  <c r="K303" i="9"/>
  <c r="J303" i="9"/>
  <c r="I303" i="9"/>
  <c r="H303" i="9"/>
  <c r="G303" i="9"/>
  <c r="F303" i="9"/>
  <c r="E303" i="9"/>
  <c r="D303" i="9"/>
  <c r="C303" i="9"/>
  <c r="H41" i="1" l="1"/>
  <c r="Q81" i="4" l="1"/>
  <c r="R81" i="4"/>
  <c r="S81" i="4"/>
  <c r="T81" i="4"/>
  <c r="U81" i="4"/>
  <c r="Q82" i="4"/>
  <c r="R82" i="4"/>
  <c r="S82" i="4"/>
  <c r="T82" i="4"/>
  <c r="U82" i="4"/>
  <c r="Q83" i="4"/>
  <c r="R83" i="4"/>
  <c r="S83" i="4"/>
  <c r="T83" i="4"/>
  <c r="U83" i="4"/>
  <c r="Q84" i="4"/>
  <c r="R84" i="4"/>
  <c r="S84" i="4"/>
  <c r="T84" i="4"/>
  <c r="U84" i="4"/>
  <c r="Q85" i="4"/>
  <c r="R85" i="4"/>
  <c r="S85" i="4"/>
  <c r="T85" i="4"/>
  <c r="U85" i="4"/>
  <c r="O81" i="4"/>
  <c r="O82" i="4"/>
  <c r="O83" i="4"/>
  <c r="O84" i="4"/>
  <c r="O85" i="4"/>
  <c r="C81" i="4"/>
  <c r="D81" i="4"/>
  <c r="F81" i="4"/>
  <c r="AO81" i="4" s="1"/>
  <c r="G81" i="4"/>
  <c r="H81" i="4"/>
  <c r="I81" i="4"/>
  <c r="J81" i="4"/>
  <c r="AP81" i="4" s="1"/>
  <c r="K81" i="4"/>
  <c r="L81" i="4"/>
  <c r="M81" i="4"/>
  <c r="N81" i="4"/>
  <c r="P81" i="4" s="1"/>
  <c r="C82" i="4"/>
  <c r="D82" i="4"/>
  <c r="F82" i="4"/>
  <c r="AO82" i="4" s="1"/>
  <c r="G82" i="4"/>
  <c r="H82" i="4"/>
  <c r="I82" i="4"/>
  <c r="J82" i="4"/>
  <c r="AP82" i="4" s="1"/>
  <c r="K82" i="4"/>
  <c r="L82" i="4"/>
  <c r="M82" i="4"/>
  <c r="N82" i="4"/>
  <c r="C83" i="4"/>
  <c r="D83" i="4"/>
  <c r="F83" i="4"/>
  <c r="AO83" i="4" s="1"/>
  <c r="G83" i="4"/>
  <c r="H83" i="4"/>
  <c r="I83" i="4"/>
  <c r="J83" i="4"/>
  <c r="AP83" i="4" s="1"/>
  <c r="K83" i="4"/>
  <c r="L83" i="4"/>
  <c r="M83" i="4"/>
  <c r="N83" i="4"/>
  <c r="C84" i="4"/>
  <c r="D84" i="4"/>
  <c r="F84" i="4"/>
  <c r="AO84" i="4" s="1"/>
  <c r="G84" i="4"/>
  <c r="H84" i="4"/>
  <c r="I84" i="4"/>
  <c r="J84" i="4"/>
  <c r="AP84" i="4" s="1"/>
  <c r="K84" i="4"/>
  <c r="L84" i="4"/>
  <c r="M84" i="4"/>
  <c r="N84" i="4"/>
  <c r="C85" i="4"/>
  <c r="D85" i="4"/>
  <c r="F85" i="4"/>
  <c r="AO85" i="4" s="1"/>
  <c r="G85" i="4"/>
  <c r="H85" i="4"/>
  <c r="I85" i="4"/>
  <c r="J85" i="4"/>
  <c r="AP85" i="4" s="1"/>
  <c r="K85" i="4"/>
  <c r="L85" i="4"/>
  <c r="M85" i="4"/>
  <c r="N85" i="4"/>
  <c r="P85" i="4" s="1"/>
  <c r="V81" i="4" l="1"/>
  <c r="V85" i="4"/>
  <c r="P84" i="4"/>
  <c r="V84" i="4" s="1"/>
  <c r="P83" i="4"/>
  <c r="V83" i="4" s="1"/>
  <c r="P82" i="4"/>
  <c r="V82" i="4" s="1"/>
  <c r="W85" i="4"/>
  <c r="W84" i="4"/>
  <c r="W82" i="4"/>
  <c r="W83" i="4"/>
  <c r="W81" i="4"/>
  <c r="D25" i="3" l="1"/>
  <c r="B10" i="5" l="1"/>
  <c r="C12" i="1" l="1"/>
  <c r="C11" i="1"/>
  <c r="C23" i="1"/>
  <c r="C33" i="1"/>
  <c r="C31" i="1"/>
  <c r="C10" i="1"/>
  <c r="C26" i="1"/>
  <c r="C21" i="1"/>
  <c r="C13" i="2"/>
  <c r="C14" i="2"/>
  <c r="Q57" i="4"/>
  <c r="R57" i="4"/>
  <c r="S57" i="4"/>
  <c r="T57" i="4"/>
  <c r="U57" i="4"/>
  <c r="Q58" i="4"/>
  <c r="R58" i="4"/>
  <c r="S58" i="4"/>
  <c r="T58" i="4"/>
  <c r="U58" i="4"/>
  <c r="Q59" i="4"/>
  <c r="R59" i="4"/>
  <c r="S59" i="4"/>
  <c r="T59" i="4"/>
  <c r="U59" i="4"/>
  <c r="Q60" i="4"/>
  <c r="R60" i="4"/>
  <c r="S60" i="4"/>
  <c r="T60" i="4"/>
  <c r="U60" i="4"/>
  <c r="Q61" i="4"/>
  <c r="R61" i="4"/>
  <c r="S61" i="4"/>
  <c r="T61" i="4"/>
  <c r="U61" i="4"/>
  <c r="Q62" i="4"/>
  <c r="R62" i="4"/>
  <c r="S62" i="4"/>
  <c r="T62" i="4"/>
  <c r="U62" i="4"/>
  <c r="Q63" i="4"/>
  <c r="R63" i="4"/>
  <c r="S63" i="4"/>
  <c r="T63" i="4"/>
  <c r="U63" i="4"/>
  <c r="Q64" i="4"/>
  <c r="R64" i="4"/>
  <c r="S64" i="4"/>
  <c r="T64" i="4"/>
  <c r="U64" i="4"/>
  <c r="Q65" i="4"/>
  <c r="R65" i="4"/>
  <c r="S65" i="4"/>
  <c r="T65" i="4"/>
  <c r="U65" i="4"/>
  <c r="Q66" i="4"/>
  <c r="R66" i="4"/>
  <c r="S66" i="4"/>
  <c r="T66" i="4"/>
  <c r="U66" i="4"/>
  <c r="Q67" i="4"/>
  <c r="R67" i="4"/>
  <c r="S67" i="4"/>
  <c r="T67" i="4"/>
  <c r="U67" i="4"/>
  <c r="Q68" i="4"/>
  <c r="R68" i="4"/>
  <c r="S68" i="4"/>
  <c r="T68" i="4"/>
  <c r="U68" i="4"/>
  <c r="Q69" i="4"/>
  <c r="R69" i="4"/>
  <c r="S69" i="4"/>
  <c r="T69" i="4"/>
  <c r="U69" i="4"/>
  <c r="Q70" i="4"/>
  <c r="R70" i="4"/>
  <c r="S70" i="4"/>
  <c r="T70" i="4"/>
  <c r="U70" i="4"/>
  <c r="Q71" i="4"/>
  <c r="R71" i="4"/>
  <c r="S71" i="4"/>
  <c r="T71" i="4"/>
  <c r="U71" i="4"/>
  <c r="Q72" i="4"/>
  <c r="R72" i="4"/>
  <c r="S72" i="4"/>
  <c r="T72" i="4"/>
  <c r="U72" i="4"/>
  <c r="Q73" i="4"/>
  <c r="R73" i="4"/>
  <c r="S73" i="4"/>
  <c r="T73" i="4"/>
  <c r="U73" i="4"/>
  <c r="Q74" i="4"/>
  <c r="R74" i="4"/>
  <c r="S74" i="4"/>
  <c r="T74" i="4"/>
  <c r="U74" i="4"/>
  <c r="Q75" i="4"/>
  <c r="R75" i="4"/>
  <c r="S75" i="4"/>
  <c r="T75" i="4"/>
  <c r="U75" i="4"/>
  <c r="Q76" i="4"/>
  <c r="R76" i="4"/>
  <c r="S76" i="4"/>
  <c r="T76" i="4"/>
  <c r="U76" i="4"/>
  <c r="Q77" i="4"/>
  <c r="R77" i="4"/>
  <c r="S77" i="4"/>
  <c r="T77" i="4"/>
  <c r="U77" i="4"/>
  <c r="Q78" i="4"/>
  <c r="R78" i="4"/>
  <c r="S78" i="4"/>
  <c r="T78" i="4"/>
  <c r="U78" i="4"/>
  <c r="Q79" i="4"/>
  <c r="R79" i="4"/>
  <c r="S79" i="4"/>
  <c r="T79" i="4"/>
  <c r="U79" i="4"/>
  <c r="Q80" i="4"/>
  <c r="R80" i="4"/>
  <c r="S80" i="4"/>
  <c r="T80" i="4"/>
  <c r="U80" i="4"/>
  <c r="Q31" i="4"/>
  <c r="R31" i="4"/>
  <c r="S31" i="4"/>
  <c r="T31" i="4"/>
  <c r="U31" i="4"/>
  <c r="Q32" i="4"/>
  <c r="R32" i="4"/>
  <c r="S32" i="4"/>
  <c r="T32" i="4"/>
  <c r="U32" i="4"/>
  <c r="Q33" i="4"/>
  <c r="R33" i="4"/>
  <c r="S33" i="4"/>
  <c r="T33" i="4"/>
  <c r="U33" i="4"/>
  <c r="Q34" i="4"/>
  <c r="R34" i="4"/>
  <c r="S34" i="4"/>
  <c r="T34" i="4"/>
  <c r="U34" i="4"/>
  <c r="Q35" i="4"/>
  <c r="R35" i="4"/>
  <c r="S35" i="4"/>
  <c r="T35" i="4"/>
  <c r="U35" i="4"/>
  <c r="Q36" i="4"/>
  <c r="R36" i="4"/>
  <c r="S36" i="4"/>
  <c r="T36" i="4"/>
  <c r="U36" i="4"/>
  <c r="Q37" i="4"/>
  <c r="R37" i="4"/>
  <c r="S37" i="4"/>
  <c r="T37" i="4"/>
  <c r="U37" i="4"/>
  <c r="Q38" i="4"/>
  <c r="R38" i="4"/>
  <c r="S38" i="4"/>
  <c r="T38" i="4"/>
  <c r="U38" i="4"/>
  <c r="Q39" i="4"/>
  <c r="R39" i="4"/>
  <c r="S39" i="4"/>
  <c r="T39" i="4"/>
  <c r="U39" i="4"/>
  <c r="Q40" i="4"/>
  <c r="R40" i="4"/>
  <c r="S40" i="4"/>
  <c r="T40" i="4"/>
  <c r="U40" i="4"/>
  <c r="Q41" i="4"/>
  <c r="R41" i="4"/>
  <c r="S41" i="4"/>
  <c r="T41" i="4"/>
  <c r="U41" i="4"/>
  <c r="Q42" i="4"/>
  <c r="R42" i="4"/>
  <c r="S42" i="4"/>
  <c r="T42" i="4"/>
  <c r="U42" i="4"/>
  <c r="Q43" i="4"/>
  <c r="R43" i="4"/>
  <c r="S43" i="4"/>
  <c r="T43" i="4"/>
  <c r="U43" i="4"/>
  <c r="Q44" i="4"/>
  <c r="R44" i="4"/>
  <c r="S44" i="4"/>
  <c r="T44" i="4"/>
  <c r="U44" i="4"/>
  <c r="Q45" i="4"/>
  <c r="R45" i="4"/>
  <c r="S45" i="4"/>
  <c r="T45" i="4"/>
  <c r="U45" i="4"/>
  <c r="Q46" i="4"/>
  <c r="R46" i="4"/>
  <c r="S46" i="4"/>
  <c r="T46" i="4"/>
  <c r="U46" i="4"/>
  <c r="Q47" i="4"/>
  <c r="R47" i="4"/>
  <c r="S47" i="4"/>
  <c r="T47" i="4"/>
  <c r="U47" i="4"/>
  <c r="Q48" i="4"/>
  <c r="R48" i="4"/>
  <c r="S48" i="4"/>
  <c r="T48" i="4"/>
  <c r="U48" i="4"/>
  <c r="Q49" i="4"/>
  <c r="R49" i="4"/>
  <c r="S49" i="4"/>
  <c r="T49" i="4"/>
  <c r="U49" i="4"/>
  <c r="Q50" i="4"/>
  <c r="R50" i="4"/>
  <c r="S50" i="4"/>
  <c r="T50" i="4"/>
  <c r="U50" i="4"/>
  <c r="Q51" i="4"/>
  <c r="R51" i="4"/>
  <c r="S51" i="4"/>
  <c r="T51" i="4"/>
  <c r="U51" i="4"/>
  <c r="Q52" i="4"/>
  <c r="R52" i="4"/>
  <c r="S52" i="4"/>
  <c r="T52" i="4"/>
  <c r="U52" i="4"/>
  <c r="Q53" i="4"/>
  <c r="R53" i="4"/>
  <c r="S53" i="4"/>
  <c r="T53" i="4"/>
  <c r="U53" i="4"/>
  <c r="Q54" i="4"/>
  <c r="R54" i="4"/>
  <c r="S54" i="4"/>
  <c r="T54" i="4"/>
  <c r="U54" i="4"/>
  <c r="Q55" i="4"/>
  <c r="R55" i="4"/>
  <c r="S55" i="4"/>
  <c r="T55" i="4"/>
  <c r="U55" i="4"/>
  <c r="Q56" i="4"/>
  <c r="R56" i="4"/>
  <c r="S56" i="4"/>
  <c r="T56" i="4"/>
  <c r="U56" i="4"/>
  <c r="Q5" i="4"/>
  <c r="R5" i="4"/>
  <c r="S5" i="4"/>
  <c r="T5" i="4"/>
  <c r="U5" i="4"/>
  <c r="Q6" i="4"/>
  <c r="R6" i="4"/>
  <c r="S6" i="4"/>
  <c r="T6" i="4"/>
  <c r="U6" i="4"/>
  <c r="Q7" i="4"/>
  <c r="R7" i="4"/>
  <c r="S7" i="4"/>
  <c r="T7" i="4"/>
  <c r="U7" i="4"/>
  <c r="Q8" i="4"/>
  <c r="R8" i="4"/>
  <c r="S8" i="4"/>
  <c r="T8" i="4"/>
  <c r="U8" i="4"/>
  <c r="Q9" i="4"/>
  <c r="R9" i="4"/>
  <c r="S9" i="4"/>
  <c r="T9" i="4"/>
  <c r="U9" i="4"/>
  <c r="Q10" i="4"/>
  <c r="R10" i="4"/>
  <c r="S10" i="4"/>
  <c r="T10" i="4"/>
  <c r="U10" i="4"/>
  <c r="Q11" i="4"/>
  <c r="R11" i="4"/>
  <c r="S11" i="4"/>
  <c r="T11" i="4"/>
  <c r="U11" i="4"/>
  <c r="Q12" i="4"/>
  <c r="R12" i="4"/>
  <c r="S12" i="4"/>
  <c r="T12" i="4"/>
  <c r="U12" i="4"/>
  <c r="Q13" i="4"/>
  <c r="R13" i="4"/>
  <c r="S13" i="4"/>
  <c r="T13" i="4"/>
  <c r="U13" i="4"/>
  <c r="Q14" i="4"/>
  <c r="R14" i="4"/>
  <c r="S14" i="4"/>
  <c r="T14" i="4"/>
  <c r="U14" i="4"/>
  <c r="Q15" i="4"/>
  <c r="R15" i="4"/>
  <c r="S15" i="4"/>
  <c r="T15" i="4"/>
  <c r="U15" i="4"/>
  <c r="Q16" i="4"/>
  <c r="R16" i="4"/>
  <c r="S16" i="4"/>
  <c r="T16" i="4"/>
  <c r="U16" i="4"/>
  <c r="Q17" i="4"/>
  <c r="R17" i="4"/>
  <c r="S17" i="4"/>
  <c r="T17" i="4"/>
  <c r="U17" i="4"/>
  <c r="Q18" i="4"/>
  <c r="R18" i="4"/>
  <c r="S18" i="4"/>
  <c r="T18" i="4"/>
  <c r="U18" i="4"/>
  <c r="Q19" i="4"/>
  <c r="R19" i="4"/>
  <c r="S19" i="4"/>
  <c r="T19" i="4"/>
  <c r="U19" i="4"/>
  <c r="Q20" i="4"/>
  <c r="R20" i="4"/>
  <c r="S20" i="4"/>
  <c r="T20" i="4"/>
  <c r="U20" i="4"/>
  <c r="Q21" i="4"/>
  <c r="R21" i="4"/>
  <c r="S21" i="4"/>
  <c r="T21" i="4"/>
  <c r="U21" i="4"/>
  <c r="Q22" i="4"/>
  <c r="R22" i="4"/>
  <c r="S22" i="4"/>
  <c r="T22" i="4"/>
  <c r="U22" i="4"/>
  <c r="Q23" i="4"/>
  <c r="R23" i="4"/>
  <c r="S23" i="4"/>
  <c r="T23" i="4"/>
  <c r="U23" i="4"/>
  <c r="Q24" i="4"/>
  <c r="R24" i="4"/>
  <c r="S24" i="4"/>
  <c r="T24" i="4"/>
  <c r="U24" i="4"/>
  <c r="Q25" i="4"/>
  <c r="R25" i="4"/>
  <c r="S25" i="4"/>
  <c r="T25" i="4"/>
  <c r="U25" i="4"/>
  <c r="Q26" i="4"/>
  <c r="R26" i="4"/>
  <c r="S26" i="4"/>
  <c r="T26" i="4"/>
  <c r="U26" i="4"/>
  <c r="Q27" i="4"/>
  <c r="R27" i="4"/>
  <c r="S27" i="4"/>
  <c r="T27" i="4"/>
  <c r="U27" i="4"/>
  <c r="Q28" i="4"/>
  <c r="R28" i="4"/>
  <c r="S28" i="4"/>
  <c r="T28" i="4"/>
  <c r="U28" i="4"/>
  <c r="Q29" i="4"/>
  <c r="R29" i="4"/>
  <c r="S29" i="4"/>
  <c r="T29" i="4"/>
  <c r="U29" i="4"/>
  <c r="Q30" i="4"/>
  <c r="R30" i="4"/>
  <c r="S30" i="4"/>
  <c r="T30" i="4"/>
  <c r="U30" i="4"/>
  <c r="C74" i="4"/>
  <c r="D74" i="4"/>
  <c r="F74" i="4"/>
  <c r="AO74" i="4" s="1"/>
  <c r="G74" i="4"/>
  <c r="H74" i="4"/>
  <c r="I74" i="4"/>
  <c r="AM74" i="4" s="1"/>
  <c r="J74" i="4"/>
  <c r="AP74" i="4" s="1"/>
  <c r="K74" i="4"/>
  <c r="L74" i="4"/>
  <c r="M74" i="4"/>
  <c r="AN74" i="4" s="1"/>
  <c r="N74" i="4"/>
  <c r="O74" i="4"/>
  <c r="C75" i="4"/>
  <c r="D75" i="4"/>
  <c r="F75" i="4"/>
  <c r="AO75" i="4" s="1"/>
  <c r="G75" i="4"/>
  <c r="H75" i="4"/>
  <c r="I75" i="4"/>
  <c r="AM75" i="4" s="1"/>
  <c r="J75" i="4"/>
  <c r="AP75" i="4" s="1"/>
  <c r="K75" i="4"/>
  <c r="L75" i="4"/>
  <c r="M75" i="4"/>
  <c r="AN75" i="4" s="1"/>
  <c r="N75" i="4"/>
  <c r="O75" i="4"/>
  <c r="C76" i="4"/>
  <c r="D76" i="4"/>
  <c r="F76" i="4"/>
  <c r="AO76" i="4" s="1"/>
  <c r="G76" i="4"/>
  <c r="H76" i="4"/>
  <c r="I76" i="4"/>
  <c r="AM76" i="4" s="1"/>
  <c r="J76" i="4"/>
  <c r="AP76" i="4" s="1"/>
  <c r="K76" i="4"/>
  <c r="L76" i="4"/>
  <c r="M76" i="4"/>
  <c r="AN76" i="4" s="1"/>
  <c r="N76" i="4"/>
  <c r="O76" i="4"/>
  <c r="C77" i="4"/>
  <c r="D77" i="4"/>
  <c r="F77" i="4"/>
  <c r="AO77" i="4" s="1"/>
  <c r="G77" i="4"/>
  <c r="H77" i="4"/>
  <c r="I77" i="4"/>
  <c r="AM77" i="4" s="1"/>
  <c r="J77" i="4"/>
  <c r="AP77" i="4" s="1"/>
  <c r="K77" i="4"/>
  <c r="L77" i="4"/>
  <c r="M77" i="4"/>
  <c r="AN77" i="4" s="1"/>
  <c r="N77" i="4"/>
  <c r="O77" i="4"/>
  <c r="C78" i="4"/>
  <c r="D78" i="4"/>
  <c r="F78" i="4"/>
  <c r="AO78" i="4" s="1"/>
  <c r="G78" i="4"/>
  <c r="H78" i="4"/>
  <c r="I78" i="4"/>
  <c r="AM78" i="4" s="1"/>
  <c r="J78" i="4"/>
  <c r="AP78" i="4" s="1"/>
  <c r="K78" i="4"/>
  <c r="L78" i="4"/>
  <c r="M78" i="4"/>
  <c r="AN78" i="4" s="1"/>
  <c r="N78" i="4"/>
  <c r="O78" i="4"/>
  <c r="C79" i="4"/>
  <c r="D79" i="4"/>
  <c r="F79" i="4"/>
  <c r="AO79" i="4" s="1"/>
  <c r="G79" i="4"/>
  <c r="H79" i="4"/>
  <c r="I79" i="4"/>
  <c r="AM79" i="4" s="1"/>
  <c r="J79" i="4"/>
  <c r="AP79" i="4" s="1"/>
  <c r="K79" i="4"/>
  <c r="L79" i="4"/>
  <c r="M79" i="4"/>
  <c r="AN79" i="4" s="1"/>
  <c r="N79" i="4"/>
  <c r="O79" i="4"/>
  <c r="C80" i="4"/>
  <c r="D80" i="4"/>
  <c r="F80" i="4"/>
  <c r="AO80" i="4" s="1"/>
  <c r="G80" i="4"/>
  <c r="H80" i="4"/>
  <c r="I80" i="4"/>
  <c r="AM80" i="4" s="1"/>
  <c r="J80" i="4"/>
  <c r="AP80" i="4" s="1"/>
  <c r="K80" i="4"/>
  <c r="L80" i="4"/>
  <c r="M80" i="4"/>
  <c r="AN80" i="4" s="1"/>
  <c r="N80" i="4"/>
  <c r="O80" i="4"/>
  <c r="C53" i="4"/>
  <c r="D53" i="4"/>
  <c r="F53" i="4"/>
  <c r="AO53" i="4" s="1"/>
  <c r="G53" i="4"/>
  <c r="H53" i="4"/>
  <c r="I53" i="4"/>
  <c r="AM53" i="4" s="1"/>
  <c r="J53" i="4"/>
  <c r="AP53" i="4" s="1"/>
  <c r="K53" i="4"/>
  <c r="L53" i="4"/>
  <c r="M53" i="4"/>
  <c r="AN53" i="4" s="1"/>
  <c r="N53" i="4"/>
  <c r="O53" i="4"/>
  <c r="C54" i="4"/>
  <c r="D54" i="4"/>
  <c r="F54" i="4"/>
  <c r="AO54" i="4" s="1"/>
  <c r="G54" i="4"/>
  <c r="H54" i="4"/>
  <c r="I54" i="4"/>
  <c r="AM54" i="4" s="1"/>
  <c r="J54" i="4"/>
  <c r="AP54" i="4" s="1"/>
  <c r="K54" i="4"/>
  <c r="L54" i="4"/>
  <c r="M54" i="4"/>
  <c r="AN54" i="4" s="1"/>
  <c r="N54" i="4"/>
  <c r="O54" i="4"/>
  <c r="C55" i="4"/>
  <c r="D55" i="4"/>
  <c r="F55" i="4"/>
  <c r="AO55" i="4" s="1"/>
  <c r="G55" i="4"/>
  <c r="H55" i="4"/>
  <c r="I55" i="4"/>
  <c r="AM55" i="4" s="1"/>
  <c r="J55" i="4"/>
  <c r="AP55" i="4" s="1"/>
  <c r="K55" i="4"/>
  <c r="L55" i="4"/>
  <c r="M55" i="4"/>
  <c r="AN55" i="4" s="1"/>
  <c r="N55" i="4"/>
  <c r="O55" i="4"/>
  <c r="C56" i="4"/>
  <c r="D56" i="4"/>
  <c r="F56" i="4"/>
  <c r="AO56" i="4" s="1"/>
  <c r="G56" i="4"/>
  <c r="H56" i="4"/>
  <c r="I56" i="4"/>
  <c r="AM56" i="4" s="1"/>
  <c r="J56" i="4"/>
  <c r="AP56" i="4" s="1"/>
  <c r="K56" i="4"/>
  <c r="L56" i="4"/>
  <c r="M56" i="4"/>
  <c r="AN56" i="4" s="1"/>
  <c r="N56" i="4"/>
  <c r="O56" i="4"/>
  <c r="C57" i="4"/>
  <c r="D57" i="4"/>
  <c r="F57" i="4"/>
  <c r="AO57" i="4" s="1"/>
  <c r="G57" i="4"/>
  <c r="H57" i="4"/>
  <c r="I57" i="4"/>
  <c r="AM57" i="4" s="1"/>
  <c r="J57" i="4"/>
  <c r="AP57" i="4" s="1"/>
  <c r="K57" i="4"/>
  <c r="L57" i="4"/>
  <c r="M57" i="4"/>
  <c r="AN57" i="4" s="1"/>
  <c r="N57" i="4"/>
  <c r="O57" i="4"/>
  <c r="C58" i="4"/>
  <c r="D58" i="4"/>
  <c r="F58" i="4"/>
  <c r="AO58" i="4" s="1"/>
  <c r="G58" i="4"/>
  <c r="H58" i="4"/>
  <c r="I58" i="4"/>
  <c r="AM58" i="4" s="1"/>
  <c r="J58" i="4"/>
  <c r="AP58" i="4" s="1"/>
  <c r="K58" i="4"/>
  <c r="L58" i="4"/>
  <c r="M58" i="4"/>
  <c r="AN58" i="4" s="1"/>
  <c r="N58" i="4"/>
  <c r="O58" i="4"/>
  <c r="C59" i="4"/>
  <c r="D59" i="4"/>
  <c r="F59" i="4"/>
  <c r="AO59" i="4" s="1"/>
  <c r="G59" i="4"/>
  <c r="H59" i="4"/>
  <c r="I59" i="4"/>
  <c r="AM59" i="4" s="1"/>
  <c r="J59" i="4"/>
  <c r="AP59" i="4" s="1"/>
  <c r="K59" i="4"/>
  <c r="L59" i="4"/>
  <c r="M59" i="4"/>
  <c r="AN59" i="4" s="1"/>
  <c r="N59" i="4"/>
  <c r="O59" i="4"/>
  <c r="C60" i="4"/>
  <c r="D60" i="4"/>
  <c r="F60" i="4"/>
  <c r="AO60" i="4" s="1"/>
  <c r="G60" i="4"/>
  <c r="H60" i="4"/>
  <c r="I60" i="4"/>
  <c r="AM60" i="4" s="1"/>
  <c r="J60" i="4"/>
  <c r="AP60" i="4" s="1"/>
  <c r="K60" i="4"/>
  <c r="L60" i="4"/>
  <c r="M60" i="4"/>
  <c r="AN60" i="4" s="1"/>
  <c r="N60" i="4"/>
  <c r="O60" i="4"/>
  <c r="C61" i="4"/>
  <c r="D61" i="4"/>
  <c r="F61" i="4"/>
  <c r="AO61" i="4" s="1"/>
  <c r="G61" i="4"/>
  <c r="H61" i="4"/>
  <c r="I61" i="4"/>
  <c r="AM61" i="4" s="1"/>
  <c r="J61" i="4"/>
  <c r="AP61" i="4" s="1"/>
  <c r="K61" i="4"/>
  <c r="L61" i="4"/>
  <c r="M61" i="4"/>
  <c r="AN61" i="4" s="1"/>
  <c r="N61" i="4"/>
  <c r="O61" i="4"/>
  <c r="C62" i="4"/>
  <c r="D62" i="4"/>
  <c r="F62" i="4"/>
  <c r="AO62" i="4" s="1"/>
  <c r="G62" i="4"/>
  <c r="H62" i="4"/>
  <c r="I62" i="4"/>
  <c r="AM62" i="4" s="1"/>
  <c r="J62" i="4"/>
  <c r="AP62" i="4" s="1"/>
  <c r="K62" i="4"/>
  <c r="L62" i="4"/>
  <c r="M62" i="4"/>
  <c r="AN62" i="4" s="1"/>
  <c r="N62" i="4"/>
  <c r="O62" i="4"/>
  <c r="C63" i="4"/>
  <c r="D63" i="4"/>
  <c r="F63" i="4"/>
  <c r="AO63" i="4" s="1"/>
  <c r="G63" i="4"/>
  <c r="H63" i="4"/>
  <c r="I63" i="4"/>
  <c r="AM63" i="4" s="1"/>
  <c r="J63" i="4"/>
  <c r="AP63" i="4" s="1"/>
  <c r="K63" i="4"/>
  <c r="L63" i="4"/>
  <c r="M63" i="4"/>
  <c r="AN63" i="4" s="1"/>
  <c r="N63" i="4"/>
  <c r="O63" i="4"/>
  <c r="C64" i="4"/>
  <c r="D64" i="4"/>
  <c r="F64" i="4"/>
  <c r="AO64" i="4" s="1"/>
  <c r="G64" i="4"/>
  <c r="H64" i="4"/>
  <c r="I64" i="4"/>
  <c r="AM64" i="4" s="1"/>
  <c r="J64" i="4"/>
  <c r="AP64" i="4" s="1"/>
  <c r="K64" i="4"/>
  <c r="L64" i="4"/>
  <c r="M64" i="4"/>
  <c r="AN64" i="4" s="1"/>
  <c r="N64" i="4"/>
  <c r="O64" i="4"/>
  <c r="C65" i="4"/>
  <c r="D65" i="4"/>
  <c r="F65" i="4"/>
  <c r="AO65" i="4" s="1"/>
  <c r="G65" i="4"/>
  <c r="H65" i="4"/>
  <c r="I65" i="4"/>
  <c r="AM65" i="4" s="1"/>
  <c r="J65" i="4"/>
  <c r="AP65" i="4" s="1"/>
  <c r="K65" i="4"/>
  <c r="L65" i="4"/>
  <c r="M65" i="4"/>
  <c r="AN65" i="4" s="1"/>
  <c r="N65" i="4"/>
  <c r="O65" i="4"/>
  <c r="C66" i="4"/>
  <c r="D66" i="4"/>
  <c r="F66" i="4"/>
  <c r="AO66" i="4" s="1"/>
  <c r="G66" i="4"/>
  <c r="H66" i="4"/>
  <c r="I66" i="4"/>
  <c r="AM66" i="4" s="1"/>
  <c r="J66" i="4"/>
  <c r="AP66" i="4" s="1"/>
  <c r="K66" i="4"/>
  <c r="L66" i="4"/>
  <c r="M66" i="4"/>
  <c r="AN66" i="4" s="1"/>
  <c r="N66" i="4"/>
  <c r="O66" i="4"/>
  <c r="C67" i="4"/>
  <c r="D67" i="4"/>
  <c r="F67" i="4"/>
  <c r="AO67" i="4" s="1"/>
  <c r="G67" i="4"/>
  <c r="H67" i="4"/>
  <c r="I67" i="4"/>
  <c r="AM67" i="4" s="1"/>
  <c r="J67" i="4"/>
  <c r="AP67" i="4" s="1"/>
  <c r="K67" i="4"/>
  <c r="L67" i="4"/>
  <c r="M67" i="4"/>
  <c r="AN67" i="4" s="1"/>
  <c r="N67" i="4"/>
  <c r="O67" i="4"/>
  <c r="C68" i="4"/>
  <c r="D68" i="4"/>
  <c r="F68" i="4"/>
  <c r="AO68" i="4" s="1"/>
  <c r="G68" i="4"/>
  <c r="H68" i="4"/>
  <c r="I68" i="4"/>
  <c r="AM68" i="4" s="1"/>
  <c r="J68" i="4"/>
  <c r="AP68" i="4" s="1"/>
  <c r="K68" i="4"/>
  <c r="L68" i="4"/>
  <c r="M68" i="4"/>
  <c r="AN68" i="4" s="1"/>
  <c r="N68" i="4"/>
  <c r="O68" i="4"/>
  <c r="C69" i="4"/>
  <c r="D69" i="4"/>
  <c r="F69" i="4"/>
  <c r="AO69" i="4" s="1"/>
  <c r="G69" i="4"/>
  <c r="H69" i="4"/>
  <c r="I69" i="4"/>
  <c r="AM69" i="4" s="1"/>
  <c r="J69" i="4"/>
  <c r="AP69" i="4" s="1"/>
  <c r="K69" i="4"/>
  <c r="L69" i="4"/>
  <c r="M69" i="4"/>
  <c r="AN69" i="4" s="1"/>
  <c r="N69" i="4"/>
  <c r="O69" i="4"/>
  <c r="C70" i="4"/>
  <c r="D70" i="4"/>
  <c r="F70" i="4"/>
  <c r="AO70" i="4" s="1"/>
  <c r="G70" i="4"/>
  <c r="H70" i="4"/>
  <c r="I70" i="4"/>
  <c r="AM70" i="4" s="1"/>
  <c r="J70" i="4"/>
  <c r="AP70" i="4" s="1"/>
  <c r="K70" i="4"/>
  <c r="L70" i="4"/>
  <c r="M70" i="4"/>
  <c r="AN70" i="4" s="1"/>
  <c r="N70" i="4"/>
  <c r="O70" i="4"/>
  <c r="C71" i="4"/>
  <c r="D71" i="4"/>
  <c r="F71" i="4"/>
  <c r="AO71" i="4" s="1"/>
  <c r="G71" i="4"/>
  <c r="H71" i="4"/>
  <c r="I71" i="4"/>
  <c r="AM71" i="4" s="1"/>
  <c r="J71" i="4"/>
  <c r="AP71" i="4" s="1"/>
  <c r="K71" i="4"/>
  <c r="L71" i="4"/>
  <c r="M71" i="4"/>
  <c r="AN71" i="4" s="1"/>
  <c r="N71" i="4"/>
  <c r="O71" i="4"/>
  <c r="C72" i="4"/>
  <c r="D72" i="4"/>
  <c r="F72" i="4"/>
  <c r="AO72" i="4" s="1"/>
  <c r="G72" i="4"/>
  <c r="H72" i="4"/>
  <c r="I72" i="4"/>
  <c r="AM72" i="4" s="1"/>
  <c r="J72" i="4"/>
  <c r="AP72" i="4" s="1"/>
  <c r="K72" i="4"/>
  <c r="L72" i="4"/>
  <c r="M72" i="4"/>
  <c r="AN72" i="4" s="1"/>
  <c r="N72" i="4"/>
  <c r="O72" i="4"/>
  <c r="C73" i="4"/>
  <c r="D73" i="4"/>
  <c r="F73" i="4"/>
  <c r="AO73" i="4" s="1"/>
  <c r="G73" i="4"/>
  <c r="H73" i="4"/>
  <c r="I73" i="4"/>
  <c r="AM73" i="4" s="1"/>
  <c r="J73" i="4"/>
  <c r="AP73" i="4" s="1"/>
  <c r="K73" i="4"/>
  <c r="L73" i="4"/>
  <c r="M73" i="4"/>
  <c r="AN73" i="4" s="1"/>
  <c r="N73" i="4"/>
  <c r="O73" i="4"/>
  <c r="C30" i="4"/>
  <c r="D30" i="4"/>
  <c r="F30" i="4"/>
  <c r="AO30" i="4" s="1"/>
  <c r="G30" i="4"/>
  <c r="H30" i="4"/>
  <c r="I30" i="4"/>
  <c r="AM30" i="4" s="1"/>
  <c r="J30" i="4"/>
  <c r="AP30" i="4" s="1"/>
  <c r="K30" i="4"/>
  <c r="L30" i="4"/>
  <c r="M30" i="4"/>
  <c r="AN30" i="4" s="1"/>
  <c r="N30" i="4"/>
  <c r="O30" i="4"/>
  <c r="C31" i="4"/>
  <c r="D31" i="4"/>
  <c r="F31" i="4"/>
  <c r="AO31" i="4" s="1"/>
  <c r="G31" i="4"/>
  <c r="H31" i="4"/>
  <c r="I31" i="4"/>
  <c r="AM31" i="4" s="1"/>
  <c r="J31" i="4"/>
  <c r="AP31" i="4" s="1"/>
  <c r="K31" i="4"/>
  <c r="L31" i="4"/>
  <c r="M31" i="4"/>
  <c r="AN31" i="4" s="1"/>
  <c r="N31" i="4"/>
  <c r="O31" i="4"/>
  <c r="C32" i="4"/>
  <c r="D32" i="4"/>
  <c r="F32" i="4"/>
  <c r="AO32" i="4" s="1"/>
  <c r="G32" i="4"/>
  <c r="H32" i="4"/>
  <c r="I32" i="4"/>
  <c r="AM32" i="4" s="1"/>
  <c r="J32" i="4"/>
  <c r="AP32" i="4" s="1"/>
  <c r="K32" i="4"/>
  <c r="L32" i="4"/>
  <c r="M32" i="4"/>
  <c r="AN32" i="4" s="1"/>
  <c r="N32" i="4"/>
  <c r="O32" i="4"/>
  <c r="C33" i="4"/>
  <c r="D33" i="4"/>
  <c r="F33" i="4"/>
  <c r="AO33" i="4" s="1"/>
  <c r="G33" i="4"/>
  <c r="H33" i="4"/>
  <c r="I33" i="4"/>
  <c r="AM33" i="4" s="1"/>
  <c r="J33" i="4"/>
  <c r="AP33" i="4" s="1"/>
  <c r="K33" i="4"/>
  <c r="L33" i="4"/>
  <c r="M33" i="4"/>
  <c r="AN33" i="4" s="1"/>
  <c r="N33" i="4"/>
  <c r="O33" i="4"/>
  <c r="C34" i="4"/>
  <c r="D34" i="4"/>
  <c r="F34" i="4"/>
  <c r="AO34" i="4" s="1"/>
  <c r="G34" i="4"/>
  <c r="H34" i="4"/>
  <c r="I34" i="4"/>
  <c r="AM34" i="4" s="1"/>
  <c r="J34" i="4"/>
  <c r="AP34" i="4" s="1"/>
  <c r="K34" i="4"/>
  <c r="L34" i="4"/>
  <c r="M34" i="4"/>
  <c r="AN34" i="4" s="1"/>
  <c r="N34" i="4"/>
  <c r="O34" i="4"/>
  <c r="C35" i="4"/>
  <c r="D35" i="4"/>
  <c r="F35" i="4"/>
  <c r="AO35" i="4" s="1"/>
  <c r="G35" i="4"/>
  <c r="H35" i="4"/>
  <c r="I35" i="4"/>
  <c r="AM35" i="4" s="1"/>
  <c r="J35" i="4"/>
  <c r="AP35" i="4" s="1"/>
  <c r="K35" i="4"/>
  <c r="L35" i="4"/>
  <c r="M35" i="4"/>
  <c r="AN35" i="4" s="1"/>
  <c r="N35" i="4"/>
  <c r="O35" i="4"/>
  <c r="C36" i="4"/>
  <c r="D36" i="4"/>
  <c r="F36" i="4"/>
  <c r="AO36" i="4" s="1"/>
  <c r="G36" i="4"/>
  <c r="H36" i="4"/>
  <c r="I36" i="4"/>
  <c r="AM36" i="4" s="1"/>
  <c r="J36" i="4"/>
  <c r="AP36" i="4" s="1"/>
  <c r="K36" i="4"/>
  <c r="L36" i="4"/>
  <c r="M36" i="4"/>
  <c r="AN36" i="4" s="1"/>
  <c r="N36" i="4"/>
  <c r="O36" i="4"/>
  <c r="C37" i="4"/>
  <c r="D37" i="4"/>
  <c r="F37" i="4"/>
  <c r="AO37" i="4" s="1"/>
  <c r="G37" i="4"/>
  <c r="H37" i="4"/>
  <c r="I37" i="4"/>
  <c r="AM37" i="4" s="1"/>
  <c r="J37" i="4"/>
  <c r="AP37" i="4" s="1"/>
  <c r="K37" i="4"/>
  <c r="L37" i="4"/>
  <c r="M37" i="4"/>
  <c r="AN37" i="4" s="1"/>
  <c r="N37" i="4"/>
  <c r="O37" i="4"/>
  <c r="C38" i="4"/>
  <c r="D38" i="4"/>
  <c r="F38" i="4"/>
  <c r="AO38" i="4" s="1"/>
  <c r="G38" i="4"/>
  <c r="H38" i="4"/>
  <c r="I38" i="4"/>
  <c r="AM38" i="4" s="1"/>
  <c r="J38" i="4"/>
  <c r="AP38" i="4" s="1"/>
  <c r="K38" i="4"/>
  <c r="L38" i="4"/>
  <c r="M38" i="4"/>
  <c r="AN38" i="4" s="1"/>
  <c r="N38" i="4"/>
  <c r="O38" i="4"/>
  <c r="C39" i="4"/>
  <c r="D39" i="4"/>
  <c r="F39" i="4"/>
  <c r="AO39" i="4" s="1"/>
  <c r="G39" i="4"/>
  <c r="H39" i="4"/>
  <c r="I39" i="4"/>
  <c r="AM39" i="4" s="1"/>
  <c r="J39" i="4"/>
  <c r="AP39" i="4" s="1"/>
  <c r="K39" i="4"/>
  <c r="L39" i="4"/>
  <c r="M39" i="4"/>
  <c r="AN39" i="4" s="1"/>
  <c r="N39" i="4"/>
  <c r="O39" i="4"/>
  <c r="C40" i="4"/>
  <c r="D40" i="4"/>
  <c r="F40" i="4"/>
  <c r="AO40" i="4" s="1"/>
  <c r="G40" i="4"/>
  <c r="H40" i="4"/>
  <c r="I40" i="4"/>
  <c r="AM40" i="4" s="1"/>
  <c r="J40" i="4"/>
  <c r="AP40" i="4" s="1"/>
  <c r="K40" i="4"/>
  <c r="L40" i="4"/>
  <c r="M40" i="4"/>
  <c r="AN40" i="4" s="1"/>
  <c r="N40" i="4"/>
  <c r="O40" i="4"/>
  <c r="C41" i="4"/>
  <c r="D41" i="4"/>
  <c r="F41" i="4"/>
  <c r="AO41" i="4" s="1"/>
  <c r="G41" i="4"/>
  <c r="H41" i="4"/>
  <c r="I41" i="4"/>
  <c r="AM41" i="4" s="1"/>
  <c r="J41" i="4"/>
  <c r="AP41" i="4" s="1"/>
  <c r="K41" i="4"/>
  <c r="L41" i="4"/>
  <c r="M41" i="4"/>
  <c r="AN41" i="4" s="1"/>
  <c r="N41" i="4"/>
  <c r="O41" i="4"/>
  <c r="C42" i="4"/>
  <c r="D42" i="4"/>
  <c r="F42" i="4"/>
  <c r="AO42" i="4" s="1"/>
  <c r="G42" i="4"/>
  <c r="H42" i="4"/>
  <c r="I42" i="4"/>
  <c r="AM42" i="4" s="1"/>
  <c r="J42" i="4"/>
  <c r="AP42" i="4" s="1"/>
  <c r="K42" i="4"/>
  <c r="L42" i="4"/>
  <c r="M42" i="4"/>
  <c r="AN42" i="4" s="1"/>
  <c r="N42" i="4"/>
  <c r="O42" i="4"/>
  <c r="C43" i="4"/>
  <c r="D43" i="4"/>
  <c r="F43" i="4"/>
  <c r="AO43" i="4" s="1"/>
  <c r="G43" i="4"/>
  <c r="H43" i="4"/>
  <c r="I43" i="4"/>
  <c r="AM43" i="4" s="1"/>
  <c r="J43" i="4"/>
  <c r="AP43" i="4" s="1"/>
  <c r="K43" i="4"/>
  <c r="L43" i="4"/>
  <c r="M43" i="4"/>
  <c r="AN43" i="4" s="1"/>
  <c r="N43" i="4"/>
  <c r="O43" i="4"/>
  <c r="C44" i="4"/>
  <c r="D44" i="4"/>
  <c r="F44" i="4"/>
  <c r="AO44" i="4" s="1"/>
  <c r="G44" i="4"/>
  <c r="H44" i="4"/>
  <c r="I44" i="4"/>
  <c r="AM44" i="4" s="1"/>
  <c r="J44" i="4"/>
  <c r="AP44" i="4" s="1"/>
  <c r="K44" i="4"/>
  <c r="L44" i="4"/>
  <c r="M44" i="4"/>
  <c r="AN44" i="4" s="1"/>
  <c r="N44" i="4"/>
  <c r="O44" i="4"/>
  <c r="C45" i="4"/>
  <c r="D45" i="4"/>
  <c r="F45" i="4"/>
  <c r="AO45" i="4" s="1"/>
  <c r="G45" i="4"/>
  <c r="H45" i="4"/>
  <c r="I45" i="4"/>
  <c r="AM45" i="4" s="1"/>
  <c r="J45" i="4"/>
  <c r="AP45" i="4" s="1"/>
  <c r="K45" i="4"/>
  <c r="L45" i="4"/>
  <c r="M45" i="4"/>
  <c r="AN45" i="4" s="1"/>
  <c r="N45" i="4"/>
  <c r="O45" i="4"/>
  <c r="C46" i="4"/>
  <c r="D46" i="4"/>
  <c r="F46" i="4"/>
  <c r="AO46" i="4" s="1"/>
  <c r="G46" i="4"/>
  <c r="H46" i="4"/>
  <c r="I46" i="4"/>
  <c r="AM46" i="4" s="1"/>
  <c r="J46" i="4"/>
  <c r="AP46" i="4" s="1"/>
  <c r="K46" i="4"/>
  <c r="L46" i="4"/>
  <c r="M46" i="4"/>
  <c r="AN46" i="4" s="1"/>
  <c r="N46" i="4"/>
  <c r="O46" i="4"/>
  <c r="C47" i="4"/>
  <c r="D47" i="4"/>
  <c r="F47" i="4"/>
  <c r="AO47" i="4" s="1"/>
  <c r="G47" i="4"/>
  <c r="H47" i="4"/>
  <c r="I47" i="4"/>
  <c r="AM47" i="4" s="1"/>
  <c r="J47" i="4"/>
  <c r="AP47" i="4" s="1"/>
  <c r="K47" i="4"/>
  <c r="L47" i="4"/>
  <c r="M47" i="4"/>
  <c r="AN47" i="4" s="1"/>
  <c r="N47" i="4"/>
  <c r="O47" i="4"/>
  <c r="C48" i="4"/>
  <c r="D48" i="4"/>
  <c r="F48" i="4"/>
  <c r="AO48" i="4" s="1"/>
  <c r="G48" i="4"/>
  <c r="H48" i="4"/>
  <c r="I48" i="4"/>
  <c r="AM48" i="4" s="1"/>
  <c r="J48" i="4"/>
  <c r="AP48" i="4" s="1"/>
  <c r="K48" i="4"/>
  <c r="L48" i="4"/>
  <c r="M48" i="4"/>
  <c r="AN48" i="4" s="1"/>
  <c r="N48" i="4"/>
  <c r="O48" i="4"/>
  <c r="C49" i="4"/>
  <c r="D49" i="4"/>
  <c r="F49" i="4"/>
  <c r="AO49" i="4" s="1"/>
  <c r="G49" i="4"/>
  <c r="H49" i="4"/>
  <c r="I49" i="4"/>
  <c r="AM49" i="4" s="1"/>
  <c r="J49" i="4"/>
  <c r="AP49" i="4" s="1"/>
  <c r="K49" i="4"/>
  <c r="L49" i="4"/>
  <c r="M49" i="4"/>
  <c r="AN49" i="4" s="1"/>
  <c r="N49" i="4"/>
  <c r="O49" i="4"/>
  <c r="C50" i="4"/>
  <c r="D50" i="4"/>
  <c r="F50" i="4"/>
  <c r="AO50" i="4" s="1"/>
  <c r="G50" i="4"/>
  <c r="H50" i="4"/>
  <c r="I50" i="4"/>
  <c r="AM50" i="4" s="1"/>
  <c r="J50" i="4"/>
  <c r="AP50" i="4" s="1"/>
  <c r="K50" i="4"/>
  <c r="L50" i="4"/>
  <c r="M50" i="4"/>
  <c r="AN50" i="4" s="1"/>
  <c r="N50" i="4"/>
  <c r="O50" i="4"/>
  <c r="C51" i="4"/>
  <c r="D51" i="4"/>
  <c r="F51" i="4"/>
  <c r="AO51" i="4" s="1"/>
  <c r="G51" i="4"/>
  <c r="H51" i="4"/>
  <c r="I51" i="4"/>
  <c r="AM51" i="4" s="1"/>
  <c r="J51" i="4"/>
  <c r="AP51" i="4" s="1"/>
  <c r="K51" i="4"/>
  <c r="L51" i="4"/>
  <c r="M51" i="4"/>
  <c r="AN51" i="4" s="1"/>
  <c r="N51" i="4"/>
  <c r="O51" i="4"/>
  <c r="C52" i="4"/>
  <c r="D52" i="4"/>
  <c r="F52" i="4"/>
  <c r="AO52" i="4" s="1"/>
  <c r="G52" i="4"/>
  <c r="H52" i="4"/>
  <c r="I52" i="4"/>
  <c r="AM52" i="4" s="1"/>
  <c r="J52" i="4"/>
  <c r="AP52" i="4" s="1"/>
  <c r="K52" i="4"/>
  <c r="L52" i="4"/>
  <c r="M52" i="4"/>
  <c r="AN52" i="4" s="1"/>
  <c r="N52" i="4"/>
  <c r="O52" i="4"/>
  <c r="C5" i="4"/>
  <c r="D5" i="4"/>
  <c r="F5" i="4"/>
  <c r="AO5" i="4" s="1"/>
  <c r="G5" i="4"/>
  <c r="H5" i="4"/>
  <c r="I5" i="4"/>
  <c r="AM5" i="4" s="1"/>
  <c r="J5" i="4"/>
  <c r="AP5" i="4" s="1"/>
  <c r="K5" i="4"/>
  <c r="L5" i="4"/>
  <c r="M5" i="4"/>
  <c r="AN5" i="4" s="1"/>
  <c r="N5" i="4"/>
  <c r="O5" i="4"/>
  <c r="C6" i="4"/>
  <c r="D6" i="4"/>
  <c r="F6" i="4"/>
  <c r="AO6" i="4" s="1"/>
  <c r="G6" i="4"/>
  <c r="H6" i="4"/>
  <c r="I6" i="4"/>
  <c r="AM6" i="4" s="1"/>
  <c r="J6" i="4"/>
  <c r="AP6" i="4" s="1"/>
  <c r="K6" i="4"/>
  <c r="L6" i="4"/>
  <c r="M6" i="4"/>
  <c r="AN6" i="4" s="1"/>
  <c r="N6" i="4"/>
  <c r="O6" i="4"/>
  <c r="C7" i="4"/>
  <c r="D7" i="4"/>
  <c r="F7" i="4"/>
  <c r="AO7" i="4" s="1"/>
  <c r="G7" i="4"/>
  <c r="H7" i="4"/>
  <c r="I7" i="4"/>
  <c r="AM7" i="4" s="1"/>
  <c r="J7" i="4"/>
  <c r="AP7" i="4" s="1"/>
  <c r="K7" i="4"/>
  <c r="L7" i="4"/>
  <c r="M7" i="4"/>
  <c r="AN7" i="4" s="1"/>
  <c r="N7" i="4"/>
  <c r="O7" i="4"/>
  <c r="C8" i="4"/>
  <c r="D8" i="4"/>
  <c r="F8" i="4"/>
  <c r="AO8" i="4" s="1"/>
  <c r="G8" i="4"/>
  <c r="H8" i="4"/>
  <c r="I8" i="4"/>
  <c r="AM8" i="4" s="1"/>
  <c r="J8" i="4"/>
  <c r="AP8" i="4" s="1"/>
  <c r="K8" i="4"/>
  <c r="L8" i="4"/>
  <c r="M8" i="4"/>
  <c r="AN8" i="4" s="1"/>
  <c r="N8" i="4"/>
  <c r="O8" i="4"/>
  <c r="C9" i="4"/>
  <c r="D9" i="4"/>
  <c r="F9" i="4"/>
  <c r="AO9" i="4" s="1"/>
  <c r="G9" i="4"/>
  <c r="H9" i="4"/>
  <c r="I9" i="4"/>
  <c r="AM9" i="4" s="1"/>
  <c r="J9" i="4"/>
  <c r="AP9" i="4" s="1"/>
  <c r="K9" i="4"/>
  <c r="L9" i="4"/>
  <c r="M9" i="4"/>
  <c r="AN9" i="4" s="1"/>
  <c r="N9" i="4"/>
  <c r="O9" i="4"/>
  <c r="C10" i="4"/>
  <c r="D10" i="4"/>
  <c r="F10" i="4"/>
  <c r="AO10" i="4" s="1"/>
  <c r="G10" i="4"/>
  <c r="H10" i="4"/>
  <c r="I10" i="4"/>
  <c r="AM10" i="4" s="1"/>
  <c r="J10" i="4"/>
  <c r="AP10" i="4" s="1"/>
  <c r="K10" i="4"/>
  <c r="L10" i="4"/>
  <c r="M10" i="4"/>
  <c r="AN10" i="4" s="1"/>
  <c r="N10" i="4"/>
  <c r="O10" i="4"/>
  <c r="C11" i="4"/>
  <c r="D11" i="4"/>
  <c r="F11" i="4"/>
  <c r="AO11" i="4" s="1"/>
  <c r="G11" i="4"/>
  <c r="H11" i="4"/>
  <c r="I11" i="4"/>
  <c r="AM11" i="4" s="1"/>
  <c r="J11" i="4"/>
  <c r="AP11" i="4" s="1"/>
  <c r="K11" i="4"/>
  <c r="L11" i="4"/>
  <c r="M11" i="4"/>
  <c r="AN11" i="4" s="1"/>
  <c r="N11" i="4"/>
  <c r="O11" i="4"/>
  <c r="C12" i="4"/>
  <c r="D12" i="4"/>
  <c r="F12" i="4"/>
  <c r="AO12" i="4" s="1"/>
  <c r="G12" i="4"/>
  <c r="H12" i="4"/>
  <c r="I12" i="4"/>
  <c r="AM12" i="4" s="1"/>
  <c r="J12" i="4"/>
  <c r="AP12" i="4" s="1"/>
  <c r="K12" i="4"/>
  <c r="L12" i="4"/>
  <c r="M12" i="4"/>
  <c r="AN12" i="4" s="1"/>
  <c r="N12" i="4"/>
  <c r="O12" i="4"/>
  <c r="C13" i="4"/>
  <c r="D13" i="4"/>
  <c r="F13" i="4"/>
  <c r="AO13" i="4" s="1"/>
  <c r="G13" i="4"/>
  <c r="H13" i="4"/>
  <c r="I13" i="4"/>
  <c r="AM13" i="4" s="1"/>
  <c r="J13" i="4"/>
  <c r="AP13" i="4" s="1"/>
  <c r="K13" i="4"/>
  <c r="L13" i="4"/>
  <c r="M13" i="4"/>
  <c r="AN13" i="4" s="1"/>
  <c r="N13" i="4"/>
  <c r="O13" i="4"/>
  <c r="C14" i="4"/>
  <c r="D14" i="4"/>
  <c r="F14" i="4"/>
  <c r="AO14" i="4" s="1"/>
  <c r="G14" i="4"/>
  <c r="H14" i="4"/>
  <c r="I14" i="4"/>
  <c r="AM14" i="4" s="1"/>
  <c r="J14" i="4"/>
  <c r="AP14" i="4" s="1"/>
  <c r="K14" i="4"/>
  <c r="L14" i="4"/>
  <c r="M14" i="4"/>
  <c r="AN14" i="4" s="1"/>
  <c r="N14" i="4"/>
  <c r="O14" i="4"/>
  <c r="C15" i="4"/>
  <c r="D15" i="4"/>
  <c r="F15" i="4"/>
  <c r="AO15" i="4" s="1"/>
  <c r="G15" i="4"/>
  <c r="H15" i="4"/>
  <c r="I15" i="4"/>
  <c r="AM15" i="4" s="1"/>
  <c r="J15" i="4"/>
  <c r="AP15" i="4" s="1"/>
  <c r="K15" i="4"/>
  <c r="L15" i="4"/>
  <c r="M15" i="4"/>
  <c r="AN15" i="4" s="1"/>
  <c r="N15" i="4"/>
  <c r="O15" i="4"/>
  <c r="C16" i="4"/>
  <c r="D16" i="4"/>
  <c r="F16" i="4"/>
  <c r="AO16" i="4" s="1"/>
  <c r="G16" i="4"/>
  <c r="H16" i="4"/>
  <c r="I16" i="4"/>
  <c r="AM16" i="4" s="1"/>
  <c r="J16" i="4"/>
  <c r="AP16" i="4" s="1"/>
  <c r="K16" i="4"/>
  <c r="L16" i="4"/>
  <c r="M16" i="4"/>
  <c r="AN16" i="4" s="1"/>
  <c r="N16" i="4"/>
  <c r="O16" i="4"/>
  <c r="C17" i="4"/>
  <c r="D17" i="4"/>
  <c r="F17" i="4"/>
  <c r="AO17" i="4" s="1"/>
  <c r="G17" i="4"/>
  <c r="H17" i="4"/>
  <c r="I17" i="4"/>
  <c r="AM17" i="4" s="1"/>
  <c r="J17" i="4"/>
  <c r="AP17" i="4" s="1"/>
  <c r="K17" i="4"/>
  <c r="L17" i="4"/>
  <c r="M17" i="4"/>
  <c r="AN17" i="4" s="1"/>
  <c r="N17" i="4"/>
  <c r="O17" i="4"/>
  <c r="C18" i="4"/>
  <c r="D18" i="4"/>
  <c r="F18" i="4"/>
  <c r="AO18" i="4" s="1"/>
  <c r="G18" i="4"/>
  <c r="H18" i="4"/>
  <c r="I18" i="4"/>
  <c r="AM18" i="4" s="1"/>
  <c r="J18" i="4"/>
  <c r="AP18" i="4" s="1"/>
  <c r="K18" i="4"/>
  <c r="L18" i="4"/>
  <c r="M18" i="4"/>
  <c r="AN18" i="4" s="1"/>
  <c r="N18" i="4"/>
  <c r="O18" i="4"/>
  <c r="C19" i="4"/>
  <c r="D19" i="4"/>
  <c r="F19" i="4"/>
  <c r="AO19" i="4" s="1"/>
  <c r="G19" i="4"/>
  <c r="H19" i="4"/>
  <c r="I19" i="4"/>
  <c r="AM19" i="4" s="1"/>
  <c r="J19" i="4"/>
  <c r="AP19" i="4" s="1"/>
  <c r="K19" i="4"/>
  <c r="L19" i="4"/>
  <c r="M19" i="4"/>
  <c r="AN19" i="4" s="1"/>
  <c r="N19" i="4"/>
  <c r="O19" i="4"/>
  <c r="C20" i="4"/>
  <c r="D20" i="4"/>
  <c r="F20" i="4"/>
  <c r="AO20" i="4" s="1"/>
  <c r="G20" i="4"/>
  <c r="H20" i="4"/>
  <c r="I20" i="4"/>
  <c r="AM20" i="4" s="1"/>
  <c r="J20" i="4"/>
  <c r="AP20" i="4" s="1"/>
  <c r="K20" i="4"/>
  <c r="L20" i="4"/>
  <c r="M20" i="4"/>
  <c r="AN20" i="4" s="1"/>
  <c r="N20" i="4"/>
  <c r="O20" i="4"/>
  <c r="C21" i="4"/>
  <c r="D21" i="4"/>
  <c r="F21" i="4"/>
  <c r="AO21" i="4" s="1"/>
  <c r="G21" i="4"/>
  <c r="H21" i="4"/>
  <c r="I21" i="4"/>
  <c r="AM21" i="4" s="1"/>
  <c r="J21" i="4"/>
  <c r="AP21" i="4" s="1"/>
  <c r="K21" i="4"/>
  <c r="L21" i="4"/>
  <c r="M21" i="4"/>
  <c r="AN21" i="4" s="1"/>
  <c r="N21" i="4"/>
  <c r="O21" i="4"/>
  <c r="C22" i="4"/>
  <c r="D22" i="4"/>
  <c r="F22" i="4"/>
  <c r="AO22" i="4" s="1"/>
  <c r="G22" i="4"/>
  <c r="H22" i="4"/>
  <c r="I22" i="4"/>
  <c r="AM22" i="4" s="1"/>
  <c r="J22" i="4"/>
  <c r="AP22" i="4" s="1"/>
  <c r="K22" i="4"/>
  <c r="L22" i="4"/>
  <c r="M22" i="4"/>
  <c r="AN22" i="4" s="1"/>
  <c r="N22" i="4"/>
  <c r="O22" i="4"/>
  <c r="C23" i="4"/>
  <c r="D23" i="4"/>
  <c r="F23" i="4"/>
  <c r="AO23" i="4" s="1"/>
  <c r="G23" i="4"/>
  <c r="H23" i="4"/>
  <c r="I23" i="4"/>
  <c r="AM23" i="4" s="1"/>
  <c r="J23" i="4"/>
  <c r="AP23" i="4" s="1"/>
  <c r="K23" i="4"/>
  <c r="L23" i="4"/>
  <c r="M23" i="4"/>
  <c r="AN23" i="4" s="1"/>
  <c r="N23" i="4"/>
  <c r="O23" i="4"/>
  <c r="C24" i="4"/>
  <c r="D24" i="4"/>
  <c r="F24" i="4"/>
  <c r="AO24" i="4" s="1"/>
  <c r="G24" i="4"/>
  <c r="H24" i="4"/>
  <c r="I24" i="4"/>
  <c r="AM24" i="4" s="1"/>
  <c r="J24" i="4"/>
  <c r="AP24" i="4" s="1"/>
  <c r="K24" i="4"/>
  <c r="L24" i="4"/>
  <c r="M24" i="4"/>
  <c r="AN24" i="4" s="1"/>
  <c r="N24" i="4"/>
  <c r="O24" i="4"/>
  <c r="C25" i="4"/>
  <c r="D25" i="4"/>
  <c r="F25" i="4"/>
  <c r="AO25" i="4" s="1"/>
  <c r="G25" i="4"/>
  <c r="H25" i="4"/>
  <c r="I25" i="4"/>
  <c r="AM25" i="4" s="1"/>
  <c r="J25" i="4"/>
  <c r="AP25" i="4" s="1"/>
  <c r="K25" i="4"/>
  <c r="L25" i="4"/>
  <c r="M25" i="4"/>
  <c r="AN25" i="4" s="1"/>
  <c r="N25" i="4"/>
  <c r="O25" i="4"/>
  <c r="C26" i="4"/>
  <c r="D26" i="4"/>
  <c r="F26" i="4"/>
  <c r="AO26" i="4" s="1"/>
  <c r="G26" i="4"/>
  <c r="H26" i="4"/>
  <c r="I26" i="4"/>
  <c r="AM26" i="4" s="1"/>
  <c r="J26" i="4"/>
  <c r="AP26" i="4" s="1"/>
  <c r="K26" i="4"/>
  <c r="L26" i="4"/>
  <c r="M26" i="4"/>
  <c r="AN26" i="4" s="1"/>
  <c r="N26" i="4"/>
  <c r="O26" i="4"/>
  <c r="C27" i="4"/>
  <c r="D27" i="4"/>
  <c r="F27" i="4"/>
  <c r="AO27" i="4" s="1"/>
  <c r="G27" i="4"/>
  <c r="H27" i="4"/>
  <c r="I27" i="4"/>
  <c r="AM27" i="4" s="1"/>
  <c r="J27" i="4"/>
  <c r="AP27" i="4" s="1"/>
  <c r="K27" i="4"/>
  <c r="L27" i="4"/>
  <c r="M27" i="4"/>
  <c r="AN27" i="4" s="1"/>
  <c r="N27" i="4"/>
  <c r="O27" i="4"/>
  <c r="C28" i="4"/>
  <c r="D28" i="4"/>
  <c r="F28" i="4"/>
  <c r="AO28" i="4" s="1"/>
  <c r="G28" i="4"/>
  <c r="H28" i="4"/>
  <c r="I28" i="4"/>
  <c r="AM28" i="4" s="1"/>
  <c r="J28" i="4"/>
  <c r="AP28" i="4" s="1"/>
  <c r="K28" i="4"/>
  <c r="L28" i="4"/>
  <c r="M28" i="4"/>
  <c r="AN28" i="4" s="1"/>
  <c r="N28" i="4"/>
  <c r="O28" i="4"/>
  <c r="C29" i="4"/>
  <c r="D29" i="4"/>
  <c r="F29" i="4"/>
  <c r="AO29" i="4" s="1"/>
  <c r="G29" i="4"/>
  <c r="H29" i="4"/>
  <c r="I29" i="4"/>
  <c r="AM29" i="4" s="1"/>
  <c r="J29" i="4"/>
  <c r="AP29" i="4" s="1"/>
  <c r="K29" i="4"/>
  <c r="L29" i="4"/>
  <c r="M29" i="4"/>
  <c r="AN29" i="4" s="1"/>
  <c r="N29" i="4"/>
  <c r="O29" i="4"/>
  <c r="AN87" i="4" l="1"/>
  <c r="AM87" i="4"/>
  <c r="D4" i="4" l="1"/>
  <c r="C4" i="4"/>
  <c r="AM84" i="4" l="1"/>
  <c r="AN84" i="4"/>
  <c r="AN83" i="4" l="1"/>
  <c r="AN82" i="4"/>
  <c r="AM83" i="4"/>
  <c r="AM82" i="4"/>
  <c r="AN85" i="4"/>
  <c r="AM81" i="4"/>
  <c r="AN81" i="4"/>
  <c r="AM85" i="4"/>
  <c r="AN88" i="4" l="1"/>
  <c r="AM88" i="4"/>
  <c r="Q88" i="4" l="1"/>
  <c r="R88" i="4"/>
  <c r="S88" i="4"/>
  <c r="T88" i="4"/>
  <c r="U88" i="4"/>
  <c r="C88" i="4"/>
  <c r="F88" i="4"/>
  <c r="AO88" i="4" s="1"/>
  <c r="G88" i="4"/>
  <c r="H88" i="4"/>
  <c r="I88" i="4"/>
  <c r="J88" i="4"/>
  <c r="AP88" i="4" s="1"/>
  <c r="K88" i="4"/>
  <c r="L88" i="4"/>
  <c r="M88" i="4"/>
  <c r="N88" i="4"/>
  <c r="O88" i="4"/>
  <c r="O4" i="4"/>
  <c r="N4" i="4"/>
  <c r="M4" i="4"/>
  <c r="AN4" i="4" s="1"/>
  <c r="AN86" i="4" s="1"/>
  <c r="L4" i="4"/>
  <c r="K4" i="4"/>
  <c r="J4" i="4"/>
  <c r="AP4" i="4" s="1"/>
  <c r="I4" i="4"/>
  <c r="AM4" i="4" s="1"/>
  <c r="AM86" i="4" s="1"/>
  <c r="H4" i="4"/>
  <c r="G4" i="4"/>
  <c r="F4" i="4"/>
  <c r="AO4" i="4" l="1"/>
  <c r="W88" i="4"/>
  <c r="F86" i="4"/>
  <c r="AO86" i="4" s="1"/>
  <c r="J86" i="4"/>
  <c r="AP86" i="4" s="1"/>
  <c r="N86" i="4"/>
  <c r="H86" i="4"/>
  <c r="L86" i="4"/>
  <c r="L87" i="4"/>
  <c r="C87" i="4"/>
  <c r="U87" i="4"/>
  <c r="O87" i="4"/>
  <c r="G87" i="4"/>
  <c r="T87" i="4"/>
  <c r="N87" i="4"/>
  <c r="J87" i="4"/>
  <c r="AP87" i="4" s="1"/>
  <c r="F87" i="4"/>
  <c r="AO87" i="4" s="1"/>
  <c r="S87" i="4"/>
  <c r="H87" i="4"/>
  <c r="Q87" i="4"/>
  <c r="I86" i="4"/>
  <c r="M86" i="4"/>
  <c r="K87" i="4"/>
  <c r="G86" i="4"/>
  <c r="K86" i="4"/>
  <c r="O86" i="4"/>
  <c r="M87" i="4"/>
  <c r="I87" i="4"/>
  <c r="R87" i="4"/>
  <c r="W77" i="4"/>
  <c r="W49" i="4"/>
  <c r="W65" i="4"/>
  <c r="W33" i="4"/>
  <c r="W17" i="4"/>
  <c r="W53" i="4"/>
  <c r="W37" i="4"/>
  <c r="W73" i="4"/>
  <c r="W25" i="4"/>
  <c r="W75" i="4"/>
  <c r="W71" i="4"/>
  <c r="W56" i="4"/>
  <c r="W34" i="4"/>
  <c r="W61" i="4"/>
  <c r="W57" i="4"/>
  <c r="W45" i="4"/>
  <c r="W41" i="4"/>
  <c r="W29" i="4"/>
  <c r="W14" i="4"/>
  <c r="W78" i="4"/>
  <c r="W59" i="4"/>
  <c r="W40" i="4"/>
  <c r="W18" i="4"/>
  <c r="W69" i="4"/>
  <c r="W21" i="4"/>
  <c r="W66" i="4"/>
  <c r="W43" i="4"/>
  <c r="W24" i="4"/>
  <c r="W72" i="4"/>
  <c r="W50" i="4"/>
  <c r="W27" i="4"/>
  <c r="W68" i="4"/>
  <c r="W62" i="4"/>
  <c r="W55" i="4"/>
  <c r="W52" i="4"/>
  <c r="W46" i="4"/>
  <c r="W39" i="4"/>
  <c r="W36" i="4"/>
  <c r="W30" i="4"/>
  <c r="W23" i="4"/>
  <c r="W20" i="4"/>
  <c r="W15" i="4"/>
  <c r="W80" i="4"/>
  <c r="W74" i="4"/>
  <c r="W67" i="4"/>
  <c r="W64" i="4"/>
  <c r="W58" i="4"/>
  <c r="W51" i="4"/>
  <c r="W48" i="4"/>
  <c r="W42" i="4"/>
  <c r="W35" i="4"/>
  <c r="W32" i="4"/>
  <c r="W26" i="4"/>
  <c r="W19" i="4"/>
  <c r="W16" i="4"/>
  <c r="W79" i="4"/>
  <c r="W76" i="4"/>
  <c r="W70" i="4"/>
  <c r="W63" i="4"/>
  <c r="W60" i="4"/>
  <c r="W54" i="4"/>
  <c r="W47" i="4"/>
  <c r="W44" i="4"/>
  <c r="W38" i="4"/>
  <c r="W31" i="4"/>
  <c r="W28" i="4"/>
  <c r="W22" i="4"/>
  <c r="W13" i="4"/>
  <c r="W11" i="4"/>
  <c r="W9" i="4"/>
  <c r="W7" i="4"/>
  <c r="W5" i="4"/>
  <c r="W12" i="4"/>
  <c r="W10" i="4"/>
  <c r="W8" i="4"/>
  <c r="W6" i="4"/>
  <c r="W87" i="4" l="1"/>
  <c r="U4" i="4"/>
  <c r="U86" i="4" s="1"/>
  <c r="T4" i="4"/>
  <c r="T86" i="4" s="1"/>
  <c r="S4" i="4"/>
  <c r="S86" i="4" s="1"/>
  <c r="R4" i="4"/>
  <c r="R86" i="4" s="1"/>
  <c r="Q4" i="4"/>
  <c r="Q86" i="4" s="1"/>
  <c r="C86" i="4"/>
  <c r="W86" i="4" l="1"/>
  <c r="D55" i="3"/>
  <c r="W4" i="4" l="1"/>
  <c r="P4" i="4"/>
  <c r="V4" i="4" s="1"/>
  <c r="P10" i="4"/>
  <c r="V10" i="4" s="1"/>
  <c r="P5" i="4"/>
  <c r="V5" i="4" s="1"/>
  <c r="P6" i="4"/>
  <c r="V6" i="4" s="1"/>
  <c r="P7" i="4"/>
  <c r="V7" i="4" s="1"/>
  <c r="P12" i="4"/>
  <c r="V12" i="4" s="1"/>
  <c r="P8" i="4"/>
  <c r="V8" i="4" s="1"/>
  <c r="P18" i="4"/>
  <c r="V18" i="4" s="1"/>
  <c r="P13" i="4"/>
  <c r="V13" i="4" s="1"/>
  <c r="P11" i="4"/>
  <c r="V11" i="4" s="1"/>
  <c r="P15" i="4"/>
  <c r="V15" i="4" s="1"/>
  <c r="P14" i="4"/>
  <c r="V14" i="4" s="1"/>
  <c r="P20" i="4"/>
  <c r="V20" i="4" s="1"/>
  <c r="P21" i="4"/>
  <c r="V21" i="4" s="1"/>
  <c r="P16" i="4"/>
  <c r="V16" i="4" s="1"/>
  <c r="P17" i="4"/>
  <c r="V17" i="4" s="1"/>
  <c r="P19" i="4"/>
  <c r="V19" i="4" s="1"/>
  <c r="P22" i="4"/>
  <c r="V22" i="4" s="1"/>
  <c r="P68" i="4"/>
  <c r="V68" i="4" s="1"/>
  <c r="P24" i="4"/>
  <c r="V24" i="4" s="1"/>
  <c r="P25" i="4"/>
  <c r="V25" i="4" s="1"/>
  <c r="P27" i="4"/>
  <c r="V27" i="4" s="1"/>
  <c r="P23" i="4"/>
  <c r="V23" i="4" s="1"/>
  <c r="P77" i="4"/>
  <c r="V77" i="4" s="1"/>
  <c r="P28" i="4"/>
  <c r="V28" i="4" s="1"/>
  <c r="P30" i="4"/>
  <c r="V30" i="4" s="1"/>
  <c r="P31" i="4"/>
  <c r="V31" i="4" s="1"/>
  <c r="P73" i="4"/>
  <c r="V73" i="4" s="1"/>
  <c r="P34" i="4"/>
  <c r="V34" i="4" s="1"/>
  <c r="P69" i="4"/>
  <c r="V69" i="4" s="1"/>
  <c r="P37" i="4"/>
  <c r="V37" i="4" s="1"/>
  <c r="P41" i="4"/>
  <c r="V41" i="4" s="1"/>
  <c r="P38" i="4"/>
  <c r="V38" i="4" s="1"/>
  <c r="P48" i="4"/>
  <c r="V48" i="4" s="1"/>
  <c r="P39" i="4"/>
  <c r="V39" i="4" s="1"/>
  <c r="P40" i="4"/>
  <c r="V40" i="4" s="1"/>
  <c r="P42" i="4"/>
  <c r="V42" i="4" s="1"/>
  <c r="P43" i="4"/>
  <c r="V43" i="4" s="1"/>
  <c r="P44" i="4"/>
  <c r="V44" i="4" s="1"/>
  <c r="P45" i="4"/>
  <c r="V45" i="4" s="1"/>
  <c r="P46" i="4"/>
  <c r="V46" i="4" s="1"/>
  <c r="P26" i="4"/>
  <c r="V26" i="4" s="1"/>
  <c r="P62" i="4"/>
  <c r="V62" i="4" s="1"/>
  <c r="P54" i="4"/>
  <c r="V54" i="4" s="1"/>
  <c r="P70" i="4"/>
  <c r="V70" i="4" s="1"/>
  <c r="P49" i="4"/>
  <c r="V49" i="4" s="1"/>
  <c r="P32" i="4"/>
  <c r="V32" i="4" s="1"/>
  <c r="P50" i="4"/>
  <c r="V50" i="4" s="1"/>
  <c r="P51" i="4"/>
  <c r="V51" i="4" s="1"/>
  <c r="P53" i="4"/>
  <c r="V53" i="4" s="1"/>
  <c r="P33" i="4"/>
  <c r="V33" i="4" s="1"/>
  <c r="P52" i="4"/>
  <c r="V52" i="4" s="1"/>
  <c r="P55" i="4"/>
  <c r="V55" i="4" s="1"/>
  <c r="P67" i="4"/>
  <c r="V67" i="4" s="1"/>
  <c r="P56" i="4"/>
  <c r="V56" i="4" s="1"/>
  <c r="P29" i="4"/>
  <c r="V29" i="4" s="1"/>
  <c r="P35" i="4"/>
  <c r="V35" i="4" s="1"/>
  <c r="P57" i="4"/>
  <c r="V57" i="4" s="1"/>
  <c r="P36" i="4"/>
  <c r="V36" i="4" s="1"/>
  <c r="P58" i="4"/>
  <c r="V58" i="4" s="1"/>
  <c r="P59" i="4"/>
  <c r="V59" i="4" s="1"/>
  <c r="P60" i="4"/>
  <c r="V60" i="4" s="1"/>
  <c r="P61" i="4"/>
  <c r="V61" i="4" s="1"/>
  <c r="P63" i="4"/>
  <c r="V63" i="4" s="1"/>
  <c r="P64" i="4"/>
  <c r="V64" i="4" s="1"/>
  <c r="P65" i="4"/>
  <c r="V65" i="4" s="1"/>
  <c r="P47" i="4"/>
  <c r="V47" i="4" s="1"/>
  <c r="P66" i="4"/>
  <c r="V66" i="4" s="1"/>
  <c r="P71" i="4"/>
  <c r="V71" i="4" s="1"/>
  <c r="P72" i="4"/>
  <c r="V72" i="4" s="1"/>
  <c r="P74" i="4"/>
  <c r="V74" i="4" s="1"/>
  <c r="P75" i="4"/>
  <c r="V75" i="4" s="1"/>
  <c r="P76" i="4"/>
  <c r="V76" i="4" s="1"/>
  <c r="P78" i="4"/>
  <c r="V78" i="4" s="1"/>
  <c r="P79" i="4"/>
  <c r="V79" i="4" s="1"/>
  <c r="P80" i="4"/>
  <c r="V80" i="4" s="1"/>
  <c r="P88" i="4" l="1"/>
  <c r="V88" i="4" s="1"/>
  <c r="P87" i="4"/>
  <c r="V87" i="4" s="1"/>
  <c r="P9" i="4"/>
  <c r="V9" i="4" s="1"/>
  <c r="A1" i="3"/>
  <c r="A1" i="2"/>
  <c r="A1" i="1"/>
  <c r="P86" i="4" l="1"/>
  <c r="C35" i="1"/>
  <c r="C27" i="1"/>
  <c r="C25" i="1"/>
  <c r="C29" i="1"/>
  <c r="C34" i="1"/>
  <c r="C10" i="2"/>
  <c r="C8" i="2"/>
  <c r="C19" i="1"/>
  <c r="C6" i="2"/>
  <c r="C36" i="1"/>
  <c r="C20" i="1"/>
  <c r="C9" i="2"/>
  <c r="C24" i="1"/>
  <c r="C5" i="1"/>
  <c r="C28" i="1"/>
  <c r="C30" i="1"/>
  <c r="C22" i="1"/>
  <c r="C32" i="1"/>
  <c r="C41" i="1"/>
  <c r="C11" i="2"/>
  <c r="C42" i="1"/>
  <c r="C15" i="2"/>
  <c r="C12" i="2"/>
  <c r="B9" i="5"/>
  <c r="E12" i="2" l="1"/>
  <c r="G12" i="2"/>
  <c r="E12" i="1"/>
  <c r="D65" i="3" s="1"/>
  <c r="F35" i="1"/>
  <c r="F32" i="1"/>
  <c r="E26" i="1"/>
  <c r="D18" i="3" s="1"/>
  <c r="E22" i="1"/>
  <c r="F34" i="1"/>
  <c r="E24" i="1"/>
  <c r="F19" i="1"/>
  <c r="D67" i="3" s="1"/>
  <c r="F33" i="1"/>
  <c r="F30" i="1"/>
  <c r="F31" i="1"/>
  <c r="E23" i="1"/>
  <c r="E29" i="1"/>
  <c r="D66" i="3" s="1"/>
  <c r="E13" i="2"/>
  <c r="E14" i="2"/>
  <c r="G14" i="2"/>
  <c r="G13" i="2"/>
  <c r="E15" i="2"/>
  <c r="E11" i="1"/>
  <c r="F25" i="1"/>
  <c r="E27" i="1"/>
  <c r="E28" i="1"/>
  <c r="E11" i="2" s="1"/>
  <c r="E20" i="1"/>
  <c r="E21" i="1"/>
  <c r="G11" i="2"/>
  <c r="D42" i="3"/>
  <c r="D38" i="3"/>
  <c r="D39" i="3"/>
  <c r="D41" i="3"/>
  <c r="D40" i="3"/>
  <c r="E8" i="2" l="1"/>
  <c r="D22" i="3"/>
  <c r="F10" i="1"/>
  <c r="G15" i="2" s="1"/>
  <c r="G14" i="3"/>
  <c r="G8" i="2"/>
  <c r="E10" i="2"/>
  <c r="E9" i="2"/>
  <c r="G10" i="2"/>
  <c r="G12" i="3"/>
  <c r="G22" i="3"/>
  <c r="D14" i="3"/>
  <c r="J18" i="3"/>
  <c r="D12" i="3"/>
  <c r="E37" i="1"/>
  <c r="F36" i="1"/>
  <c r="G9" i="2" s="1"/>
  <c r="J14" i="3" l="1"/>
  <c r="D26" i="3"/>
  <c r="F37" i="1"/>
  <c r="J12" i="3"/>
  <c r="G26" i="3"/>
  <c r="I13" i="2"/>
  <c r="I14" i="2"/>
  <c r="J22" i="3"/>
  <c r="D43" i="3"/>
  <c r="J23" i="3" l="1"/>
  <c r="D68" i="3"/>
  <c r="I10" i="2" l="1"/>
  <c r="I11" i="2" l="1"/>
  <c r="I8" i="2"/>
  <c r="I15" i="2"/>
  <c r="E43" i="1"/>
  <c r="I9" i="2"/>
  <c r="F42" i="1"/>
  <c r="F43" i="1" l="1"/>
  <c r="I12" i="2"/>
  <c r="E16" i="2"/>
  <c r="I16" i="2" l="1"/>
  <c r="G16" i="2"/>
</calcChain>
</file>

<file path=xl/sharedStrings.xml><?xml version="1.0" encoding="utf-8"?>
<sst xmlns="http://schemas.openxmlformats.org/spreadsheetml/2006/main" count="1554" uniqueCount="542">
  <si>
    <t>Debit</t>
  </si>
  <si>
    <t>Credit</t>
  </si>
  <si>
    <t>Entry</t>
  </si>
  <si>
    <t>Notes</t>
  </si>
  <si>
    <t>Totals</t>
  </si>
  <si>
    <t>of Resources</t>
  </si>
  <si>
    <t>Deferred Outflows</t>
  </si>
  <si>
    <t>Deferred Inflows</t>
  </si>
  <si>
    <t xml:space="preserve">Difference between actual and </t>
  </si>
  <si>
    <t>expected experience</t>
  </si>
  <si>
    <t>Net difference between projected and</t>
  </si>
  <si>
    <t xml:space="preserve">Contributions subsequent to the </t>
  </si>
  <si>
    <t>measurement date</t>
  </si>
  <si>
    <t>Total</t>
  </si>
  <si>
    <t>Sub</t>
  </si>
  <si>
    <t>Calculated</t>
  </si>
  <si>
    <t>(f)</t>
  </si>
  <si>
    <t>(b1)</t>
  </si>
  <si>
    <t>(b2)</t>
  </si>
  <si>
    <t>Change in proportion and differences</t>
  </si>
  <si>
    <t>between agency's contributions and</t>
  </si>
  <si>
    <t>proportionate share of contributions</t>
  </si>
  <si>
    <t>Rounding</t>
  </si>
  <si>
    <t>Description</t>
  </si>
  <si>
    <t>Difference between expected/actual experience</t>
  </si>
  <si>
    <t>Change in proportion; contributions during measurement period</t>
  </si>
  <si>
    <t>Difference between projected/actual investment earnings</t>
  </si>
  <si>
    <t>1)</t>
  </si>
  <si>
    <t>2)</t>
  </si>
  <si>
    <t>Year ended June 30:</t>
  </si>
  <si>
    <t>Net Deferred</t>
  </si>
  <si>
    <t>3)</t>
  </si>
  <si>
    <t>Deferred Outflow Amount</t>
  </si>
  <si>
    <t>Agency Num</t>
  </si>
  <si>
    <t>Agency Name</t>
  </si>
  <si>
    <t>Total Contributions</t>
  </si>
  <si>
    <t>N C SCHOOL OF SCIENCE &amp; MATHEMATICS</t>
  </si>
  <si>
    <t>APPALACHIAN STATE UNIVERSITY</t>
  </si>
  <si>
    <t>N C SCHOOL OF THE ARTS</t>
  </si>
  <si>
    <t>EAST CAROLINA UNIVERSITY</t>
  </si>
  <si>
    <t>ELIZABETH CITY STATE UNIVERSITY</t>
  </si>
  <si>
    <t>FAYETTEVILLE STATE UNIVERSITY</t>
  </si>
  <si>
    <t>NC A&amp;T UNIVERSITY</t>
  </si>
  <si>
    <t>N C CENTRAL UNIVERSITY</t>
  </si>
  <si>
    <t>UNIVERSITY OF NORTH CAROLINA AT GREENSBORO</t>
  </si>
  <si>
    <t>UNC - PEMBROKE</t>
  </si>
  <si>
    <t>N C STATE UNIVERSITY</t>
  </si>
  <si>
    <t>UNC-CH CB 1260</t>
  </si>
  <si>
    <t>UNC HEALTH CARE SYSTEM</t>
  </si>
  <si>
    <t>WESTERN CAROLINA UNIVERSITY</t>
  </si>
  <si>
    <t>WINSTON-SALEM STATE UNIVERSITY</t>
  </si>
  <si>
    <t>UNIVERSITY OF NORTH CAROLINA AT ASHEVILLE</t>
  </si>
  <si>
    <t>UNIVERSITY OF NORTH CAROLINA AT CHARLOTTE</t>
  </si>
  <si>
    <t>UNIVERSITY OF NORTH CAROLINA AT WILMINGTON</t>
  </si>
  <si>
    <t>ALAMANCE COMMUNITY COLLEGE</t>
  </si>
  <si>
    <t>SOUTH PIEDMONT COMMUNITY COLLEGE</t>
  </si>
  <si>
    <t>BEAUFORT COUNTY COMMUNITY COLLEGE</t>
  </si>
  <si>
    <t>BLADEN COMMUNITY COLLEGE</t>
  </si>
  <si>
    <t>BRUNSWICK COMMUNITY COLLEGE</t>
  </si>
  <si>
    <t>ASHEVILLE-BUNCOMBE TECHNICAL COLLEGE</t>
  </si>
  <si>
    <t>WESTERN PIEDMONT COMM COLLEGE</t>
  </si>
  <si>
    <t>CALDWELL COMMUNITY COLLEGE</t>
  </si>
  <si>
    <t>CARTERET COMMUNITY COLLEGE</t>
  </si>
  <si>
    <t>CATAWBA VALLEY COMMUNITY COLLEGE</t>
  </si>
  <si>
    <t>TRI-COUNTY COMMUNITY COLLEGE</t>
  </si>
  <si>
    <t>CLEVELAND TECHNICAL COLLEGE</t>
  </si>
  <si>
    <t>SOUTHEASTERN COMMUNITY COLLEGE</t>
  </si>
  <si>
    <t>CRAVEN COMMUNITY COLLEGE</t>
  </si>
  <si>
    <t>FAYETTEVILLE TECHNICAL COMMUNITY COLLEGE</t>
  </si>
  <si>
    <t>DAVIDSON COUNTY COMMUNITY COLLEGE</t>
  </si>
  <si>
    <t>JAMES SPRUNT TECHNICAL COLLEGE</t>
  </si>
  <si>
    <t>DURHAM TECHNICAL INSTITUTE</t>
  </si>
  <si>
    <t>EDGECOMBE TECHNICAL COLLEGE</t>
  </si>
  <si>
    <t>FORSYTH TECHNICAL INSTITUTE</t>
  </si>
  <si>
    <t>GASTON COLLEGE</t>
  </si>
  <si>
    <t>GUILFORD TECHNICAL COMMUNITY COLLEGE</t>
  </si>
  <si>
    <t>HALIFAX COMMUNITY COLLEGE</t>
  </si>
  <si>
    <t>HAYWOOD TECHNICAL COLLEGE</t>
  </si>
  <si>
    <t>BLUE RIDGE COMMUNITY COLLEGE</t>
  </si>
  <si>
    <t>ROANOKE-CHOWAN COMMUNITY COLLEGE</t>
  </si>
  <si>
    <t>MITCHELL COMMUNITY COLLEGE</t>
  </si>
  <si>
    <t>SOUTHWESTERN COMMUNITY COLLEGE</t>
  </si>
  <si>
    <t>JOHNSTON TECHNICAL COLLEGE</t>
  </si>
  <si>
    <t>CENTRAL CAROLINA COMMUNITY COLLEGE</t>
  </si>
  <si>
    <t>LENOIR COUNTY COMMUNITY COLLEGE</t>
  </si>
  <si>
    <t>MARTIN COMMUNITY COLLEGE</t>
  </si>
  <si>
    <t>MCDOWELL TECHNICAL COLLEGE</t>
  </si>
  <si>
    <t>CENTRAL PIEDMONT COMMUNITY COLLEGE</t>
  </si>
  <si>
    <t>MAYLAND TECHNICAL COLLEGE</t>
  </si>
  <si>
    <t>MONTGOMERY COMMUNITY COLLEGE</t>
  </si>
  <si>
    <t>SANDHILLS COMMUNITY COLLEGE</t>
  </si>
  <si>
    <t>NASH TECHNICAL COLLEGE</t>
  </si>
  <si>
    <t>CAPE FEAR COMMUNITY COLLEGE</t>
  </si>
  <si>
    <t>COASTAL CAROLINA COMMUNITY COLLEGE</t>
  </si>
  <si>
    <t>PAMLICO COMMUNITY COLLEGE</t>
  </si>
  <si>
    <t>COLLEGE OF THE ALBEMARLE</t>
  </si>
  <si>
    <t>PIEDMONT COMMUNITY COLLEGE</t>
  </si>
  <si>
    <t>PITT COMMUNITY COLLEGE</t>
  </si>
  <si>
    <t>RANDOLPH COMMUNITY COLLEGE</t>
  </si>
  <si>
    <t>RICHMOND TECHNICAL COLLEGE</t>
  </si>
  <si>
    <t>ROBESON COMMUNITY COLLEGE</t>
  </si>
  <si>
    <t>ROCKINGHAM COMMUNITY COLLEGE</t>
  </si>
  <si>
    <t>ROWAN-CABARRUS COMMUNITY COLLEGE</t>
  </si>
  <si>
    <t>ISOTHERMAL COMMUNITY COLLEGE</t>
  </si>
  <si>
    <t>SAMPSON COMMUNITY COLLEGE</t>
  </si>
  <si>
    <t>STANLY COMMUNITY COLLEGE</t>
  </si>
  <si>
    <t>SURRY COMMUNITY COLLEGE</t>
  </si>
  <si>
    <t>VANCE-GRANVILLE COMMUNITY COLLEGE</t>
  </si>
  <si>
    <t>WAKE TECHNICAL COLLEGE</t>
  </si>
  <si>
    <t>WAYNE COMMUNITY COLLEGE</t>
  </si>
  <si>
    <t>WILKES COMMUNITY COLLEGE</t>
  </si>
  <si>
    <t>WILSON COMMUNITY COLLEGE</t>
  </si>
  <si>
    <t>NC HOUSING FINANCE AGENCY</t>
  </si>
  <si>
    <t>Deferred Inflows Of Resources</t>
  </si>
  <si>
    <t>Pension Expense</t>
  </si>
  <si>
    <t>Changes In Proportion And Differences Between Employer Contributions And Proportional Share Of Contributions</t>
  </si>
  <si>
    <t>Differences Between Expected And Actual Experience</t>
  </si>
  <si>
    <t>Net Difference Between Projected And Actual Investment Earnings On Plan Investments</t>
  </si>
  <si>
    <t>Net Amortization Of Deferred Amounts From Changes In Proportion And Differences Between Employer Contributions And Proportional Share Of Contributions</t>
  </si>
  <si>
    <t>Amortization</t>
  </si>
  <si>
    <t>Amortization Rounding Adjustment</t>
  </si>
  <si>
    <t>4)</t>
  </si>
  <si>
    <t>Additions</t>
  </si>
  <si>
    <t>Restatement–net position</t>
  </si>
  <si>
    <t>NCAS</t>
  </si>
  <si>
    <t>Number</t>
  </si>
  <si>
    <t>Deferred Outflows Of Resources</t>
  </si>
  <si>
    <t>Changes Of Assumptions</t>
  </si>
  <si>
    <t>TOTAL Recognition of Deferred (Inflows)/Outflows</t>
  </si>
  <si>
    <t>Changes of assumptions</t>
  </si>
  <si>
    <t>d25 above</t>
  </si>
  <si>
    <t>Rounded, if necessary</t>
  </si>
  <si>
    <t>(d)</t>
  </si>
  <si>
    <t>(b1) and (b2)</t>
  </si>
  <si>
    <t>Entity</t>
  </si>
  <si>
    <t>CURRENT FISCAL YEAR ENTRIES</t>
  </si>
  <si>
    <t>After Measurement Date (MANUAL ENTRY)</t>
  </si>
  <si>
    <t>investments (see note below)</t>
  </si>
  <si>
    <t>Choose Your Agency:</t>
  </si>
  <si>
    <t>Account Name</t>
  </si>
  <si>
    <t>Debit (Credit)</t>
  </si>
  <si>
    <t>13th Period</t>
  </si>
  <si>
    <r>
      <t>Deletions</t>
    </r>
    <r>
      <rPr>
        <i/>
        <sz val="10"/>
        <rFont val="Arial"/>
        <family val="2"/>
      </rPr>
      <t xml:space="preserve"> (see Note 1)</t>
    </r>
  </si>
  <si>
    <t xml:space="preserve">Recognized in </t>
  </si>
  <si>
    <t>Amount to be</t>
  </si>
  <si>
    <t>Employer Balances of Deferred Outflows of Resources and Deferred Inflows of</t>
  </si>
  <si>
    <t>Schedule of the Net Amount of the Employer's Balances of Deferred Outflows of</t>
  </si>
  <si>
    <t>Resources and Deferred Inflows of Resources That will be Recognized in</t>
  </si>
  <si>
    <t>Amount of the Employer's Balance of Deferred Outflows of Resources That will be</t>
  </si>
  <si>
    <t>Prior year adjustments</t>
  </si>
  <si>
    <r>
      <t xml:space="preserve">Due within one year </t>
    </r>
    <r>
      <rPr>
        <i/>
        <sz val="10"/>
        <rFont val="Arial"/>
        <family val="2"/>
      </rPr>
      <t>(see Note 2)</t>
    </r>
  </si>
  <si>
    <t>Entry, Net</t>
  </si>
  <si>
    <t>Calculated by OSC</t>
  </si>
  <si>
    <t>See entry #1 above</t>
  </si>
  <si>
    <t>Colleague</t>
  </si>
  <si>
    <t>Entity Type:</t>
  </si>
  <si>
    <t>TOTAL UNC SYSTEM</t>
  </si>
  <si>
    <t>TOTAL COMMUNITY COLLEGES</t>
  </si>
  <si>
    <t>TOTAL OTHER COMPONENT UNITS</t>
  </si>
  <si>
    <t>STATE EDUCATION ASSISTANCE AUTHORITY</t>
  </si>
  <si>
    <t>UNC-GA ONLY</t>
  </si>
  <si>
    <t>Component Units</t>
  </si>
  <si>
    <t>Employer Number</t>
  </si>
  <si>
    <t>Employer</t>
  </si>
  <si>
    <t>Employer Name</t>
  </si>
  <si>
    <t>OSA's Audit Report</t>
  </si>
  <si>
    <t>STATE HEALTH PLAN</t>
  </si>
  <si>
    <t>NC STATE PORTS AUTHORITY</t>
  </si>
  <si>
    <t>NC GLOBAL TRANSPARK AUTHORITY</t>
  </si>
  <si>
    <t>Present Value Of Future Salary Allocation</t>
  </si>
  <si>
    <t>Net Deferred Outflow</t>
  </si>
  <si>
    <t>Net Deferred Inflow</t>
  </si>
  <si>
    <t>BEGINNING BALANCES (FORMULAS)</t>
  </si>
  <si>
    <t>Reversal of beginning deferred outflow balance – per actuary</t>
  </si>
  <si>
    <t>Needed for account numbers (NCAS/Colleague). Hidden on Summary Tab (columns Q/R). In Lookup formula, column number on data tab plus 1.</t>
  </si>
  <si>
    <t>&lt;&lt; Click to see a list of agencies (sorted by agency type).</t>
  </si>
  <si>
    <t>(d1), (d2), and (d3)</t>
  </si>
  <si>
    <t>(a1) and (a2)</t>
  </si>
  <si>
    <t>(a1)</t>
  </si>
  <si>
    <t>(a2)</t>
  </si>
  <si>
    <t>(c)</t>
  </si>
  <si>
    <t>(d1)</t>
  </si>
  <si>
    <t>(d2)</t>
  </si>
  <si>
    <t>(d3)</t>
  </si>
  <si>
    <t>(e)</t>
  </si>
  <si>
    <t>Note: This template was developed by the NC Office of the State Controller. If you have</t>
  </si>
  <si>
    <t>Miscellaneous expense (see Note)</t>
  </si>
  <si>
    <t>Miscellaneous income (see Note)</t>
  </si>
  <si>
    <t>6/30/2016 Deferred Outflows of Resources</t>
  </si>
  <si>
    <t>6/30/2016 Deferred Inflows of Resources</t>
  </si>
  <si>
    <t>Not Needed</t>
  </si>
  <si>
    <t>Total for All Employers</t>
  </si>
  <si>
    <t>Note:</t>
  </si>
  <si>
    <t>Fiscal Year Ended June 30, 2018</t>
  </si>
  <si>
    <t>any questions about this template, please contact Virginia Sisson at (919) 707-0530 or</t>
  </si>
  <si>
    <t>virginia.sisson@osc.nc.gov</t>
  </si>
  <si>
    <t>FY2018 employer contributions – per agency/institution</t>
  </si>
  <si>
    <t>June 30, 2019:</t>
  </si>
  <si>
    <t>Balance July 1, 2017</t>
  </si>
  <si>
    <t>Balance, June 30, 2018</t>
  </si>
  <si>
    <t>2017 Allocation Percentage</t>
  </si>
  <si>
    <t>6/30/2017 Deferred Outflows of Resources</t>
  </si>
  <si>
    <t>6/30/2017 Deferred Inflows of Resources</t>
  </si>
  <si>
    <t>GASB 75 Template – DIPNC</t>
  </si>
  <si>
    <t>GoTo "Detail" Tab — Enter Employer Contributions (FY2018).</t>
  </si>
  <si>
    <t>DIPNC Number:</t>
  </si>
  <si>
    <t>GASB 75 Journal Entries – DIPNC</t>
  </si>
  <si>
    <t>Deferred outflows for OPEB</t>
  </si>
  <si>
    <t>Deferred inflows for OPEB</t>
  </si>
  <si>
    <t>Change in OPEB Amounts (FORMULAS)</t>
  </si>
  <si>
    <t>OPEB expense</t>
  </si>
  <si>
    <t>for OPEB, OPEB expense, and reversal of deferred outflow in entry 1)</t>
  </si>
  <si>
    <t>Deferred outflows for OPEB (FY2018 Employer Contributions)</t>
  </si>
  <si>
    <t>DIPNC contributions</t>
  </si>
  <si>
    <t xml:space="preserve">(To record OPEB contributions after the measurement date) </t>
  </si>
  <si>
    <t xml:space="preserve">Calculated by multiplying the covered payroll for DIPNC (on an accrual basis) </t>
  </si>
  <si>
    <t>by 0.14%% (the 2017-18 employer contribution rate for DIPNC)</t>
  </si>
  <si>
    <t>Differences between expected and actual experience with regard to economic and demographic factors in the measurement of the total OPEB liability should be included in collective OPEB expense, beginning in the current measurement period, using a systematic and rational method over a closed period equal to the average of the expected remaining service lives of all employees that are provided with OPEB through the OPEB plan (active employees and inactive employees) determined as of the beginning of the measurement period. The portion not included in collective OPEB expense should be included in collective deferred outflows of resources or deferred inflows of resources related to OPEB. (GASB 75, paragraph 86a)</t>
  </si>
  <si>
    <t>Experience gains represent actual experience that increases the total OPEB liability less than projected or decreases the total OPEB liability greater than projected. These amounts result in decreases in OPEB expense and increases in deferred inflows of resources. (Implementation Guide No. 2017-3, page 181)</t>
  </si>
  <si>
    <t>The difference between projected and actual earnings on OPEB plan investments should be included in collective OPEB expense using a systematic and rational method over a closed five-year period, beginning in the current measurement period. The amount not included in collective OPEB expense should be included in collective deferred outflows of resources or deferred inflows of resources related to OPEB. Collective deferred outflows of resources and deferred inflows of resources arising from differences between projected and actual OPEB plan investment earnings in different measurement periods should be aggregated and included as a net collective deferred outflow of resources related to OPEB or a net collective deferred inflow of resources related to OPEB. (GASB 75, paragraph 86b)</t>
  </si>
  <si>
    <t>Investment returns that are greater than projected decrease OPEB expense and increase deferred inflows of resources.</t>
  </si>
  <si>
    <t>Changes of assumptions about future economic or demographic factors or of other inputs should be included in collective OPEB expense, beginning in the current measurement period, using a systematic and rational method over a closed period equal to the average of the expected remaining service lives of all employees that are provided with OPEB through the OPEB plan (active employees and inactive employees) determined as of the beginning of the measurement period. The portion not included in collective OPEB expense should be included in collective deferred outflows of resources or deferred inflows of resources related to OPEB. (GASB 75, paragraph 86a)</t>
  </si>
  <si>
    <t>If there is a change in the employer’s proportion of the collective net OPEB liability since the prior measurement date, the net effect of that change on the employer’s proportionate shares of the collective net OPEB liability and collective deferred outflows of resources and deferred inflows of resources related to OPEB, determined as of the beginning of the measurement period, should be recognized in the employer’s OPEB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OPEB through the OPEB plan (active employees and inactive employees) determined as of the beginning of the measurement period. The amount not recognized in the employer’s OPEB expense should be reported as a deferred outflow of resources or deferred inflow of resources related to OPEB. (GASB 75, paragraph 64)</t>
  </si>
  <si>
    <t>If the employer's actual contributions exceed its proportionate share of total contributions, the difference increases OPEB expense and results in a deferred outflow of resources. (Implementation Guide No. 2017-3, page 192)</t>
  </si>
  <si>
    <t>Contributions to the OPEB plan from the employer subsequent to the measurement date of the collective net OPEB liability and before the end of the employer’s reporting period should be reported as a deferred outflow of resources related to OPEB. (GASB 75, paragraph 68)</t>
  </si>
  <si>
    <t>Components of collective OPEB expense include—service cost, interest on the total OPEB liability, effect of changes in benefit terms, projected investment income, employee contributions, expensed portions of deferred outflows/inflows of resources related to OPEB, plan administrative expense, and other changes in fiduciary net position. Contributions from employers or nonemployer contributing entities should not be included in OPEB expense. (GASB 75, paragraph 86)</t>
  </si>
  <si>
    <t>For contributions to the OPEB plan other than those to separately finance specific liabilities of an individual employer or nonemployer contributing entity to the OPEB plan, the difference during the measurement period between (a) the total amount of such contributions from the employer (and amounts associated with the employer from nonemployer contributing entities that are not in a special funding situation) and (b) the amount of the employer’s proportionate share of the total of such contributions from all employers and all nonemployer contributing entities should be recognized in the employer’s OPEB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OPEB through the OPEB plan (active employees and inactive employees) determined as of the beginning of the measurement period. The amount not recognized in the employer’s OPEB expense should be reported as a deferred outflow of resources or deferred inflow of resources related to OPEB. (GASB 75, paragraph 65)</t>
  </si>
  <si>
    <r>
      <rPr>
        <b/>
        <sz val="10"/>
        <rFont val="Arial"/>
        <family val="2"/>
      </rPr>
      <t>(1)  Difference in Contributions Between Employer/Actuary</t>
    </r>
    <r>
      <rPr>
        <sz val="10"/>
        <rFont val="Arial"/>
        <family val="2"/>
      </rPr>
      <t xml:space="preserve"> – The difference between what your entity reported last year as your FY 2017 employer contributions (i.e., as a deferred outflow for OPEB) and the amount reported by the actuary (per this template) should be evaluated for materiality (see "Detail" tab, Entry 1). If this difference is material, the 13th period entry above should be modified. The template assumes the difference is immaterial and adjusts the beginning deferred outflow balance to the actuarial amount with an offset to current year miscellaneous expense (income). However, if the difference is material, the entry should be modified to reflect the offset as a restatement of beginning net position. </t>
    </r>
  </si>
  <si>
    <t>GASB 75 Disclosures – DIPNC</t>
  </si>
  <si>
    <t>Resources Related to OPEB by Classification:</t>
  </si>
  <si>
    <t>OPEB Expense</t>
  </si>
  <si>
    <t>actual earnings on OPEB plan</t>
  </si>
  <si>
    <r>
      <rPr>
        <i/>
        <u/>
        <sz val="10"/>
        <rFont val="Arial"/>
        <family val="2"/>
      </rPr>
      <t>Note</t>
    </r>
    <r>
      <rPr>
        <i/>
        <sz val="10"/>
        <rFont val="Arial"/>
        <family val="2"/>
      </rPr>
      <t>: Collective deferred outflows of resources and deferred inflows of resources arising from differences between projected and actual OPEB plan investment earnings in different measurement periods should be aggregated and included as a net collective deferred outflow of resources related to OPEB or a net collective deferred inflow of resources related to OPEB. (GASB 75, paragraph 86b and 96h(3))</t>
    </r>
  </si>
  <si>
    <t>Source: GASB 75, paragraph 96h(1) thru (5)</t>
  </si>
  <si>
    <t>OPEB Expense:</t>
  </si>
  <si>
    <t>Note: negative amounts indicate amortization of OPEB deferrals that will decrease</t>
  </si>
  <si>
    <t>OPEB expense.</t>
  </si>
  <si>
    <t>Source: GASB 75, paragraph 96i(1)</t>
  </si>
  <si>
    <t>Included as a Reduction of the Net OPEB Liability in the Fiscal Year Ended</t>
  </si>
  <si>
    <t>Source: GASB 75, paragraph 96i(2)</t>
  </si>
  <si>
    <t>Net OPEB</t>
  </si>
  <si>
    <t>http://www.ncauditor.net/EPSWeb/Reports/Financial/FIN-2017-3400F.pdf</t>
  </si>
  <si>
    <t>Restatement - net position</t>
  </si>
  <si>
    <t>Employer contributions made during the prior fiscal year</t>
  </si>
  <si>
    <t>for OPEB)</t>
  </si>
  <si>
    <t xml:space="preserve">Total Contributions </t>
  </si>
  <si>
    <t>Net OPEB asset</t>
  </si>
  <si>
    <t>Beginning net OPEB asset</t>
  </si>
  <si>
    <t>Net OPEB asset–noncurrent</t>
  </si>
  <si>
    <t>Change in the net OPEB asset</t>
  </si>
  <si>
    <t>Change in net OPEB asset recognized immediately</t>
  </si>
  <si>
    <t>(To record changes in the net OPEB asset, deferred outflows/inflows of resources</t>
  </si>
  <si>
    <t>Changes of Assumptions</t>
  </si>
  <si>
    <t>Net OPEB Asset</t>
  </si>
  <si>
    <t>2016 Allocation Percentage</t>
  </si>
  <si>
    <t>6/30/16 Collective Net OPEB Asset</t>
  </si>
  <si>
    <t>NORTH CAROLINA EDUCATION LOTTERY</t>
  </si>
  <si>
    <t>DEPARTMENT OF JUSTICE</t>
  </si>
  <si>
    <t>STATE AUDITOR</t>
  </si>
  <si>
    <t>DEPARTMENT OF NATURAL AND CULTURAL RESOURCES</t>
  </si>
  <si>
    <t>ADMINISTRATIVE OFFICE OF THE COURTS</t>
  </si>
  <si>
    <t>OFFICE OF ADMINISTRATIVE HEARING</t>
  </si>
  <si>
    <t>DEPARTMENT OF ADMINISTRATION</t>
  </si>
  <si>
    <t>OFFICE OF STATE BUDGET &amp; MANAGEMENT</t>
  </si>
  <si>
    <t>INFORMATION TECHNOLOGY SERVICES</t>
  </si>
  <si>
    <t>OFFICE OF STATE CONTROLLER</t>
  </si>
  <si>
    <t>ENVIRONMENT AND NATURAL RESOURCES</t>
  </si>
  <si>
    <t>WILDLIFE RESOURCES COMMISSION</t>
  </si>
  <si>
    <t>STATE BOARD OF ELECTIONS</t>
  </si>
  <si>
    <t>GOVERNOR'S OFFICE</t>
  </si>
  <si>
    <t>LT GOVERNOR'S OFFICE</t>
  </si>
  <si>
    <t>GENERAL ASSEMBLY</t>
  </si>
  <si>
    <t>HEALTH &amp; HUMAN SVCS</t>
  </si>
  <si>
    <t>DEPARTMENT OF COMMERCE</t>
  </si>
  <si>
    <t>INSURANCE DEPARTMENT</t>
  </si>
  <si>
    <t>LABOR DEPARTMENT</t>
  </si>
  <si>
    <t>REVENUE DEPARTMENT</t>
  </si>
  <si>
    <t>SECRETARY OF STATE</t>
  </si>
  <si>
    <t>STATE TREASURER</t>
  </si>
  <si>
    <t>DEPT OF AGRICULTURE &amp; CONSUMER SVCS.</t>
  </si>
  <si>
    <t>BARBER EXAMINERS, STATE BOARD OF</t>
  </si>
  <si>
    <t>NORTH CAROLINA BOARD OF OPTICIANS</t>
  </si>
  <si>
    <t>N C REAL ESTATE COMMISSION</t>
  </si>
  <si>
    <t>N C AUCTIONEERS LICENSING BOARD</t>
  </si>
  <si>
    <t>N C STATE BOARD OF EXAMINERS OF PRACTICING PSYCHOL</t>
  </si>
  <si>
    <t>COMMUNITY COLLEGES ADMINISTRATION</t>
  </si>
  <si>
    <t>DEPARTMENT OF PUBLIC SAFETY</t>
  </si>
  <si>
    <t>UNC-CHAPEL HILL CB1260</t>
  </si>
  <si>
    <t>UNC-GENERAL ADMINISTRATION</t>
  </si>
  <si>
    <t>UNIVERSITY OF NORTH CAROLINA PRESS</t>
  </si>
  <si>
    <t>DEPARTMENT OF PUBLIC INSTRUCTION</t>
  </si>
  <si>
    <t>YANCEY COUNTY SCHOOLS</t>
  </si>
  <si>
    <t>ALAMANCE COUNTY SCHOOLS</t>
  </si>
  <si>
    <t>CLOVER GARDEN CHARTER SCHOOL</t>
  </si>
  <si>
    <t>RIVER MILL ACADEMY CHARTER</t>
  </si>
  <si>
    <t>THE HAWBRIDGE SCHOOL</t>
  </si>
  <si>
    <t>ALEXANDER COUNTY SCHOOLS</t>
  </si>
  <si>
    <t>ALLEGHANY COUNTY SCHOOLS</t>
  </si>
  <si>
    <t>ANSON COUNTY SCHOOLS</t>
  </si>
  <si>
    <t>ASHE COUNTY SCHOOLS</t>
  </si>
  <si>
    <t>AVERY COUNTY SCHOOLS</t>
  </si>
  <si>
    <t>GRANDFATHER ACADEMY</t>
  </si>
  <si>
    <t>BEAUFORT COUNTY SCHOOLS</t>
  </si>
  <si>
    <t>BERTIE COUNTY SCHOOLS</t>
  </si>
  <si>
    <t>BLADEN COUNTY SCHOOLS</t>
  </si>
  <si>
    <t>BRUNSWICK COUNTY SCHOOLS</t>
  </si>
  <si>
    <t>BUNCOMBE COUNTY SCHOOLS</t>
  </si>
  <si>
    <t>F DELANY NEW SCHOOL FOR CHILDREN</t>
  </si>
  <si>
    <t>EVERGREEN COMMUNITY CHARTER SCHOOL</t>
  </si>
  <si>
    <t>ASHEVILLE CITY SCHOOLS</t>
  </si>
  <si>
    <t>BURKE COUNTY SCHOOLS</t>
  </si>
  <si>
    <t>CABARRUS COUNTY SCHOOLS</t>
  </si>
  <si>
    <t>CAROLINA INTERNATIONAL SCHOOL</t>
  </si>
  <si>
    <t>KANNAPOLIS CITY SCHOOLS</t>
  </si>
  <si>
    <t>CALDWELL COUNTY SCHOOLS</t>
  </si>
  <si>
    <t>CAMDEN COUNTY SCHOOLS</t>
  </si>
  <si>
    <t>CARTERET COUNTY SCHOOLS</t>
  </si>
  <si>
    <t>CASWELL COUNTY SCHOOLS</t>
  </si>
  <si>
    <t>CATAWBA COUNTY SCHOOLS</t>
  </si>
  <si>
    <t>HICKORY CITY SCHOOLS</t>
  </si>
  <si>
    <t>NEWTON-CONOVER CITY SCHOOLS</t>
  </si>
  <si>
    <t>CHATHAM COUNTY SCHOOLS</t>
  </si>
  <si>
    <t>CHEROKEE COUNTY SCHOOLS</t>
  </si>
  <si>
    <t>EDENTON-CHOWAN COUNTY SCHOOLS</t>
  </si>
  <si>
    <t>CLAY COUNTY SCHOOLS</t>
  </si>
  <si>
    <t>CLEVELAND COUNTY SCHOOLS</t>
  </si>
  <si>
    <t>CLEVELAND COMMUNITY COLLEGE</t>
  </si>
  <si>
    <t>COLUMBUS COUNTY SCHOOLS</t>
  </si>
  <si>
    <t>WHITEVILLE CITY SCHOOLS</t>
  </si>
  <si>
    <t>NEW BERN CRAVEN COUNTY BOARD OF EDUCATION</t>
  </si>
  <si>
    <t>CUMBERLAND COUNTY SCHOOLS</t>
  </si>
  <si>
    <t>CURRITUCK COUNTY SCHOOLS</t>
  </si>
  <si>
    <t>DARE COUNTY SCHOOLS</t>
  </si>
  <si>
    <t>DAVIDSON COUNTY SCHOOLS</t>
  </si>
  <si>
    <t>INVEST COLLEGIATE CHARTER (DAVIDSON)</t>
  </si>
  <si>
    <t>LEXINGTON CITY SCHOOLS</t>
  </si>
  <si>
    <t>THOMASVILLE CITY SCHOOLS</t>
  </si>
  <si>
    <t>DAVIE COUNTY SCHOOLS</t>
  </si>
  <si>
    <t>N.E. REGIONAL SCHOOL FOR BIOTECHNOLOGY</t>
  </si>
  <si>
    <t>CORNERSTONE ACADEMY</t>
  </si>
  <si>
    <t>DUPLIN COUNTY SCHOOLS</t>
  </si>
  <si>
    <t>DURHAM PUBLIC SCHOOLS</t>
  </si>
  <si>
    <t>CENTRAL PARK SCH FOR CHILDREN</t>
  </si>
  <si>
    <t>HEALTHY START ACADEMY</t>
  </si>
  <si>
    <t>VOYAGER ACADEMY</t>
  </si>
  <si>
    <t>BEAR GRASS CHARTER SCHOOL</t>
  </si>
  <si>
    <t>INVEST COLLEGIATE CHARTER (BUNCOMBE)</t>
  </si>
  <si>
    <t>KIPP HALIFAX COLLEGE PREP CHARTER</t>
  </si>
  <si>
    <t>PIONEER SPRINGS COMMUNITY CHARTER</t>
  </si>
  <si>
    <t>EDGECOMBE COUNTY SCHOOLS</t>
  </si>
  <si>
    <t>WINSTON-SALEM-FORSYTH COUNTY SCHOOLS</t>
  </si>
  <si>
    <t>ARTS BASED ELEMENTARY CHARTER</t>
  </si>
  <si>
    <t>FRANKLIN COUNTY SCHOOLS</t>
  </si>
  <si>
    <t>A CHILDS GARDEN CHARTER (AKA CROSS CREEK CHARTER)</t>
  </si>
  <si>
    <t>GASTON COUNTY SCHOOLS</t>
  </si>
  <si>
    <t>GATES COUNTY SCHOOLS</t>
  </si>
  <si>
    <t>GRAHAM COUNTY SCHOOLS</t>
  </si>
  <si>
    <t>GRANVILLE COUNTY SCHOOLS AND OXFORD ORPHANAGE</t>
  </si>
  <si>
    <t>GREENE COUNTY SCHOOLS</t>
  </si>
  <si>
    <t>GUILFORD COUNTY SCHOOLS</t>
  </si>
  <si>
    <t>HALIFAX COUNTY SCHOOLS</t>
  </si>
  <si>
    <t>ROANOKE RAPIDS CITY SCHOOLS</t>
  </si>
  <si>
    <t>WELDON CITY SCHOOLS</t>
  </si>
  <si>
    <t>HARNETT COUNTY SCHOOLS</t>
  </si>
  <si>
    <t>HAYWOOD COUNTY SCHOOLS</t>
  </si>
  <si>
    <t>HENDERSON COUNTY SCHOOLS</t>
  </si>
  <si>
    <t>MOUNTAIN COMMUNITY SCHOOL</t>
  </si>
  <si>
    <t>HERTFORD COUNTY SCHOOLS</t>
  </si>
  <si>
    <t>HOKE COUNTY SCHOOLS</t>
  </si>
  <si>
    <t>HYDE COUNTY SCHOOLS</t>
  </si>
  <si>
    <t>IREDELL-STATESVILLE SCHOOLS</t>
  </si>
  <si>
    <t>AMERICAN RENAISSANCE MID SCHOOL</t>
  </si>
  <si>
    <t>SUCCESS INSTITUTE</t>
  </si>
  <si>
    <t>MOORESVILLE CITY SCHOOLS</t>
  </si>
  <si>
    <t>JACKSON COUNTY SCHOOLS</t>
  </si>
  <si>
    <t>JOHNSTON COUNTY SCHOOLS</t>
  </si>
  <si>
    <t>NEUSE CHARTER SCHOOL</t>
  </si>
  <si>
    <t>JONES COUNTY SCHOOLS</t>
  </si>
  <si>
    <t>SANFORD-LEE COUNTY BOARD OF EDUCATION</t>
  </si>
  <si>
    <t>LENOIR COUNTY SCHOOLS</t>
  </si>
  <si>
    <t>CHILDRENS VILLAGE ACADEMY</t>
  </si>
  <si>
    <t>LINCOLN COUNTY SCHOOLS</t>
  </si>
  <si>
    <t>MACON COUNTY SCHOOLS</t>
  </si>
  <si>
    <t>MADISON COUNTY SCHOOLS</t>
  </si>
  <si>
    <t>MARTIN COUNTY SCHOOLS</t>
  </si>
  <si>
    <t>MCDOWELL COUNTY SCHOOLS</t>
  </si>
  <si>
    <t>CHARLOTTE-MECKLENBURG COUNTY SCHOOLS</t>
  </si>
  <si>
    <t>COMMUNITY CHARTER SCHOOL</t>
  </si>
  <si>
    <t>COMMUNITY SCHOOL OF DAVIDSON</t>
  </si>
  <si>
    <t>CORVIAN COMMUNITY CHARTER SCHOOL</t>
  </si>
  <si>
    <t>LAKE NORMAN CHARTER SCHOOL</t>
  </si>
  <si>
    <t>SOCRATES ACADEMY</t>
  </si>
  <si>
    <t>PINE LAKE PREP CHARTER</t>
  </si>
  <si>
    <t>CHARLOTTE SECONDARY CHARTER</t>
  </si>
  <si>
    <t>MITCHELL COUNTY SCHOOLS</t>
  </si>
  <si>
    <t>KIPP CHARLOTTE CHARTER</t>
  </si>
  <si>
    <t>MONTGOMERY COUNTY SCHOOLS</t>
  </si>
  <si>
    <t>MOORE COUNTY SCHOOLS</t>
  </si>
  <si>
    <t>ACADEMY OF MOORE COUNTY</t>
  </si>
  <si>
    <t>STARS CHARTER SCHOOL</t>
  </si>
  <si>
    <t>THE NORTH CAROLINA LEADERSHIP ACADEMY</t>
  </si>
  <si>
    <t>FERNLEAF COMMUNITY CHARTER</t>
  </si>
  <si>
    <t>NASH-ROCKY MOUNT SCHOOLS</t>
  </si>
  <si>
    <t>NASH COMMUNITY COLLEGE</t>
  </si>
  <si>
    <t>NEW HANOVER COUNTY SCHOOLS</t>
  </si>
  <si>
    <t>CAPE FEAR CTR FOR INQUIRY</t>
  </si>
  <si>
    <t>WILMINGTON PREP ACADEMY</t>
  </si>
  <si>
    <t>NORTHAMPTON COUNTY SCHOOLS</t>
  </si>
  <si>
    <t>GASTON COLLEGE PREPARATORY CHARTER</t>
  </si>
  <si>
    <t>ONSLOW COUNTY SCHOOLS</t>
  </si>
  <si>
    <t>ZECA SCHOOL OF THE ARTS AND TECHNOLOGY</t>
  </si>
  <si>
    <t>ORANGE COUNTY SCHOOLS</t>
  </si>
  <si>
    <t>ORANGE CHARTER SCHOOL</t>
  </si>
  <si>
    <t>CHAPEL HILL - CARRBORO CITY SCHOOLS</t>
  </si>
  <si>
    <t>PAMLICO COUNTY SCHOOLS</t>
  </si>
  <si>
    <t>ARAPAHOE CHARTER SCHOOL</t>
  </si>
  <si>
    <t>ELIZABETH CITY AND PASQUOTANK COUNTY SCHOOLS</t>
  </si>
  <si>
    <t>N.E. ACADEMY OF AEROSPACE &amp; ADV.TECH</t>
  </si>
  <si>
    <t>PENDER COUNTY SCHOOLS</t>
  </si>
  <si>
    <t>PERQUIMANS COUNTY SCHOOLS</t>
  </si>
  <si>
    <t>PERSON COUNTY SCHOOLS</t>
  </si>
  <si>
    <t>ROXBORO COMMUNITY SCHOOL</t>
  </si>
  <si>
    <t>PITT COUNTY SCHOOLS</t>
  </si>
  <si>
    <t>POLK COUNTY SCHOOLS</t>
  </si>
  <si>
    <t>RANDOLPH COUNTY SCHOOLS</t>
  </si>
  <si>
    <t>UWHARRIE CHARTER ACADEMY</t>
  </si>
  <si>
    <t>ASHEBORO CITY SCHOOLS</t>
  </si>
  <si>
    <t>RICHMOND COUNTY SCHOOLS</t>
  </si>
  <si>
    <t>ROBESON COUNTY SCHOOLS</t>
  </si>
  <si>
    <t>SOUTHEASTERN ACADEMY CHARTER SCHOOL</t>
  </si>
  <si>
    <t>ROCKINGHAM COUNTY SCHOOLS</t>
  </si>
  <si>
    <t>BETHANY COMMUNITY MIDDLE SCHOOL</t>
  </si>
  <si>
    <t>ROWAN-SALISBURY SCHOOL SYSTEM</t>
  </si>
  <si>
    <t>RUTHERFORD COUNTY SCHOOLS</t>
  </si>
  <si>
    <t>SAMPSON COUNTY SCHOOLS</t>
  </si>
  <si>
    <t>CLINTON CITY SCHOOLS</t>
  </si>
  <si>
    <t>SCOTLAND COUNTY SCHOOLS</t>
  </si>
  <si>
    <t>STANLY COUNTY SCHOOLS</t>
  </si>
  <si>
    <t>GRAY STONE DAY SCHOOL</t>
  </si>
  <si>
    <t>STOKES COUNTY SCHOOLS</t>
  </si>
  <si>
    <t>SURRY COUNTY SCHOOLS</t>
  </si>
  <si>
    <t>BRIDGES CHARTER SCHOOLS</t>
  </si>
  <si>
    <t>MILLENNIUM CHARTER ACADEMY</t>
  </si>
  <si>
    <t>MOUNT AIRY CITY SCHOOLS</t>
  </si>
  <si>
    <t>ELKIN CITY SCHOOLS</t>
  </si>
  <si>
    <t>SWAIN COUNTY SCHOOLS</t>
  </si>
  <si>
    <t>MTN DISCOVERY CHARTER</t>
  </si>
  <si>
    <t>TRANSYLVANIA COUNTY SCHOOLS</t>
  </si>
  <si>
    <t>BREVARD ACADEMY CHARTER SCHOOL</t>
  </si>
  <si>
    <t>TYRRELL COUNTY SCHOOLS</t>
  </si>
  <si>
    <t>UNION COUNTY SCHOOLS</t>
  </si>
  <si>
    <t>VANCE COUNTY SCHOOLS</t>
  </si>
  <si>
    <t>VANCE CHARTER SCHOOL</t>
  </si>
  <si>
    <t>WAKE COUNTY PUBLIC SCHOOLS SYSTEM</t>
  </si>
  <si>
    <t>ENDEAVOR CHARTER SCHOOL</t>
  </si>
  <si>
    <t>SOUTHERN WAKE ACADEMY</t>
  </si>
  <si>
    <t>EAST WAKE FIRST ACADEMY</t>
  </si>
  <si>
    <t>CASA ESPERANZA MONTESSORI</t>
  </si>
  <si>
    <t>WARREN COUNTY SCHOOLS</t>
  </si>
  <si>
    <t>HALIWA-SAPONI TRIBAL CHARTER</t>
  </si>
  <si>
    <t>WASHINGTON COUNTY SCHOOLS</t>
  </si>
  <si>
    <t>HENDERSON COLLEGIATE CHARTER SCHOOL</t>
  </si>
  <si>
    <t>WATAUGA COUNTY SCHOOLS</t>
  </si>
  <si>
    <t>TWO RIVERS COMM SCHOOL</t>
  </si>
  <si>
    <t>WAYNE COUNTY SCHOOLS</t>
  </si>
  <si>
    <t>WILKES COUNTY SCHOOLS</t>
  </si>
  <si>
    <t>PINNACLE CLASSICAL ACADEMY</t>
  </si>
  <si>
    <t>WILSON COUNTY SCHOOLS</t>
  </si>
  <si>
    <t>YADKIN COUNTY SCHOOLS</t>
  </si>
  <si>
    <t>HIGHWAY - ADMINISTRATIVE</t>
  </si>
  <si>
    <t xml:space="preserve">GLOBAL TRANSPARK </t>
  </si>
  <si>
    <t>PORTS AUTHORITY</t>
  </si>
  <si>
    <t>Present Value of Future Salary</t>
  </si>
  <si>
    <t>Present Value of Future Salary Allocation</t>
  </si>
  <si>
    <t>OFFICE OF STATE AUDITOR</t>
  </si>
  <si>
    <t>OFFICE OF ADMINISTRATIVE HEARINGS</t>
  </si>
  <si>
    <t>OFFICE OF STATE BUDGET AND MANAGEMENT</t>
  </si>
  <si>
    <t xml:space="preserve">DEPARTMENT OF INFORMATION TECHNOLOGY </t>
  </si>
  <si>
    <t>OFFICE OF THE STATE CONTROLLER</t>
  </si>
  <si>
    <t>NC SCHOOL OF SCIENCE AND MATHEMATICS</t>
  </si>
  <si>
    <t>DEPARTMENT OF ENVIROMENTAL QUALITY</t>
  </si>
  <si>
    <t>HOUSING FINANCE AGENCY OF NORTH CAROLINA</t>
  </si>
  <si>
    <t>OFFICE OF GOVERNOR</t>
  </si>
  <si>
    <t>OFFICE OF LIEUTENANT GOVERNOR</t>
  </si>
  <si>
    <t>DEPARTMENT OF HEALTH AND HUMAN SERVICES</t>
  </si>
  <si>
    <t>DEPARTMENT OF INSURANCE</t>
  </si>
  <si>
    <t>DEPARTMENT OF LABOR</t>
  </si>
  <si>
    <t>DEPARTMENT OF REVENUE</t>
  </si>
  <si>
    <t>DEPARTMENT OF SECRETARY OF STATE</t>
  </si>
  <si>
    <t>DEPARTMENT OF STATE TREASURER (w/o State Health Plan)</t>
  </si>
  <si>
    <t>DEPARTMENT OF STATE TREASURER (State Health Plan Only)</t>
  </si>
  <si>
    <t>DEPARTMENT OF AGRICULTURE AND CONSUMER SERVICES</t>
  </si>
  <si>
    <t>STATE BOARD OF BARBER EXAMINERS</t>
  </si>
  <si>
    <t>NC REAL ESTATE COMMISSION</t>
  </si>
  <si>
    <t>NC AUCTIONEERS LICENSING BOARD</t>
  </si>
  <si>
    <t>NC STATE BOARD OF EXAMINERS OF PRACTICING PSYCHOLOGISTS</t>
  </si>
  <si>
    <t>COMMUNITY COLLEGES SYSTEM OFFICE</t>
  </si>
  <si>
    <t>NORTH CAROLINA SCHOOL OF THE ARTS</t>
  </si>
  <si>
    <t>NORTH CAROLINA A&amp;T UNIVERSITY</t>
  </si>
  <si>
    <t>NORTH CAROLINA CENTRAL UNIVERSITY</t>
  </si>
  <si>
    <t>UNIVERSITY OF NORTH CAROLINA AT PEMBROKE</t>
  </si>
  <si>
    <t>NC STATE UNIVERSITY</t>
  </si>
  <si>
    <t>UNC-GENERAL ADMINISTRATION (w/o SEAA)</t>
  </si>
  <si>
    <t>UNC-GENERAL ADMINISTRATION (SEAA Only)</t>
  </si>
  <si>
    <t>FRANCINE DELANY NEW SCHOOL FOR CHILDREN</t>
  </si>
  <si>
    <t>WESTERN PIEDMONT COMMUNITY COLLEGE</t>
  </si>
  <si>
    <t>INVEST COLLEGIATE CHARTER SCHOOL</t>
  </si>
  <si>
    <t>NORTHEAST REGIONAL SCHOOL FOR BIOTECHNOLOGY</t>
  </si>
  <si>
    <t>CENTRAL PARK SCHOOL FOR CHILDREN</t>
  </si>
  <si>
    <t>AMERICAN RENAISSANCE MIDDLE SCHOOL</t>
  </si>
  <si>
    <t>LEE COUNTY SCHOOLS</t>
  </si>
  <si>
    <t>KENNEDY CHARTER</t>
  </si>
  <si>
    <t>CAPE FEAR CENTER FOR INQUIRY</t>
  </si>
  <si>
    <t>N.E. ACADEMY OF AEROSPACE &amp; ADVANCED TECHNOLOGY</t>
  </si>
  <si>
    <t>MOUNTAIN DISCOVERY CHARTER</t>
  </si>
  <si>
    <t>TWO RIVERS COMMUNITY SCHOOL</t>
  </si>
  <si>
    <t>HIGHWAY - ADMIN (w/o Global Transpark or Ports Authority)</t>
  </si>
  <si>
    <t>HIGHWAY - ADMIN (Global Transpark Only)</t>
  </si>
  <si>
    <t>HIGHWAY - ADMIN (Ports Authority Only)</t>
  </si>
  <si>
    <t>Proportional Share Of OPEB Expense</t>
  </si>
  <si>
    <t>Total Employer OPEB Expense</t>
  </si>
  <si>
    <t xml:space="preserve">                          -  </t>
  </si>
  <si>
    <t xml:space="preserve">                        -    </t>
  </si>
  <si>
    <t xml:space="preserve">                           -    </t>
  </si>
  <si>
    <t>STATE DIVISION OF HEALTH SERVICES</t>
  </si>
  <si>
    <t>STATE TREASURER (w/o State Health Plan)</t>
  </si>
  <si>
    <t>STATE TREASURER (State Health Plan Only)</t>
  </si>
  <si>
    <t>SEGS ACADEMY</t>
  </si>
  <si>
    <t>PACE ACADEMY</t>
  </si>
  <si>
    <t>HIGHWAY - ADMINISTRATIVE (w/o Global Transpark or Ports Authority)</t>
  </si>
  <si>
    <t>HIGHWAY - ADMINISTRATIVE (Global Transpark Only)</t>
  </si>
  <si>
    <t>HIGHWAY - ADMINISTRATIVE (Ports Authority Only)</t>
  </si>
  <si>
    <t>Asset</t>
  </si>
  <si>
    <t>Disability Income Plan of North Carolina – Financial Audit of Schedules</t>
  </si>
  <si>
    <r>
      <rPr>
        <i/>
        <u/>
        <sz val="10"/>
        <rFont val="Arial"/>
        <family val="2"/>
      </rPr>
      <t>Note 1</t>
    </r>
    <r>
      <rPr>
        <i/>
        <sz val="10"/>
        <rFont val="Arial"/>
        <family val="2"/>
      </rPr>
      <t>: Employers should disclose the net change amount (instead of both additions and deletions) and reference that more information on the net OPEB liability (asset) is available in the separate note on OPEB plans. Since the amount reported is the employer’s proportionate share of the collective net OPEB liability (asset), additions and deletions are not relevant for this disclosure. The collective net OPEB liability (asset) equals the total OPEB liability (asset) for the OPEB plan, net of the plan’s fiduciary net position.</t>
    </r>
  </si>
  <si>
    <r>
      <rPr>
        <i/>
        <u/>
        <sz val="10"/>
        <rFont val="Arial"/>
        <family val="2"/>
      </rPr>
      <t>Note 2</t>
    </r>
    <r>
      <rPr>
        <i/>
        <sz val="10"/>
        <rFont val="Arial"/>
        <family val="2"/>
      </rPr>
      <t>: If the employer reports a net OPEB liability (asset) under Statement 75, the amount of the net OPEB liability (asset) that is “due” within one year is the amount of benefit payments expected to be paid within one year, net of the OPEB plan’s fiduciary net position available to pay that amount. Therefore, there would be no amount that is “due” within one year unless the OPEB plan’s fiduciary net position is less than the amount of benefit payments expected to be paid within one year. (Comprehensive Implementation Guide, 7.22.6)</t>
    </r>
  </si>
  <si>
    <t xml:space="preserve">Changes in Long-term Liabilities (Asset) </t>
  </si>
  <si>
    <t xml:space="preserve">(To record the beginning balances of the net OPEB asset and deferred outflows </t>
  </si>
  <si>
    <t>6/30/2017 Net OPEB Asset</t>
  </si>
  <si>
    <t>NOPEBL Rounding Adjustment</t>
  </si>
  <si>
    <t>6/30/2016 Net OPEB Asset</t>
  </si>
  <si>
    <t>**check asset/liability account depending on whether it's an asset or liability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</si>
</sst>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0_);_(&quot;$&quot;* \(#,##0\);_(&quot;$&quot;* &quot;-&quot;_);_(@_)"/>
    <numFmt numFmtId="41" formatCode="_(* #,##0_);_(* \(#,##0\);_(* &quot;-&quot;_);_(@_)"/>
    <numFmt numFmtId="43" formatCode="_(* #,##0.00_);_(* \(#,##0.00\);_(* &quot;-&quot;??_);_(@_)"/>
    <numFmt numFmtId="164" formatCode="#,##0.00_);\(#,##0.00\);\—\—\—\ \ \ \ "/>
    <numFmt numFmtId="165" formatCode="\(0\)"/>
    <numFmt numFmtId="166" formatCode="#,##0_);\(#,##0\);\—\—\—\ \ \ \ "/>
    <numFmt numFmtId="167" formatCode="#,##0_);\(#,##0\);\—\ \ \ \ "/>
    <numFmt numFmtId="168" formatCode="_(&quot;$&quot;* #,##0_);_(&quot;$&quot;* \(#,##0\);_(&quot;$&quot;* &quot;—&quot;_);_(@_)"/>
    <numFmt numFmtId="169" formatCode="_(* #,##0_);_(* \(#,##0\);_(* &quot;—&quot;_);_(@_)"/>
    <numFmt numFmtId="170" formatCode="0.00000%"/>
    <numFmt numFmtId="171" formatCode="_(* #,##0_);_(* \(#,##0\);_(* &quot;-&quot;??_);_(@_)"/>
    <numFmt numFmtId="172" formatCode="_(* #,##0_);_(* \(#,##0\);_(* &quot;-&quot;????_);_(@_)"/>
  </numFmts>
  <fonts count="45">
    <font>
      <sz val="10"/>
      <name val="Arial"/>
    </font>
    <font>
      <sz val="11"/>
      <color theme="1"/>
      <name val="Calibri"/>
      <family val="2"/>
      <scheme val="minor"/>
    </font>
    <font>
      <b/>
      <u/>
      <sz val="9"/>
      <name val="Arial"/>
      <family val="2"/>
    </font>
    <font>
      <b/>
      <u/>
      <sz val="9"/>
      <name val="Arial Narrow"/>
      <family val="2"/>
    </font>
    <font>
      <sz val="9"/>
      <name val="Arial Narrow"/>
      <family val="2"/>
    </font>
    <font>
      <b/>
      <i/>
      <sz val="9"/>
      <name val="Arial Narrow"/>
      <family val="2"/>
    </font>
    <font>
      <b/>
      <sz val="9"/>
      <name val="Arial Narrow"/>
      <family val="2"/>
    </font>
    <font>
      <b/>
      <i/>
      <u/>
      <sz val="9"/>
      <name val="Arial Narrow"/>
      <family val="2"/>
    </font>
    <font>
      <sz val="9"/>
      <name val="@Batang"/>
      <family val="1"/>
    </font>
    <font>
      <sz val="8"/>
      <name val="Arial"/>
      <family val="2"/>
    </font>
    <font>
      <sz val="12"/>
      <name val="Times New Roman"/>
      <family val="1"/>
    </font>
    <font>
      <sz val="8.25"/>
      <name val="Helv"/>
    </font>
    <font>
      <b/>
      <sz val="10"/>
      <name val="Arial"/>
      <family val="2"/>
    </font>
    <font>
      <sz val="8"/>
      <name val="Arial Narrow"/>
      <family val="2"/>
    </font>
    <font>
      <sz val="10"/>
      <name val="Arial"/>
      <family val="2"/>
    </font>
    <font>
      <u/>
      <sz val="9"/>
      <name val="Arial Narrow"/>
      <family val="2"/>
    </font>
    <font>
      <b/>
      <i/>
      <sz val="9"/>
      <color theme="1"/>
      <name val="Arial Narrow"/>
      <family val="2"/>
    </font>
    <font>
      <sz val="9"/>
      <name val="Arial"/>
      <family val="2"/>
    </font>
    <font>
      <b/>
      <u/>
      <sz val="10"/>
      <name val="Arial"/>
      <family val="2"/>
    </font>
    <font>
      <u/>
      <sz val="10"/>
      <name val="Arial"/>
      <family val="2"/>
    </font>
    <font>
      <i/>
      <sz val="10"/>
      <name val="Arial"/>
      <family val="2"/>
    </font>
    <font>
      <sz val="10"/>
      <color rgb="FF0000FF"/>
      <name val="Arial"/>
      <family val="2"/>
    </font>
    <font>
      <sz val="10"/>
      <name val="Arial"/>
      <family val="2"/>
    </font>
    <font>
      <b/>
      <sz val="11"/>
      <color theme="1"/>
      <name val="Calibri"/>
      <family val="2"/>
      <scheme val="minor"/>
    </font>
    <font>
      <b/>
      <sz val="10"/>
      <color rgb="FF000000"/>
      <name val="Arial"/>
      <family val="2"/>
    </font>
    <font>
      <b/>
      <sz val="11"/>
      <color rgb="FF000000"/>
      <name val="Calibri"/>
      <family val="2"/>
      <scheme val="minor"/>
    </font>
    <font>
      <sz val="11"/>
      <color rgb="FF000000"/>
      <name val="Calibri"/>
      <family val="2"/>
      <scheme val="minor"/>
    </font>
    <font>
      <b/>
      <u/>
      <sz val="9"/>
      <color rgb="FFFF0000"/>
      <name val="Arial Narrow"/>
      <family val="2"/>
    </font>
    <font>
      <i/>
      <u/>
      <sz val="10"/>
      <name val="Arial"/>
      <family val="2"/>
    </font>
    <font>
      <sz val="10"/>
      <color indexed="10"/>
      <name val="Arial"/>
      <family val="2"/>
    </font>
    <font>
      <b/>
      <sz val="10"/>
      <color indexed="10"/>
      <name val="Arial"/>
      <family val="2"/>
    </font>
    <font>
      <b/>
      <sz val="14"/>
      <color rgb="FFFF0000"/>
      <name val="Arial"/>
      <family val="2"/>
    </font>
    <font>
      <b/>
      <sz val="12.5"/>
      <color rgb="FFFF0000"/>
      <name val="Arial"/>
      <family val="2"/>
    </font>
    <font>
      <u/>
      <sz val="10"/>
      <color theme="10"/>
      <name val="Arial"/>
      <family val="2"/>
    </font>
    <font>
      <sz val="10"/>
      <color theme="10"/>
      <name val="Arial"/>
      <family val="2"/>
    </font>
    <font>
      <i/>
      <sz val="9"/>
      <name val="Arial Narrow"/>
      <family val="2"/>
    </font>
    <font>
      <sz val="10"/>
      <color rgb="FFFF0000"/>
      <name val="Arial"/>
      <family val="2"/>
    </font>
    <font>
      <b/>
      <i/>
      <sz val="10"/>
      <name val="Arial"/>
      <family val="2"/>
    </font>
    <font>
      <b/>
      <sz val="9"/>
      <color rgb="FFFF0000"/>
      <name val="Arial Narrow"/>
      <family val="2"/>
    </font>
    <font>
      <b/>
      <sz val="10"/>
      <color rgb="FFFF0000"/>
      <name val="Arial"/>
      <family val="2"/>
    </font>
    <font>
      <sz val="9"/>
      <color indexed="10"/>
      <name val="Arial Narrow"/>
      <family val="2"/>
    </font>
    <font>
      <b/>
      <sz val="10"/>
      <color indexed="10"/>
      <name val="Arial Narrow"/>
      <family val="2"/>
    </font>
    <font>
      <sz val="11"/>
      <name val="Calibri"/>
      <family val="2"/>
      <scheme val="minor"/>
    </font>
    <font>
      <sz val="10"/>
      <color theme="1"/>
      <name val="Arial"/>
      <family val="2"/>
    </font>
    <font>
      <sz val="10"/>
      <color rgb="FF000000"/>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B7FFD8"/>
        <bgColor indexed="64"/>
      </patternFill>
    </fill>
  </fills>
  <borders count="16">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rgb="FFFF0000"/>
      </left>
      <right style="thin">
        <color rgb="FFFF0000"/>
      </right>
      <top style="thin">
        <color rgb="FFFF0000"/>
      </top>
      <bottom style="thin">
        <color rgb="FFFF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11" fillId="0" borderId="0"/>
    <xf numFmtId="43" fontId="22" fillId="0" borderId="0" applyFont="0" applyFill="0" applyBorder="0" applyAlignment="0" applyProtection="0"/>
    <xf numFmtId="9" fontId="22"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39" fontId="14" fillId="0" borderId="0"/>
    <xf numFmtId="9" fontId="1" fillId="0" borderId="0" applyFont="0" applyFill="0" applyBorder="0" applyAlignment="0" applyProtection="0"/>
    <xf numFmtId="0" fontId="1" fillId="0" borderId="0"/>
  </cellStyleXfs>
  <cellXfs count="292">
    <xf numFmtId="0" fontId="0" fillId="0" borderId="0" xfId="0"/>
    <xf numFmtId="0" fontId="12" fillId="0" borderId="0" xfId="0" applyFont="1"/>
    <xf numFmtId="0" fontId="14" fillId="0" borderId="0" xfId="0" applyFont="1"/>
    <xf numFmtId="166" fontId="12" fillId="0" borderId="0" xfId="0" applyNumberFormat="1" applyFont="1" applyBorder="1" applyAlignment="1" applyProtection="1">
      <alignment horizontal="center"/>
    </xf>
    <xf numFmtId="168" fontId="14" fillId="0" borderId="0" xfId="0" applyNumberFormat="1" applyFont="1"/>
    <xf numFmtId="169" fontId="14" fillId="0" borderId="0" xfId="0" applyNumberFormat="1" applyFont="1"/>
    <xf numFmtId="169" fontId="14" fillId="0" borderId="0" xfId="0" applyNumberFormat="1" applyFont="1" applyBorder="1"/>
    <xf numFmtId="168" fontId="14" fillId="0" borderId="0" xfId="0" applyNumberFormat="1" applyFont="1" applyBorder="1"/>
    <xf numFmtId="0" fontId="14" fillId="0" borderId="0" xfId="0" applyFont="1" applyBorder="1" applyAlignment="1">
      <alignment horizontal="center"/>
    </xf>
    <xf numFmtId="0" fontId="0" fillId="0" borderId="0" xfId="0" applyBorder="1" applyAlignment="1">
      <alignment horizontal="center"/>
    </xf>
    <xf numFmtId="0" fontId="14" fillId="0" borderId="0" xfId="0" applyFont="1" applyAlignment="1">
      <alignment horizontal="center"/>
    </xf>
    <xf numFmtId="37" fontId="0" fillId="0" borderId="0" xfId="0" applyNumberFormat="1"/>
    <xf numFmtId="170" fontId="0" fillId="0" borderId="0" xfId="0" applyNumberFormat="1"/>
    <xf numFmtId="0" fontId="0" fillId="0" borderId="1" xfId="0" applyBorder="1" applyAlignment="1">
      <alignment horizontal="center"/>
    </xf>
    <xf numFmtId="3" fontId="0" fillId="0" borderId="0" xfId="0" applyNumberFormat="1"/>
    <xf numFmtId="0" fontId="14" fillId="0" borderId="3" xfId="0" applyFont="1" applyBorder="1" applyAlignment="1">
      <alignment horizontal="center" wrapText="1"/>
    </xf>
    <xf numFmtId="0" fontId="0" fillId="0" borderId="3" xfId="0" applyBorder="1" applyAlignment="1">
      <alignment horizontal="center" wrapText="1"/>
    </xf>
    <xf numFmtId="0" fontId="14" fillId="0" borderId="3" xfId="0" quotePrefix="1" applyFont="1" applyBorder="1" applyAlignment="1">
      <alignment horizontal="center" wrapText="1"/>
    </xf>
    <xf numFmtId="0" fontId="0" fillId="0" borderId="3" xfId="0" applyBorder="1" applyAlignment="1">
      <alignment horizontal="center"/>
    </xf>
    <xf numFmtId="0" fontId="14" fillId="0" borderId="3" xfId="0" applyFont="1" applyBorder="1" applyAlignment="1">
      <alignment horizontal="center"/>
    </xf>
    <xf numFmtId="168" fontId="0" fillId="0" borderId="0" xfId="0" applyNumberFormat="1"/>
    <xf numFmtId="169" fontId="0" fillId="0" borderId="0" xfId="0" applyNumberFormat="1"/>
    <xf numFmtId="0" fontId="0" fillId="0" borderId="0" xfId="0" applyAlignment="1">
      <alignment horizontal="center"/>
    </xf>
    <xf numFmtId="0" fontId="5" fillId="3" borderId="0" xfId="0" applyFont="1" applyFill="1" applyAlignment="1" applyProtection="1">
      <alignment horizontal="center"/>
    </xf>
    <xf numFmtId="0" fontId="0" fillId="4" borderId="0" xfId="0" applyFill="1"/>
    <xf numFmtId="0" fontId="3" fillId="4" borderId="0" xfId="0" applyFont="1" applyFill="1" applyAlignment="1" applyProtection="1">
      <alignment horizontal="center"/>
    </xf>
    <xf numFmtId="0" fontId="4" fillId="4" borderId="0" xfId="0" applyFont="1" applyFill="1" applyAlignment="1" applyProtection="1">
      <alignment horizontal="center"/>
    </xf>
    <xf numFmtId="0" fontId="5" fillId="4" borderId="0" xfId="0" applyFont="1" applyFill="1" applyAlignment="1" applyProtection="1">
      <alignment horizontal="center"/>
    </xf>
    <xf numFmtId="0" fontId="6" fillId="4" borderId="0" xfId="0" applyFont="1" applyFill="1" applyAlignment="1" applyProtection="1">
      <alignment horizontal="center"/>
    </xf>
    <xf numFmtId="0" fontId="10" fillId="4" borderId="0" xfId="1" applyFont="1" applyFill="1" applyAlignment="1">
      <alignment horizontal="left"/>
    </xf>
    <xf numFmtId="0" fontId="10" fillId="4" borderId="0" xfId="1" applyFont="1" applyFill="1"/>
    <xf numFmtId="0" fontId="0" fillId="4" borderId="0" xfId="0" applyFill="1" applyAlignment="1">
      <alignment wrapText="1"/>
    </xf>
    <xf numFmtId="0" fontId="10" fillId="4" borderId="0" xfId="1" applyFont="1" applyFill="1" applyAlignment="1">
      <alignment horizontal="left" wrapText="1"/>
    </xf>
    <xf numFmtId="0" fontId="10" fillId="4" borderId="0" xfId="1" applyFont="1" applyFill="1" applyAlignment="1">
      <alignment wrapText="1"/>
    </xf>
    <xf numFmtId="0" fontId="7" fillId="4" borderId="0" xfId="0" applyFont="1" applyFill="1" applyAlignment="1" applyProtection="1">
      <alignment horizontal="center"/>
    </xf>
    <xf numFmtId="0" fontId="0" fillId="2" borderId="0" xfId="0" applyFill="1"/>
    <xf numFmtId="0" fontId="3" fillId="2" borderId="0" xfId="0" applyFont="1" applyFill="1" applyAlignment="1" applyProtection="1">
      <alignment horizontal="center"/>
    </xf>
    <xf numFmtId="164" fontId="3" fillId="2" borderId="0" xfId="0" applyNumberFormat="1" applyFont="1" applyFill="1" applyAlignment="1" applyProtection="1">
      <alignment horizontal="center"/>
    </xf>
    <xf numFmtId="0" fontId="2" fillId="2" borderId="0" xfId="0" applyFont="1" applyFill="1" applyAlignment="1" applyProtection="1">
      <alignment horizontal="center"/>
    </xf>
    <xf numFmtId="0" fontId="4" fillId="2" borderId="0" xfId="0" applyFont="1" applyFill="1" applyProtection="1"/>
    <xf numFmtId="0" fontId="4" fillId="2" borderId="0" xfId="0" applyFont="1" applyFill="1" applyAlignment="1" applyProtection="1">
      <alignment horizontal="center"/>
    </xf>
    <xf numFmtId="0" fontId="6" fillId="2" borderId="0" xfId="0" applyFont="1" applyFill="1" applyAlignment="1" applyProtection="1">
      <alignment horizontal="center"/>
    </xf>
    <xf numFmtId="0" fontId="4" fillId="2" borderId="0" xfId="0" applyFont="1" applyFill="1"/>
    <xf numFmtId="0" fontId="16" fillId="2" borderId="0" xfId="0" applyFont="1" applyFill="1" applyAlignment="1" applyProtection="1">
      <alignment horizontal="center"/>
    </xf>
    <xf numFmtId="165" fontId="17" fillId="2" borderId="0" xfId="0" applyNumberFormat="1" applyFont="1" applyFill="1" applyAlignment="1" applyProtection="1">
      <alignment horizontal="center"/>
    </xf>
    <xf numFmtId="167" fontId="4" fillId="2" borderId="0" xfId="0" applyNumberFormat="1" applyFont="1" applyFill="1" applyAlignment="1" applyProtection="1"/>
    <xf numFmtId="0" fontId="4" fillId="2" borderId="0" xfId="0" applyFont="1" applyFill="1" applyAlignment="1" applyProtection="1">
      <alignment horizontal="left" indent="2"/>
    </xf>
    <xf numFmtId="0" fontId="6" fillId="2" borderId="0" xfId="0" applyFont="1" applyFill="1" applyProtection="1"/>
    <xf numFmtId="167" fontId="4" fillId="2" borderId="0" xfId="0" applyNumberFormat="1" applyFont="1" applyFill="1" applyBorder="1" applyProtection="1"/>
    <xf numFmtId="0" fontId="0" fillId="2" borderId="0" xfId="0" applyFill="1" applyBorder="1"/>
    <xf numFmtId="167" fontId="6" fillId="2" borderId="0" xfId="0" applyNumberFormat="1" applyFont="1" applyFill="1" applyBorder="1" applyAlignment="1" applyProtection="1">
      <alignment horizontal="center"/>
    </xf>
    <xf numFmtId="0" fontId="14" fillId="2" borderId="0" xfId="0" applyFont="1" applyFill="1"/>
    <xf numFmtId="0" fontId="15" fillId="2" borderId="0" xfId="0" applyFont="1" applyFill="1" applyAlignment="1" applyProtection="1">
      <alignment horizontal="center"/>
    </xf>
    <xf numFmtId="167" fontId="4" fillId="2" borderId="0" xfId="0" applyNumberFormat="1" applyFont="1" applyFill="1" applyProtection="1"/>
    <xf numFmtId="167" fontId="4" fillId="2" borderId="0" xfId="0" applyNumberFormat="1" applyFont="1" applyFill="1" applyProtection="1">
      <protection locked="0"/>
    </xf>
    <xf numFmtId="167" fontId="4" fillId="2" borderId="1" xfId="0" applyNumberFormat="1" applyFont="1" applyFill="1" applyBorder="1" applyProtection="1"/>
    <xf numFmtId="168" fontId="14" fillId="2" borderId="0" xfId="0" applyNumberFormat="1" applyFont="1" applyFill="1" applyBorder="1"/>
    <xf numFmtId="169" fontId="14" fillId="2" borderId="0" xfId="0" applyNumberFormat="1" applyFont="1" applyFill="1" applyBorder="1"/>
    <xf numFmtId="0" fontId="6" fillId="2" borderId="0" xfId="0" applyFont="1" applyFill="1" applyAlignment="1">
      <alignment horizontal="center"/>
    </xf>
    <xf numFmtId="170" fontId="24" fillId="0" borderId="0" xfId="3" applyNumberFormat="1" applyFont="1" applyFill="1" applyBorder="1" applyAlignment="1">
      <alignment horizontal="center" wrapText="1"/>
    </xf>
    <xf numFmtId="0" fontId="25" fillId="0" borderId="0" xfId="0" applyFont="1" applyFill="1" applyBorder="1" applyAlignment="1">
      <alignment horizontal="center" wrapText="1"/>
    </xf>
    <xf numFmtId="169" fontId="14" fillId="4" borderId="0" xfId="0" applyNumberFormat="1" applyFont="1" applyFill="1" applyBorder="1"/>
    <xf numFmtId="0" fontId="27" fillId="2" borderId="0" xfId="0" applyFont="1" applyFill="1" applyAlignment="1" applyProtection="1">
      <alignment horizontal="center"/>
    </xf>
    <xf numFmtId="167" fontId="4" fillId="4" borderId="12" xfId="0" applyNumberFormat="1" applyFont="1" applyFill="1" applyBorder="1" applyProtection="1">
      <protection locked="0"/>
    </xf>
    <xf numFmtId="42" fontId="0" fillId="4" borderId="0" xfId="0" applyNumberFormat="1" applyFill="1" applyBorder="1"/>
    <xf numFmtId="0" fontId="12" fillId="4" borderId="0" xfId="0" applyFont="1" applyFill="1"/>
    <xf numFmtId="0" fontId="12" fillId="4" borderId="0" xfId="0" quotePrefix="1" applyFont="1" applyFill="1"/>
    <xf numFmtId="0" fontId="31" fillId="4" borderId="0" xfId="0" applyFont="1" applyFill="1"/>
    <xf numFmtId="0" fontId="31" fillId="4" borderId="0" xfId="0" applyFont="1" applyFill="1" applyAlignment="1">
      <alignment horizontal="center"/>
    </xf>
    <xf numFmtId="0" fontId="12" fillId="4" borderId="0" xfId="0" applyFont="1" applyFill="1" applyAlignment="1">
      <alignment horizontal="left"/>
    </xf>
    <xf numFmtId="0" fontId="0" fillId="4" borderId="0" xfId="0" applyFill="1" applyBorder="1"/>
    <xf numFmtId="0" fontId="30" fillId="4" borderId="0" xfId="0" applyFont="1" applyFill="1" applyAlignment="1" applyProtection="1">
      <alignment horizontal="left" indent="3"/>
    </xf>
    <xf numFmtId="0" fontId="29" fillId="4" borderId="0" xfId="0" applyFont="1" applyFill="1" applyAlignment="1" applyProtection="1">
      <alignment horizontal="left" indent="4"/>
    </xf>
    <xf numFmtId="165" fontId="17" fillId="4" borderId="0" xfId="0" applyNumberFormat="1" applyFont="1" applyFill="1" applyAlignment="1" applyProtection="1">
      <alignment horizontal="center"/>
    </xf>
    <xf numFmtId="0" fontId="8" fillId="4" borderId="0" xfId="0" applyFont="1" applyFill="1" applyBorder="1" applyProtection="1"/>
    <xf numFmtId="166" fontId="4" fillId="4" borderId="0" xfId="0" applyNumberFormat="1" applyFont="1" applyFill="1" applyBorder="1" applyProtection="1"/>
    <xf numFmtId="166" fontId="4" fillId="4" borderId="0" xfId="0" applyNumberFormat="1" applyFont="1" applyFill="1" applyProtection="1"/>
    <xf numFmtId="0" fontId="4" fillId="4" borderId="0" xfId="0" applyFont="1" applyFill="1" applyAlignment="1">
      <alignment horizontal="center" vertical="top"/>
    </xf>
    <xf numFmtId="0" fontId="0" fillId="4" borderId="0" xfId="0" applyFill="1" applyAlignment="1">
      <alignment vertical="top"/>
    </xf>
    <xf numFmtId="0" fontId="4" fillId="4" borderId="0" xfId="0" applyFont="1" applyFill="1"/>
    <xf numFmtId="0" fontId="4" fillId="4" borderId="0" xfId="0" applyNumberFormat="1" applyFont="1" applyFill="1" applyAlignment="1" applyProtection="1">
      <alignment horizontal="left" vertical="top"/>
    </xf>
    <xf numFmtId="0" fontId="4" fillId="4" borderId="0" xfId="0" applyFont="1" applyFill="1" applyAlignment="1">
      <alignment vertical="top"/>
    </xf>
    <xf numFmtId="0" fontId="4" fillId="4" borderId="0" xfId="0" applyFont="1" applyFill="1" applyAlignment="1">
      <alignment vertical="top" wrapText="1"/>
    </xf>
    <xf numFmtId="0" fontId="0" fillId="4" borderId="0" xfId="0" applyFill="1" applyAlignment="1">
      <alignment vertical="top" wrapText="1"/>
    </xf>
    <xf numFmtId="49" fontId="4" fillId="4" borderId="0" xfId="0" quotePrefix="1" applyNumberFormat="1" applyFont="1" applyFill="1" applyAlignment="1" applyProtection="1">
      <alignment horizontal="center" vertical="top"/>
    </xf>
    <xf numFmtId="49" fontId="4" fillId="4" borderId="0" xfId="0" quotePrefix="1" applyNumberFormat="1" applyFont="1" applyFill="1" applyAlignment="1">
      <alignment horizontal="center" vertical="top"/>
    </xf>
    <xf numFmtId="0" fontId="4" fillId="4" borderId="0" xfId="0" applyNumberFormat="1" applyFont="1" applyFill="1" applyAlignment="1" applyProtection="1">
      <alignment horizontal="left" vertical="top" wrapText="1"/>
    </xf>
    <xf numFmtId="0" fontId="12" fillId="2" borderId="0" xfId="0" quotePrefix="1" applyFont="1" applyFill="1" applyBorder="1" applyAlignment="1">
      <alignment horizontal="center"/>
    </xf>
    <xf numFmtId="0" fontId="12" fillId="2" borderId="3" xfId="0" quotePrefix="1" applyFont="1" applyFill="1" applyBorder="1" applyAlignment="1">
      <alignment horizontal="center"/>
    </xf>
    <xf numFmtId="169" fontId="14" fillId="2" borderId="3" xfId="0" applyNumberFormat="1" applyFont="1" applyFill="1" applyBorder="1"/>
    <xf numFmtId="168" fontId="14" fillId="2" borderId="2" xfId="0" applyNumberFormat="1" applyFont="1" applyFill="1" applyBorder="1"/>
    <xf numFmtId="0" fontId="12" fillId="2" borderId="0" xfId="0" quotePrefix="1" applyFont="1" applyFill="1" applyAlignment="1">
      <alignment horizontal="center"/>
    </xf>
    <xf numFmtId="0" fontId="12" fillId="4" borderId="0" xfId="0" applyFont="1" applyFill="1" applyBorder="1" applyAlignment="1">
      <alignment horizontal="center"/>
    </xf>
    <xf numFmtId="166" fontId="12" fillId="4" borderId="3" xfId="0" applyNumberFormat="1" applyFont="1" applyFill="1" applyBorder="1" applyAlignment="1" applyProtection="1">
      <alignment horizontal="center"/>
    </xf>
    <xf numFmtId="166" fontId="18" fillId="4" borderId="0" xfId="0" applyNumberFormat="1" applyFont="1" applyFill="1" applyBorder="1" applyAlignment="1" applyProtection="1">
      <alignment horizontal="center"/>
    </xf>
    <xf numFmtId="166" fontId="12" fillId="4" borderId="0" xfId="0" applyNumberFormat="1" applyFont="1" applyFill="1" applyBorder="1" applyAlignment="1" applyProtection="1">
      <alignment horizontal="center"/>
    </xf>
    <xf numFmtId="0" fontId="14" fillId="4" borderId="0" xfId="1" applyFont="1" applyFill="1" applyBorder="1"/>
    <xf numFmtId="1" fontId="14" fillId="4" borderId="0" xfId="0" applyNumberFormat="1" applyFont="1" applyFill="1" applyBorder="1" applyAlignment="1" applyProtection="1">
      <alignment horizontal="center"/>
    </xf>
    <xf numFmtId="168" fontId="14" fillId="4" borderId="0" xfId="0" applyNumberFormat="1" applyFont="1" applyFill="1" applyBorder="1"/>
    <xf numFmtId="167" fontId="14" fillId="4" borderId="0" xfId="0" applyNumberFormat="1" applyFont="1" applyFill="1" applyBorder="1"/>
    <xf numFmtId="169" fontId="14" fillId="4" borderId="3" xfId="0" applyNumberFormat="1" applyFont="1" applyFill="1" applyBorder="1"/>
    <xf numFmtId="0" fontId="14" fillId="4" borderId="0" xfId="1" applyFont="1" applyFill="1" applyBorder="1" applyAlignment="1">
      <alignment horizontal="left" indent="1"/>
    </xf>
    <xf numFmtId="0" fontId="14" fillId="4" borderId="0" xfId="0" applyFont="1" applyFill="1" applyBorder="1" applyAlignment="1" applyProtection="1">
      <alignment horizontal="center"/>
    </xf>
    <xf numFmtId="168" fontId="14" fillId="4" borderId="2" xfId="0" applyNumberFormat="1" applyFont="1" applyFill="1" applyBorder="1"/>
    <xf numFmtId="0" fontId="32" fillId="4" borderId="0" xfId="0" applyFont="1" applyFill="1"/>
    <xf numFmtId="0" fontId="21" fillId="4" borderId="12" xfId="0" applyFont="1" applyFill="1" applyBorder="1" applyAlignment="1" applyProtection="1">
      <alignment horizontal="center"/>
      <protection locked="0"/>
    </xf>
    <xf numFmtId="0" fontId="0" fillId="0" borderId="0" xfId="0"/>
    <xf numFmtId="0" fontId="0" fillId="0" borderId="0" xfId="0"/>
    <xf numFmtId="168" fontId="0" fillId="0" borderId="2" xfId="0" applyNumberFormat="1" applyBorder="1"/>
    <xf numFmtId="0" fontId="0" fillId="0" borderId="0" xfId="0"/>
    <xf numFmtId="0" fontId="12" fillId="0" borderId="3" xfId="0" applyFont="1" applyBorder="1"/>
    <xf numFmtId="0" fontId="12" fillId="4" borderId="3" xfId="0" applyFont="1" applyFill="1" applyBorder="1" applyAlignment="1">
      <alignment horizontal="center"/>
    </xf>
    <xf numFmtId="0" fontId="14" fillId="4" borderId="0" xfId="0" applyFont="1" applyFill="1"/>
    <xf numFmtId="0" fontId="14" fillId="4" borderId="5" xfId="0" applyFont="1" applyFill="1" applyBorder="1"/>
    <xf numFmtId="0" fontId="0" fillId="4" borderId="6" xfId="0" applyFill="1" applyBorder="1"/>
    <xf numFmtId="0" fontId="0" fillId="4" borderId="7" xfId="0" applyFill="1" applyBorder="1"/>
    <xf numFmtId="0" fontId="14" fillId="4" borderId="8" xfId="0" applyFont="1" applyFill="1" applyBorder="1"/>
    <xf numFmtId="0" fontId="0" fillId="4" borderId="9" xfId="0" applyFill="1" applyBorder="1"/>
    <xf numFmtId="15" fontId="12" fillId="4" borderId="8" xfId="0" quotePrefix="1" applyNumberFormat="1" applyFont="1" applyFill="1" applyBorder="1"/>
    <xf numFmtId="0" fontId="0" fillId="4" borderId="8" xfId="0" applyFill="1" applyBorder="1"/>
    <xf numFmtId="0" fontId="14" fillId="4" borderId="0" xfId="0" applyFont="1" applyFill="1" applyBorder="1"/>
    <xf numFmtId="0" fontId="14" fillId="4" borderId="0" xfId="0" applyFont="1" applyFill="1" applyBorder="1" applyAlignment="1">
      <alignment horizontal="center"/>
    </xf>
    <xf numFmtId="0" fontId="19" fillId="4" borderId="0" xfId="0" applyFont="1" applyFill="1" applyBorder="1" applyAlignment="1">
      <alignment horizontal="center"/>
    </xf>
    <xf numFmtId="0" fontId="14" fillId="4" borderId="3" xfId="0" applyFont="1" applyFill="1" applyBorder="1" applyAlignment="1">
      <alignment horizontal="center"/>
    </xf>
    <xf numFmtId="0" fontId="0" fillId="4" borderId="0" xfId="0" applyFill="1" applyBorder="1" applyAlignment="1">
      <alignment horizontal="center"/>
    </xf>
    <xf numFmtId="42" fontId="14" fillId="4" borderId="0" xfId="0" applyNumberFormat="1" applyFont="1" applyFill="1" applyBorder="1"/>
    <xf numFmtId="41" fontId="14" fillId="4" borderId="0" xfId="0" applyNumberFormat="1" applyFont="1" applyFill="1" applyBorder="1"/>
    <xf numFmtId="41" fontId="0" fillId="4" borderId="0" xfId="0" applyNumberFormat="1" applyFill="1" applyBorder="1"/>
    <xf numFmtId="0" fontId="14" fillId="4" borderId="8" xfId="0" applyFont="1" applyFill="1" applyBorder="1" applyAlignment="1">
      <alignment horizontal="left" indent="2"/>
    </xf>
    <xf numFmtId="42" fontId="0" fillId="4" borderId="2" xfId="0" applyNumberFormat="1" applyFill="1" applyBorder="1"/>
    <xf numFmtId="15" fontId="20" fillId="4" borderId="8" xfId="0" quotePrefix="1" applyNumberFormat="1" applyFont="1" applyFill="1" applyBorder="1"/>
    <xf numFmtId="0" fontId="0" fillId="4" borderId="11" xfId="0" applyFill="1" applyBorder="1"/>
    <xf numFmtId="0" fontId="0" fillId="4" borderId="3" xfId="0" applyFill="1" applyBorder="1"/>
    <xf numFmtId="0" fontId="0" fillId="4" borderId="10" xfId="0" applyFill="1" applyBorder="1"/>
    <xf numFmtId="0" fontId="0" fillId="4" borderId="8" xfId="0" applyFill="1" applyBorder="1" applyAlignment="1">
      <alignment horizontal="left" indent="2"/>
    </xf>
    <xf numFmtId="0" fontId="4" fillId="4" borderId="0" xfId="0" applyFont="1" applyFill="1" applyBorder="1"/>
    <xf numFmtId="169" fontId="0" fillId="4" borderId="0" xfId="0" applyNumberFormat="1" applyFill="1" applyBorder="1"/>
    <xf numFmtId="169" fontId="0" fillId="4" borderId="3" xfId="0" applyNumberFormat="1" applyFill="1" applyBorder="1"/>
    <xf numFmtId="0" fontId="14" fillId="4" borderId="8" xfId="0" applyFont="1" applyFill="1" applyBorder="1" applyAlignment="1">
      <alignment horizontal="left" indent="3"/>
    </xf>
    <xf numFmtId="168" fontId="0" fillId="4" borderId="2" xfId="0" applyNumberFormat="1" applyFill="1" applyBorder="1"/>
    <xf numFmtId="0" fontId="20" fillId="4" borderId="8" xfId="0" applyFont="1" applyFill="1" applyBorder="1"/>
    <xf numFmtId="0" fontId="14" fillId="4" borderId="11" xfId="0" applyFont="1" applyFill="1" applyBorder="1"/>
    <xf numFmtId="0" fontId="14" fillId="4" borderId="8" xfId="0" quotePrefix="1" applyFont="1" applyFill="1" applyBorder="1"/>
    <xf numFmtId="168" fontId="14" fillId="4" borderId="4" xfId="0" applyNumberFormat="1" applyFont="1" applyFill="1" applyBorder="1"/>
    <xf numFmtId="0" fontId="0" fillId="4" borderId="8" xfId="0" applyFill="1" applyBorder="1" applyAlignment="1">
      <alignment horizontal="center"/>
    </xf>
    <xf numFmtId="168" fontId="0" fillId="4" borderId="0" xfId="0" applyNumberFormat="1" applyFill="1" applyBorder="1"/>
    <xf numFmtId="168" fontId="0" fillId="4" borderId="3" xfId="0" applyNumberFormat="1" applyFill="1" applyBorder="1"/>
    <xf numFmtId="0" fontId="0" fillId="0" borderId="0" xfId="0"/>
    <xf numFmtId="0" fontId="34" fillId="4" borderId="0" xfId="4" applyFont="1" applyFill="1"/>
    <xf numFmtId="168" fontId="0" fillId="0" borderId="0" xfId="0" applyNumberFormat="1" applyBorder="1"/>
    <xf numFmtId="0" fontId="35" fillId="2" borderId="0" xfId="0" applyFont="1" applyFill="1" applyProtection="1"/>
    <xf numFmtId="0" fontId="0" fillId="0" borderId="0" xfId="0"/>
    <xf numFmtId="0" fontId="12" fillId="4" borderId="0" xfId="0" quotePrefix="1" applyFont="1" applyFill="1" applyBorder="1" applyAlignment="1">
      <alignment horizontal="center"/>
    </xf>
    <xf numFmtId="0" fontId="0" fillId="0" borderId="0" xfId="0" applyBorder="1"/>
    <xf numFmtId="0" fontId="36" fillId="0" borderId="0" xfId="0" applyFont="1"/>
    <xf numFmtId="0" fontId="0" fillId="0" borderId="0" xfId="0"/>
    <xf numFmtId="0" fontId="4" fillId="0" borderId="0" xfId="0" applyFont="1"/>
    <xf numFmtId="169" fontId="0" fillId="0" borderId="0" xfId="0" applyNumberFormat="1" applyBorder="1"/>
    <xf numFmtId="167" fontId="4" fillId="4" borderId="0" xfId="0" applyNumberFormat="1" applyFont="1" applyFill="1" applyBorder="1" applyProtection="1">
      <protection locked="0"/>
    </xf>
    <xf numFmtId="0" fontId="0" fillId="0" borderId="0" xfId="0"/>
    <xf numFmtId="0" fontId="23" fillId="0" borderId="13" xfId="0" applyFont="1" applyBorder="1" applyAlignment="1">
      <alignment horizontal="centerContinuous"/>
    </xf>
    <xf numFmtId="0" fontId="23" fillId="0" borderId="1" xfId="0" applyFont="1" applyBorder="1" applyAlignment="1">
      <alignment horizontal="centerContinuous"/>
    </xf>
    <xf numFmtId="0" fontId="23" fillId="0" borderId="14" xfId="0" applyFont="1" applyBorder="1" applyAlignment="1">
      <alignment horizontal="centerContinuous"/>
    </xf>
    <xf numFmtId="0" fontId="12" fillId="0" borderId="0" xfId="0" applyFont="1" applyAlignment="1">
      <alignment horizontal="center" wrapText="1"/>
    </xf>
    <xf numFmtId="0" fontId="12" fillId="0" borderId="0" xfId="0" applyFont="1" applyAlignment="1">
      <alignment horizontal="center"/>
    </xf>
    <xf numFmtId="0" fontId="0" fillId="0" borderId="0" xfId="0"/>
    <xf numFmtId="0" fontId="0" fillId="0" borderId="0" xfId="0"/>
    <xf numFmtId="0" fontId="18" fillId="4" borderId="0" xfId="0" applyFont="1" applyFill="1"/>
    <xf numFmtId="0" fontId="37" fillId="4" borderId="0" xfId="0" applyFont="1" applyFill="1"/>
    <xf numFmtId="0" fontId="0" fillId="0" borderId="0" xfId="0"/>
    <xf numFmtId="0" fontId="0" fillId="0" borderId="0" xfId="0"/>
    <xf numFmtId="0" fontId="26" fillId="0" borderId="1" xfId="0" applyFont="1" applyFill="1" applyBorder="1" applyAlignment="1">
      <alignment horizontal="center" wrapText="1"/>
    </xf>
    <xf numFmtId="0" fontId="14" fillId="6" borderId="0" xfId="0" applyFont="1" applyFill="1"/>
    <xf numFmtId="0" fontId="0" fillId="6" borderId="0" xfId="0" applyFill="1"/>
    <xf numFmtId="37" fontId="0" fillId="6" borderId="0" xfId="0" applyNumberFormat="1" applyFill="1"/>
    <xf numFmtId="3" fontId="0" fillId="6" borderId="0" xfId="0" applyNumberFormat="1" applyFill="1"/>
    <xf numFmtId="170" fontId="0" fillId="6" borderId="0" xfId="0" applyNumberFormat="1" applyFill="1"/>
    <xf numFmtId="0" fontId="0" fillId="0" borderId="0" xfId="0"/>
    <xf numFmtId="0" fontId="0" fillId="7" borderId="0" xfId="0" applyFont="1" applyFill="1"/>
    <xf numFmtId="0" fontId="0" fillId="7" borderId="0" xfId="0" applyFill="1"/>
    <xf numFmtId="37" fontId="0" fillId="7" borderId="0" xfId="0" applyNumberFormat="1" applyFill="1"/>
    <xf numFmtId="0" fontId="14" fillId="7" borderId="0" xfId="0" applyFont="1" applyFill="1"/>
    <xf numFmtId="0" fontId="0" fillId="0" borderId="0" xfId="0"/>
    <xf numFmtId="0" fontId="0" fillId="0" borderId="0" xfId="0" applyAlignment="1">
      <alignment horizontal="center" wrapText="1"/>
    </xf>
    <xf numFmtId="0" fontId="0" fillId="6" borderId="15" xfId="0" applyFill="1" applyBorder="1" applyAlignment="1">
      <alignment horizontal="center"/>
    </xf>
    <xf numFmtId="0" fontId="0" fillId="0" borderId="0" xfId="0"/>
    <xf numFmtId="0" fontId="0" fillId="0" borderId="0" xfId="0"/>
    <xf numFmtId="0" fontId="36" fillId="4" borderId="0" xfId="0" applyFont="1" applyFill="1"/>
    <xf numFmtId="0" fontId="14" fillId="0" borderId="0" xfId="0" applyFont="1" applyBorder="1" applyAlignment="1"/>
    <xf numFmtId="0" fontId="38" fillId="7" borderId="0" xfId="0" applyFont="1" applyFill="1" applyProtection="1"/>
    <xf numFmtId="0" fontId="40" fillId="4" borderId="0" xfId="0" applyFont="1" applyFill="1" applyAlignment="1" applyProtection="1">
      <alignment horizontal="left"/>
    </xf>
    <xf numFmtId="0" fontId="41" fillId="4" borderId="0" xfId="0" applyFont="1" applyFill="1" applyAlignment="1" applyProtection="1">
      <alignment horizontal="left" indent="1"/>
    </xf>
    <xf numFmtId="0" fontId="41" fillId="0" borderId="0" xfId="0" applyFont="1" applyFill="1" applyAlignment="1" applyProtection="1">
      <alignment horizontal="left" indent="1"/>
    </xf>
    <xf numFmtId="0" fontId="14" fillId="0" borderId="0" xfId="0" applyFont="1" applyBorder="1" applyAlignment="1">
      <alignment horizontal="center"/>
    </xf>
    <xf numFmtId="1" fontId="14" fillId="0" borderId="0" xfId="0" applyNumberFormat="1" applyFont="1" applyFill="1" applyBorder="1" applyAlignment="1" applyProtection="1">
      <alignment horizontal="center"/>
    </xf>
    <xf numFmtId="0" fontId="0" fillId="0" borderId="0" xfId="0" applyFill="1"/>
    <xf numFmtId="0" fontId="18" fillId="4" borderId="0" xfId="1" applyFont="1" applyFill="1" applyBorder="1"/>
    <xf numFmtId="0" fontId="20" fillId="4" borderId="0" xfId="1" applyFont="1" applyFill="1" applyBorder="1" applyAlignment="1">
      <alignment horizontal="left"/>
    </xf>
    <xf numFmtId="166" fontId="13" fillId="2" borderId="0" xfId="0" applyNumberFormat="1" applyFont="1" applyFill="1" applyAlignment="1" applyProtection="1"/>
    <xf numFmtId="166" fontId="38" fillId="2" borderId="0" xfId="0" applyNumberFormat="1" applyFont="1" applyFill="1" applyAlignment="1" applyProtection="1"/>
    <xf numFmtId="0" fontId="0" fillId="2" borderId="0" xfId="0" applyFill="1" applyProtection="1"/>
    <xf numFmtId="0" fontId="13" fillId="2" borderId="0" xfId="0" applyFont="1" applyFill="1" applyProtection="1"/>
    <xf numFmtId="166" fontId="13" fillId="2" borderId="0" xfId="0" quotePrefix="1" applyNumberFormat="1" applyFont="1" applyFill="1" applyAlignment="1" applyProtection="1"/>
    <xf numFmtId="171" fontId="23" fillId="0" borderId="0" xfId="0" applyNumberFormat="1" applyFont="1"/>
    <xf numFmtId="166" fontId="4" fillId="2" borderId="0" xfId="0" applyNumberFormat="1" applyFont="1" applyFill="1" applyBorder="1" applyProtection="1"/>
    <xf numFmtId="0" fontId="0" fillId="0" borderId="0" xfId="0"/>
    <xf numFmtId="170" fontId="44" fillId="0" borderId="0" xfId="3" applyNumberFormat="1" applyFont="1" applyFill="1" applyBorder="1"/>
    <xf numFmtId="10" fontId="0" fillId="6" borderId="0" xfId="0" applyNumberFormat="1" applyFill="1"/>
    <xf numFmtId="3" fontId="0" fillId="7" borderId="0" xfId="0" applyNumberFormat="1" applyFill="1"/>
    <xf numFmtId="0" fontId="14" fillId="8" borderId="0" xfId="0" applyFont="1" applyFill="1" applyBorder="1" applyAlignment="1">
      <alignment horizontal="center"/>
    </xf>
    <xf numFmtId="43" fontId="14" fillId="8" borderId="0" xfId="2" applyFont="1" applyFill="1" applyBorder="1" applyAlignment="1">
      <alignment horizontal="right"/>
    </xf>
    <xf numFmtId="43" fontId="14" fillId="8" borderId="0" xfId="2" applyFont="1" applyFill="1" applyAlignment="1">
      <alignment horizontal="right"/>
    </xf>
    <xf numFmtId="0" fontId="14" fillId="0" borderId="0" xfId="0" applyFont="1" applyFill="1" applyBorder="1" applyAlignment="1">
      <alignment horizontal="left"/>
    </xf>
    <xf numFmtId="43" fontId="14" fillId="0" borderId="0" xfId="2" applyFont="1" applyFill="1" applyAlignment="1">
      <alignment horizontal="right"/>
    </xf>
    <xf numFmtId="43" fontId="14" fillId="0" borderId="0" xfId="2" applyFont="1" applyFill="1" applyBorder="1" applyAlignment="1">
      <alignment horizontal="right"/>
    </xf>
    <xf numFmtId="171" fontId="12" fillId="0" borderId="0" xfId="2" applyNumberFormat="1" applyFont="1" applyFill="1" applyBorder="1" applyAlignment="1">
      <alignment horizontal="left"/>
    </xf>
    <xf numFmtId="171" fontId="12" fillId="0" borderId="4" xfId="2" applyNumberFormat="1" applyFont="1" applyFill="1" applyBorder="1"/>
    <xf numFmtId="0" fontId="0" fillId="0" borderId="0" xfId="0"/>
    <xf numFmtId="0" fontId="42" fillId="0" borderId="0" xfId="0" applyFont="1" applyFill="1" applyBorder="1" applyAlignment="1">
      <alignment horizontal="center"/>
    </xf>
    <xf numFmtId="0" fontId="42" fillId="0" borderId="0" xfId="0" applyFont="1" applyFill="1" applyBorder="1" applyAlignment="1">
      <alignment horizontal="left"/>
    </xf>
    <xf numFmtId="171" fontId="42" fillId="0" borderId="0" xfId="2" applyNumberFormat="1" applyFont="1" applyFill="1"/>
    <xf numFmtId="172" fontId="42" fillId="0" borderId="0" xfId="0" applyNumberFormat="1" applyFont="1" applyFill="1"/>
    <xf numFmtId="171" fontId="42" fillId="0" borderId="0" xfId="0" applyNumberFormat="1" applyFont="1" applyFill="1"/>
    <xf numFmtId="0" fontId="42" fillId="8" borderId="0" xfId="0" applyFont="1" applyFill="1" applyBorder="1" applyAlignment="1">
      <alignment horizontal="center"/>
    </xf>
    <xf numFmtId="0" fontId="42" fillId="8" borderId="0" xfId="0" applyFont="1" applyFill="1" applyBorder="1" applyAlignment="1">
      <alignment horizontal="left"/>
    </xf>
    <xf numFmtId="171" fontId="42" fillId="8" borderId="0" xfId="2" applyNumberFormat="1" applyFont="1" applyFill="1"/>
    <xf numFmtId="172" fontId="42" fillId="8" borderId="0" xfId="0" applyNumberFormat="1" applyFont="1" applyFill="1"/>
    <xf numFmtId="171" fontId="42" fillId="8" borderId="0" xfId="0" applyNumberFormat="1" applyFont="1" applyFill="1"/>
    <xf numFmtId="172" fontId="14" fillId="8" borderId="0" xfId="0" applyNumberFormat="1" applyFont="1" applyFill="1" applyBorder="1"/>
    <xf numFmtId="171" fontId="42" fillId="0" borderId="0" xfId="0" applyNumberFormat="1" applyFont="1"/>
    <xf numFmtId="0" fontId="0" fillId="0" borderId="8" xfId="0" applyFill="1" applyBorder="1"/>
    <xf numFmtId="0" fontId="0" fillId="0" borderId="0" xfId="0"/>
    <xf numFmtId="0" fontId="5" fillId="2" borderId="0" xfId="0" applyFont="1" applyFill="1" applyProtection="1"/>
    <xf numFmtId="15" fontId="14" fillId="4" borderId="0" xfId="0" quotePrefix="1" applyNumberFormat="1" applyFont="1" applyFill="1" applyBorder="1" applyAlignment="1">
      <alignment horizontal="center"/>
    </xf>
    <xf numFmtId="0" fontId="0" fillId="0" borderId="0" xfId="0"/>
    <xf numFmtId="0" fontId="0" fillId="0" borderId="0" xfId="0" applyAlignment="1">
      <alignment wrapText="1"/>
    </xf>
    <xf numFmtId="0" fontId="39" fillId="0" borderId="0" xfId="0" applyFont="1" applyFill="1"/>
    <xf numFmtId="166" fontId="4" fillId="2" borderId="0" xfId="0" applyNumberFormat="1" applyFont="1" applyFill="1" applyAlignment="1" applyProtection="1"/>
    <xf numFmtId="0" fontId="4" fillId="2" borderId="0" xfId="0" applyFont="1" applyFill="1" applyAlignment="1" applyProtection="1">
      <alignment horizontal="left"/>
    </xf>
    <xf numFmtId="167" fontId="4" fillId="2" borderId="0" xfId="0" applyNumberFormat="1" applyFont="1" applyFill="1" applyBorder="1" applyProtection="1">
      <protection locked="0"/>
    </xf>
    <xf numFmtId="0" fontId="14" fillId="0" borderId="0" xfId="0" applyFont="1" applyAlignment="1">
      <alignment horizontal="center" wrapText="1"/>
    </xf>
    <xf numFmtId="0" fontId="0" fillId="6" borderId="15" xfId="0" applyFont="1" applyFill="1" applyBorder="1" applyAlignment="1">
      <alignment horizontal="center"/>
    </xf>
    <xf numFmtId="37" fontId="0" fillId="0" borderId="0" xfId="0" applyNumberFormat="1" applyAlignment="1">
      <alignment horizontal="center"/>
    </xf>
    <xf numFmtId="37" fontId="12" fillId="0" borderId="0" xfId="0" applyNumberFormat="1" applyFont="1" applyAlignment="1">
      <alignment horizontal="center"/>
    </xf>
    <xf numFmtId="37" fontId="0" fillId="0" borderId="0" xfId="2" applyNumberFormat="1" applyFont="1"/>
    <xf numFmtId="37" fontId="43" fillId="0" borderId="0" xfId="0" applyNumberFormat="1" applyFont="1"/>
    <xf numFmtId="37" fontId="43" fillId="0" borderId="0" xfId="2" applyNumberFormat="1" applyFont="1"/>
    <xf numFmtId="37" fontId="12" fillId="0" borderId="0" xfId="0" applyNumberFormat="1" applyFont="1" applyAlignment="1">
      <alignment horizontal="center" wrapText="1"/>
    </xf>
    <xf numFmtId="170" fontId="12" fillId="0" borderId="0" xfId="0" applyNumberFormat="1" applyFont="1" applyAlignment="1">
      <alignment horizontal="center" wrapText="1"/>
    </xf>
    <xf numFmtId="0" fontId="12" fillId="0" borderId="0" xfId="0" applyNumberFormat="1" applyFont="1" applyAlignment="1">
      <alignment horizontal="center"/>
    </xf>
    <xf numFmtId="0" fontId="14" fillId="8" borderId="0" xfId="0" applyFont="1" applyFill="1" applyBorder="1" applyAlignment="1">
      <alignment horizontal="left"/>
    </xf>
    <xf numFmtId="0" fontId="14" fillId="0" borderId="0" xfId="0" applyFont="1" applyFill="1" applyBorder="1" applyAlignment="1">
      <alignment horizontal="center"/>
    </xf>
    <xf numFmtId="41" fontId="42" fillId="8" borderId="0" xfId="2" applyNumberFormat="1" applyFont="1" applyFill="1"/>
    <xf numFmtId="41" fontId="42" fillId="0" borderId="0" xfId="2" applyNumberFormat="1" applyFont="1" applyFill="1"/>
    <xf numFmtId="0" fontId="14" fillId="7" borderId="3" xfId="0" applyFont="1" applyFill="1" applyBorder="1" applyAlignment="1">
      <alignment horizontal="center"/>
    </xf>
    <xf numFmtId="0" fontId="14" fillId="0" borderId="8" xfId="0" applyFont="1" applyFill="1" applyBorder="1"/>
    <xf numFmtId="171" fontId="0" fillId="0" borderId="0" xfId="0" applyNumberFormat="1"/>
    <xf numFmtId="0" fontId="39" fillId="4" borderId="0" xfId="0" applyFont="1" applyFill="1" applyBorder="1" applyAlignment="1">
      <alignment horizontal="left"/>
    </xf>
    <xf numFmtId="1" fontId="36" fillId="4" borderId="0" xfId="0" applyNumberFormat="1" applyFont="1" applyFill="1" applyBorder="1" applyAlignment="1" applyProtection="1">
      <alignment horizontal="center"/>
    </xf>
    <xf numFmtId="0" fontId="20" fillId="4" borderId="0" xfId="0" applyFont="1" applyFill="1" applyAlignment="1">
      <alignment horizontal="left"/>
    </xf>
    <xf numFmtId="0" fontId="33" fillId="0" borderId="0" xfId="4"/>
    <xf numFmtId="0" fontId="0" fillId="0" borderId="0" xfId="0"/>
    <xf numFmtId="0" fontId="39" fillId="7" borderId="0" xfId="0" applyFont="1" applyFill="1" applyAlignment="1">
      <alignment horizontal="center"/>
    </xf>
    <xf numFmtId="0" fontId="33" fillId="0" borderId="0" xfId="4" applyAlignment="1">
      <alignment horizontal="left"/>
    </xf>
    <xf numFmtId="0" fontId="15" fillId="4" borderId="0" xfId="0" applyNumberFormat="1" applyFont="1" applyFill="1" applyAlignment="1" applyProtection="1">
      <alignment horizontal="left" vertical="center"/>
    </xf>
    <xf numFmtId="0" fontId="0" fillId="4" borderId="0" xfId="0" applyFill="1" applyAlignment="1">
      <alignment vertical="center"/>
    </xf>
    <xf numFmtId="0" fontId="4" fillId="4" borderId="0" xfId="0" applyFont="1" applyFill="1" applyAlignment="1">
      <alignment vertical="top" wrapText="1"/>
    </xf>
    <xf numFmtId="0" fontId="0" fillId="4" borderId="0" xfId="0" applyFill="1" applyAlignment="1">
      <alignment vertical="top"/>
    </xf>
    <xf numFmtId="0" fontId="0" fillId="4" borderId="0" xfId="0" applyFill="1" applyAlignment="1">
      <alignment vertical="top" wrapText="1"/>
    </xf>
    <xf numFmtId="0" fontId="4" fillId="4" borderId="0" xfId="0" applyNumberFormat="1" applyFont="1" applyFill="1" applyAlignment="1" applyProtection="1">
      <alignment horizontal="left" vertical="top" wrapText="1"/>
    </xf>
    <xf numFmtId="0" fontId="12" fillId="4" borderId="0" xfId="0" quotePrefix="1" applyFont="1" applyFill="1" applyBorder="1" applyAlignment="1">
      <alignment horizontal="center"/>
    </xf>
    <xf numFmtId="0" fontId="12" fillId="0" borderId="0" xfId="0" applyFont="1" applyBorder="1" applyAlignment="1">
      <alignment horizontal="center"/>
    </xf>
    <xf numFmtId="0" fontId="14" fillId="4" borderId="0" xfId="1" applyFont="1" applyFill="1" applyBorder="1" applyAlignment="1">
      <alignment horizontal="left" wrapText="1"/>
    </xf>
    <xf numFmtId="0" fontId="0" fillId="0" borderId="0" xfId="0" applyAlignment="1">
      <alignment horizontal="left" wrapText="1"/>
    </xf>
    <xf numFmtId="0" fontId="0" fillId="0" borderId="0" xfId="0" applyBorder="1" applyAlignment="1">
      <alignment horizontal="center"/>
    </xf>
    <xf numFmtId="0" fontId="20" fillId="4" borderId="8" xfId="0" applyFont="1" applyFill="1" applyBorder="1" applyAlignment="1">
      <alignment wrapText="1"/>
    </xf>
    <xf numFmtId="0" fontId="20" fillId="4" borderId="0" xfId="0" applyFont="1" applyFill="1" applyAlignment="1">
      <alignment wrapText="1"/>
    </xf>
    <xf numFmtId="0" fontId="20" fillId="4" borderId="9" xfId="0" applyFont="1" applyFill="1" applyBorder="1" applyAlignment="1">
      <alignment wrapText="1"/>
    </xf>
    <xf numFmtId="0" fontId="20" fillId="4" borderId="8" xfId="0" applyFont="1" applyFill="1" applyBorder="1" applyAlignment="1">
      <alignment vertical="top" wrapText="1"/>
    </xf>
    <xf numFmtId="0" fontId="0" fillId="4" borderId="9" xfId="0" applyFill="1" applyBorder="1" applyAlignment="1">
      <alignment vertical="top" wrapText="1"/>
    </xf>
    <xf numFmtId="0" fontId="14" fillId="0" borderId="0" xfId="0" applyFont="1" applyBorder="1" applyAlignment="1">
      <alignment horizontal="center"/>
    </xf>
    <xf numFmtId="0" fontId="0" fillId="0" borderId="0" xfId="0" applyAlignment="1">
      <alignment vertical="top"/>
    </xf>
    <xf numFmtId="0" fontId="0" fillId="0" borderId="0" xfId="0" applyAlignment="1">
      <alignment wrapText="1"/>
    </xf>
    <xf numFmtId="0" fontId="20" fillId="4" borderId="0" xfId="0" applyFont="1" applyFill="1" applyBorder="1" applyAlignment="1"/>
    <xf numFmtId="0" fontId="20" fillId="0" borderId="8" xfId="0" quotePrefix="1" applyFont="1" applyFill="1" applyBorder="1" applyAlignment="1">
      <alignment horizontal="left" wrapText="1"/>
    </xf>
    <xf numFmtId="0" fontId="20" fillId="0" borderId="0" xfId="0" applyFont="1" applyFill="1" applyAlignment="1"/>
    <xf numFmtId="0" fontId="20" fillId="0" borderId="9" xfId="0" applyFont="1" applyFill="1" applyBorder="1" applyAlignment="1"/>
    <xf numFmtId="0" fontId="14" fillId="5" borderId="13" xfId="0" applyFont="1" applyFill="1" applyBorder="1" applyAlignment="1">
      <alignment horizontal="center"/>
    </xf>
    <xf numFmtId="0" fontId="14" fillId="5" borderId="1" xfId="0" applyFont="1" applyFill="1" applyBorder="1" applyAlignment="1">
      <alignment horizontal="center"/>
    </xf>
    <xf numFmtId="0" fontId="14" fillId="5" borderId="14" xfId="0" applyFont="1" applyFill="1" applyBorder="1" applyAlignment="1">
      <alignment horizontal="center"/>
    </xf>
    <xf numFmtId="0" fontId="0" fillId="5" borderId="13" xfId="0" applyFill="1" applyBorder="1" applyAlignment="1">
      <alignment horizontal="center"/>
    </xf>
    <xf numFmtId="0" fontId="0" fillId="5" borderId="1" xfId="0" applyFill="1" applyBorder="1" applyAlignment="1">
      <alignment horizontal="center"/>
    </xf>
  </cellXfs>
  <cellStyles count="9">
    <cellStyle name="Comma" xfId="2" builtinId="3"/>
    <cellStyle name="Comma 3" xfId="5"/>
    <cellStyle name="Hyperlink" xfId="4" builtinId="8"/>
    <cellStyle name="Normal" xfId="0" builtinId="0"/>
    <cellStyle name="Normal 3" xfId="6"/>
    <cellStyle name="Normal 5" xfId="8"/>
    <cellStyle name="Normal_2006gfa x" xfId="1"/>
    <cellStyle name="Percent" xfId="3" builtinId="5"/>
    <cellStyle name="Percent 3" xfId="7"/>
  </cellStyles>
  <dxfs count="1">
    <dxf>
      <font>
        <b/>
        <i val="0"/>
        <color rgb="FFFF0000"/>
      </font>
      <fill>
        <patternFill>
          <bgColor rgb="FFFFFF00"/>
        </patternFill>
      </fill>
    </dxf>
  </dxfs>
  <tableStyles count="0" defaultTableStyle="TableStyleMedium9" defaultPivotStyle="PivotStyleLight16"/>
  <colors>
    <mruColors>
      <color rgb="FFB7FFD8"/>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38100</xdr:colOff>
      <xdr:row>10</xdr:row>
      <xdr:rowOff>66678</xdr:rowOff>
    </xdr:from>
    <xdr:to>
      <xdr:col>2</xdr:col>
      <xdr:colOff>1</xdr:colOff>
      <xdr:row>29</xdr:row>
      <xdr:rowOff>152401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8100" y="1704978"/>
          <a:ext cx="5191126" cy="3162298"/>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50">
              <a:latin typeface="Arial" panose="020B0604020202020204" pitchFamily="34" charset="0"/>
              <a:cs typeface="Arial" panose="020B0604020202020204" pitchFamily="34" charset="0"/>
            </a:rPr>
            <a:t>This</a:t>
          </a:r>
          <a:r>
            <a:rPr lang="en-US" sz="950" baseline="0">
              <a:latin typeface="Arial" panose="020B0604020202020204" pitchFamily="34" charset="0"/>
              <a:cs typeface="Arial" panose="020B0604020202020204" pitchFamily="34" charset="0"/>
            </a:rPr>
            <a:t> template automatically generates the GASB 75 journal entries (13th period) and certain note disclosures (see below) for the following component units that participate in the Disability Income Plan of North Carolina</a:t>
          </a:r>
          <a:r>
            <a:rPr lang="en-US" sz="950" b="1" baseline="0">
              <a:latin typeface="Arial" panose="020B0604020202020204" pitchFamily="34" charset="0"/>
              <a:cs typeface="Arial" panose="020B0604020202020204" pitchFamily="34" charset="0"/>
            </a:rPr>
            <a:t> </a:t>
          </a:r>
          <a:r>
            <a:rPr lang="en-US" sz="950" baseline="0">
              <a:latin typeface="Arial" panose="020B0604020202020204" pitchFamily="34" charset="0"/>
              <a:cs typeface="Arial" panose="020B0604020202020204" pitchFamily="34" charset="0"/>
            </a:rPr>
            <a:t>(DIPNC): </a:t>
          </a:r>
        </a:p>
        <a:p>
          <a:endParaRPr lang="en-US" sz="800" baseline="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University of North Carolina System (19)</a:t>
          </a: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Community colleges (58)</a:t>
          </a: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N.C. Housing Finance Agency</a:t>
          </a: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State Education Assistance Authority</a:t>
          </a:r>
          <a:endParaRPr lang="en-US" sz="950" baseline="300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State Health Plan</a:t>
          </a:r>
          <a:endParaRPr lang="en-US" sz="950" baseline="300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N.C. State Ports Authority</a:t>
          </a:r>
          <a:endParaRPr lang="en-US" sz="950" baseline="300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N.C. Global TransPark Authority</a:t>
          </a:r>
        </a:p>
        <a:p>
          <a:pPr marL="171450" indent="-171450">
            <a:buFont typeface="Arial" panose="020B0604020202020204" pitchFamily="34" charset="0"/>
            <a:buChar char="•"/>
          </a:pPr>
          <a:endParaRPr lang="en-US" sz="800" baseline="0">
            <a:latin typeface="Arial" panose="020B0604020202020204" pitchFamily="34" charset="0"/>
            <a:cs typeface="Arial" panose="020B0604020202020204" pitchFamily="34" charset="0"/>
          </a:endParaRPr>
        </a:p>
        <a:p>
          <a:pPr marL="0" indent="0">
            <a:buFontTx/>
            <a:buNone/>
          </a:pPr>
          <a:r>
            <a:rPr lang="en-US" sz="950" baseline="0">
              <a:latin typeface="Arial" panose="020B0604020202020204" pitchFamily="34" charset="0"/>
              <a:cs typeface="Arial" panose="020B0604020202020204" pitchFamily="34" charset="0"/>
            </a:rPr>
            <a:t>This template provides note disclosures required by GASB 75, paragraphs 96h(1) thru (5), 96i(1), and 96i(2). It also provides information needed to complete CAFR worksheeet 310.</a:t>
          </a:r>
        </a:p>
        <a:p>
          <a:endParaRPr lang="en-US" sz="950" baseline="0">
            <a:latin typeface="Arial" panose="020B0604020202020204" pitchFamily="34" charset="0"/>
            <a:cs typeface="Arial" panose="020B0604020202020204" pitchFamily="34" charset="0"/>
          </a:endParaRPr>
        </a:p>
        <a:p>
          <a:r>
            <a:rPr lang="en-US" sz="950" baseline="0">
              <a:latin typeface="Arial" panose="020B0604020202020204" pitchFamily="34" charset="0"/>
              <a:cs typeface="Arial" panose="020B0604020202020204" pitchFamily="34" charset="0"/>
            </a:rPr>
            <a:t>The OPEB data in this template was obtained from the Department of State Treasurer. The Office of the State Auditor (OSA) has completed a financial audit of the </a:t>
          </a:r>
          <a:r>
            <a:rPr lang="en-US" sz="950" baseline="0">
              <a:solidFill>
                <a:srgbClr val="FF0000"/>
              </a:solidFill>
              <a:latin typeface="Arial" panose="020B0604020202020204" pitchFamily="34" charset="0"/>
              <a:cs typeface="Arial" panose="020B0604020202020204" pitchFamily="34" charset="0"/>
            </a:rPr>
            <a:t>DIPNC</a:t>
          </a:r>
          <a:r>
            <a:rPr lang="en-US" sz="950" baseline="0">
              <a:latin typeface="Arial" panose="020B0604020202020204" pitchFamily="34" charset="0"/>
              <a:cs typeface="Arial" panose="020B0604020202020204" pitchFamily="34" charset="0"/>
            </a:rPr>
            <a:t> Schedule of Employer Allocations and the </a:t>
          </a:r>
          <a:r>
            <a:rPr lang="en-US" sz="950" baseline="0">
              <a:solidFill>
                <a:srgbClr val="FF0000"/>
              </a:solidFill>
              <a:latin typeface="Arial" panose="020B0604020202020204" pitchFamily="34" charset="0"/>
              <a:cs typeface="Arial" panose="020B0604020202020204" pitchFamily="34" charset="0"/>
            </a:rPr>
            <a:t>DIPNC</a:t>
          </a:r>
          <a:r>
            <a:rPr lang="en-US" sz="950" baseline="0">
              <a:latin typeface="Arial" panose="020B0604020202020204" pitchFamily="34" charset="0"/>
              <a:cs typeface="Arial" panose="020B0604020202020204" pitchFamily="34" charset="0"/>
            </a:rPr>
            <a:t> Schedule of OPEB Amounts by Employer for the year ended June 30, 2017. Component units will report the FY2017 OPEB allocations for DIPNC in their FY2018 financial statements. </a:t>
          </a:r>
          <a:r>
            <a:rPr lang="en-US" sz="950" u="sng" baseline="0">
              <a:latin typeface="Arial" panose="020B0604020202020204" pitchFamily="34" charset="0"/>
              <a:cs typeface="Arial" panose="020B0604020202020204" pitchFamily="34" charset="0"/>
            </a:rPr>
            <a:t>Each component unit should verify that the OPEB amounts provided by this template agree with the OPEB schedules in OSA's audit report (see link below)</a:t>
          </a:r>
          <a:r>
            <a:rPr lang="en-US" sz="950" baseline="0">
              <a:latin typeface="Arial" panose="020B0604020202020204" pitchFamily="34" charset="0"/>
              <a:cs typeface="Arial" panose="020B0604020202020204" pitchFamily="34" charset="0"/>
            </a:rPr>
            <a:t>.</a:t>
          </a:r>
        </a:p>
        <a:p>
          <a:endParaRPr lang="en-US" sz="1000" baseline="0">
            <a:latin typeface="Arial" panose="020B0604020202020204" pitchFamily="34" charset="0"/>
            <a:cs typeface="Arial" panose="020B0604020202020204" pitchFamily="34" charset="0"/>
          </a:endParaRPr>
        </a:p>
        <a:p>
          <a:endParaRPr lang="en-US" sz="900" i="1" baseline="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cauditor.net/EPSWeb/Reports/Financial/FIN-2017-3400F.pdf" TargetMode="External"/><Relationship Id="rId1" Type="http://schemas.openxmlformats.org/officeDocument/2006/relationships/hyperlink" Target="mailto:virginia.sisson@osc.nc.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tabSelected="1" zoomScaleNormal="100" workbookViewId="0">
      <selection activeCell="B5" sqref="B5"/>
    </sheetView>
  </sheetViews>
  <sheetFormatPr defaultRowHeight="12.75"/>
  <cols>
    <col min="1" max="1" width="24.7109375" customWidth="1"/>
    <col min="2" max="2" width="53.7109375" customWidth="1"/>
    <col min="3" max="3" width="46.7109375" customWidth="1"/>
  </cols>
  <sheetData>
    <row r="1" spans="1:4">
      <c r="A1" s="66" t="s">
        <v>203</v>
      </c>
      <c r="B1" s="24"/>
      <c r="C1" s="24"/>
      <c r="D1" s="2"/>
    </row>
    <row r="2" spans="1:4">
      <c r="A2" s="66" t="s">
        <v>161</v>
      </c>
      <c r="B2" s="24"/>
    </row>
    <row r="3" spans="1:4">
      <c r="A3" s="65" t="s">
        <v>193</v>
      </c>
      <c r="B3" s="24"/>
      <c r="C3" s="24"/>
    </row>
    <row r="4" spans="1:4" ht="14.1" customHeight="1">
      <c r="A4" s="65"/>
      <c r="B4" s="24"/>
      <c r="C4" s="68"/>
    </row>
    <row r="5" spans="1:4">
      <c r="A5" s="69" t="s">
        <v>138</v>
      </c>
      <c r="B5" s="105" t="s">
        <v>37</v>
      </c>
      <c r="C5" s="191" t="s">
        <v>175</v>
      </c>
    </row>
    <row r="6" spans="1:4" ht="12.75" customHeight="1">
      <c r="A6" s="24"/>
      <c r="B6" s="70"/>
      <c r="C6" s="71"/>
    </row>
    <row r="7" spans="1:4" s="186" customFormat="1" ht="12.75" customHeight="1">
      <c r="A7" s="262" t="s">
        <v>204</v>
      </c>
      <c r="B7" s="262"/>
      <c r="C7" s="192"/>
    </row>
    <row r="8" spans="1:4" s="186" customFormat="1" ht="12.75" customHeight="1">
      <c r="A8" s="24"/>
      <c r="B8" s="70"/>
      <c r="C8" s="71"/>
    </row>
    <row r="9" spans="1:4">
      <c r="A9" s="24" t="s">
        <v>205</v>
      </c>
      <c r="B9" s="70">
        <f>VLOOKUP(B5,Data!A:B,2,FALSE)</f>
        <v>20100</v>
      </c>
      <c r="C9" s="72"/>
    </row>
    <row r="10" spans="1:4" s="109" customFormat="1" ht="13.5" hidden="1">
      <c r="A10" s="112" t="s">
        <v>155</v>
      </c>
      <c r="B10" s="70">
        <f>VLOOKUP(B5,Data!A:X,24,FALSE)</f>
        <v>1</v>
      </c>
      <c r="C10" s="190" t="s">
        <v>174</v>
      </c>
    </row>
    <row r="11" spans="1:4">
      <c r="A11" s="24"/>
      <c r="B11" s="24"/>
      <c r="C11" s="187"/>
    </row>
    <row r="12" spans="1:4">
      <c r="A12" s="24"/>
      <c r="B12" s="24"/>
      <c r="C12" s="24"/>
    </row>
    <row r="13" spans="1:4">
      <c r="A13" s="24"/>
      <c r="B13" s="24"/>
      <c r="C13" s="24"/>
    </row>
    <row r="14" spans="1:4">
      <c r="A14" s="24"/>
      <c r="B14" s="24"/>
      <c r="C14" s="24"/>
    </row>
    <row r="15" spans="1:4">
      <c r="A15" s="24"/>
      <c r="B15" s="24"/>
      <c r="C15" s="24"/>
    </row>
    <row r="16" spans="1:4">
      <c r="A16" s="24"/>
      <c r="B16" s="24"/>
      <c r="C16" s="24"/>
    </row>
    <row r="17" spans="1:3">
      <c r="A17" s="24"/>
      <c r="B17" s="24"/>
      <c r="C17" s="24"/>
    </row>
    <row r="18" spans="1:3">
      <c r="A18" s="24"/>
      <c r="B18" s="24"/>
      <c r="C18" s="24"/>
    </row>
    <row r="19" spans="1:3" s="159" customFormat="1">
      <c r="A19" s="24"/>
      <c r="B19" s="24"/>
      <c r="C19" s="24"/>
    </row>
    <row r="20" spans="1:3">
      <c r="A20" s="24"/>
      <c r="B20" s="24"/>
      <c r="C20" s="24"/>
    </row>
    <row r="21" spans="1:3">
      <c r="A21" s="24"/>
      <c r="B21" s="24"/>
      <c r="C21" s="24"/>
    </row>
    <row r="22" spans="1:3" s="165" customFormat="1">
      <c r="A22" s="24"/>
      <c r="B22" s="24"/>
      <c r="C22" s="24"/>
    </row>
    <row r="23" spans="1:3" s="165" customFormat="1">
      <c r="A23" s="24"/>
      <c r="B23" s="24"/>
      <c r="C23" s="24"/>
    </row>
    <row r="24" spans="1:3" s="166" customFormat="1">
      <c r="A24" s="24"/>
      <c r="B24" s="24"/>
      <c r="C24" s="24"/>
    </row>
    <row r="25" spans="1:3" s="165" customFormat="1">
      <c r="A25" s="24"/>
      <c r="B25" s="24"/>
      <c r="C25" s="24"/>
    </row>
    <row r="26" spans="1:3">
      <c r="A26" s="24"/>
      <c r="B26" s="24"/>
      <c r="C26" s="24"/>
    </row>
    <row r="27" spans="1:3" s="165" customFormat="1">
      <c r="A27" s="24"/>
      <c r="B27" s="24"/>
      <c r="C27" s="24"/>
    </row>
    <row r="28" spans="1:3" s="165" customFormat="1">
      <c r="A28" s="24"/>
      <c r="B28" s="24"/>
      <c r="C28" s="24"/>
    </row>
    <row r="29" spans="1:3">
      <c r="A29" s="24"/>
      <c r="B29" s="24"/>
      <c r="C29" s="24"/>
    </row>
    <row r="30" spans="1:3" s="165" customFormat="1">
      <c r="A30" s="24"/>
      <c r="B30" s="24"/>
      <c r="C30" s="24"/>
    </row>
    <row r="31" spans="1:3" s="165" customFormat="1">
      <c r="A31" s="24"/>
      <c r="B31" s="24"/>
      <c r="C31" s="24"/>
    </row>
    <row r="32" spans="1:3" s="165" customFormat="1" ht="12.75" customHeight="1">
      <c r="A32" s="167" t="s">
        <v>165</v>
      </c>
      <c r="B32" s="24"/>
      <c r="C32" s="24"/>
    </row>
    <row r="33" spans="1:3" s="147" customFormat="1" ht="14.1" customHeight="1">
      <c r="A33" s="168" t="s">
        <v>533</v>
      </c>
      <c r="B33" s="24"/>
      <c r="C33" s="236"/>
    </row>
    <row r="34" spans="1:3" s="147" customFormat="1" ht="12.75" customHeight="1">
      <c r="A34" s="263" t="s">
        <v>241</v>
      </c>
      <c r="B34" s="263"/>
      <c r="C34" s="24"/>
    </row>
    <row r="35" spans="1:3" s="147" customFormat="1" ht="15.75" customHeight="1">
      <c r="A35" s="148"/>
      <c r="B35" s="24"/>
      <c r="C35" s="24"/>
    </row>
    <row r="36" spans="1:3" ht="12" customHeight="1">
      <c r="A36" s="259" t="s">
        <v>185</v>
      </c>
      <c r="B36" s="259"/>
      <c r="C36" s="24"/>
    </row>
    <row r="37" spans="1:3" ht="12" customHeight="1">
      <c r="A37" s="259" t="s">
        <v>194</v>
      </c>
      <c r="B37" s="259"/>
      <c r="C37" s="24"/>
    </row>
    <row r="38" spans="1:3" ht="12" customHeight="1">
      <c r="A38" s="260" t="s">
        <v>195</v>
      </c>
      <c r="B38" s="261"/>
      <c r="C38" s="24"/>
    </row>
    <row r="39" spans="1:3">
      <c r="A39" s="10"/>
    </row>
  </sheetData>
  <sheetProtection algorithmName="SHA-512" hashValue="I8/X2YGMqbHyt4vIHmBXwJIxdsETawY+b0FWF4AzaavK6Ssduq5bXKzxjVFFqgAg71rHRBlnE+F9vmhSw/t9LA==" saltValue="tt+aixwv1j0L0AApGtgCpA==" spinCount="100000" sheet="1" objects="1" scenarios="1"/>
  <mergeCells count="5">
    <mergeCell ref="A36:B36"/>
    <mergeCell ref="A37:B37"/>
    <mergeCell ref="A38:B38"/>
    <mergeCell ref="A7:B7"/>
    <mergeCell ref="A34:B34"/>
  </mergeCells>
  <hyperlinks>
    <hyperlink ref="A38" r:id="rId1"/>
    <hyperlink ref="A34:B34" r:id="rId2" display="http://www.ncauditor.net/EPSWeb/Reports/Financial/FIN-2017-3400F.pdf"/>
  </hyperlinks>
  <pageMargins left="0.7" right="0.7" top="0.75" bottom="0.75" header="0.3" footer="0.3"/>
  <pageSetup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Data!$A$4:$A$88</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135"/>
  <sheetViews>
    <sheetView showGridLines="0" zoomScaleNormal="100" workbookViewId="0">
      <selection activeCell="A100" sqref="A100"/>
    </sheetView>
  </sheetViews>
  <sheetFormatPr defaultColWidth="9.140625" defaultRowHeight="12.75"/>
  <cols>
    <col min="1" max="1" width="4.42578125" style="24" customWidth="1"/>
    <col min="2" max="2" width="50.7109375" style="24" customWidth="1"/>
    <col min="3" max="3" width="7.7109375" style="24" customWidth="1"/>
    <col min="4" max="4" width="3.7109375" style="24" hidden="1" customWidth="1"/>
    <col min="5" max="6" width="9.7109375" style="24" customWidth="1"/>
    <col min="7" max="7" width="40.7109375" style="24" customWidth="1"/>
    <col min="8" max="8" width="16.28515625" style="24" customWidth="1"/>
    <col min="9" max="9" width="14" style="24" customWidth="1"/>
    <col min="10" max="10" width="88.140625" style="24" customWidth="1"/>
    <col min="11" max="16384" width="9.140625" style="24"/>
  </cols>
  <sheetData>
    <row r="1" spans="1:9">
      <c r="A1" s="65" t="str">
        <f>Info!B5</f>
        <v>APPALACHIAN STATE UNIVERSITY</v>
      </c>
    </row>
    <row r="2" spans="1:9">
      <c r="A2" s="65" t="s">
        <v>206</v>
      </c>
    </row>
    <row r="3" spans="1:9">
      <c r="A3" s="65" t="s">
        <v>193</v>
      </c>
    </row>
    <row r="4" spans="1:9" ht="9.9499999999999993" customHeight="1">
      <c r="A4" s="65"/>
      <c r="G4" s="68"/>
    </row>
    <row r="5" spans="1:9" ht="12" customHeight="1">
      <c r="A5" s="35"/>
      <c r="B5" s="35"/>
      <c r="C5" s="58" t="str">
        <f>IF(Info!B$10=2,"Colleague","NCAS")</f>
        <v>NCAS</v>
      </c>
      <c r="D5" s="35"/>
      <c r="E5" s="35"/>
      <c r="F5" s="35"/>
      <c r="G5" s="35"/>
      <c r="H5" s="35"/>
      <c r="I5" s="35"/>
    </row>
    <row r="6" spans="1:9" ht="12" customHeight="1">
      <c r="A6" s="36" t="s">
        <v>2</v>
      </c>
      <c r="B6" s="36" t="s">
        <v>139</v>
      </c>
      <c r="C6" s="37" t="s">
        <v>125</v>
      </c>
      <c r="D6" s="37" t="s">
        <v>14</v>
      </c>
      <c r="E6" s="37" t="s">
        <v>0</v>
      </c>
      <c r="F6" s="37" t="s">
        <v>1</v>
      </c>
      <c r="G6" s="37" t="s">
        <v>23</v>
      </c>
      <c r="H6" s="37" t="s">
        <v>3</v>
      </c>
      <c r="I6" s="37" t="s">
        <v>22</v>
      </c>
    </row>
    <row r="7" spans="1:9" ht="3" customHeight="1">
      <c r="A7" s="38"/>
      <c r="B7" s="39"/>
      <c r="C7" s="40"/>
      <c r="D7" s="40"/>
      <c r="E7" s="37"/>
      <c r="F7" s="37"/>
      <c r="G7" s="35"/>
      <c r="H7" s="35"/>
      <c r="I7" s="35"/>
    </row>
    <row r="8" spans="1:9" ht="13.5">
      <c r="A8" s="35"/>
      <c r="B8" s="23" t="s">
        <v>172</v>
      </c>
      <c r="C8" s="40"/>
      <c r="D8" s="40"/>
      <c r="E8" s="41"/>
      <c r="F8" s="41"/>
      <c r="G8" s="42"/>
      <c r="H8" s="42"/>
      <c r="I8" s="35"/>
    </row>
    <row r="9" spans="1:9" ht="3.95" customHeight="1">
      <c r="A9" s="35"/>
      <c r="B9" s="43"/>
      <c r="C9" s="40"/>
      <c r="D9" s="40"/>
      <c r="E9" s="41"/>
      <c r="F9" s="41"/>
      <c r="G9" s="42"/>
      <c r="H9" s="42"/>
      <c r="I9" s="35"/>
    </row>
    <row r="10" spans="1:9" ht="13.5">
      <c r="A10" s="44"/>
      <c r="B10" s="39" t="s">
        <v>242</v>
      </c>
      <c r="C10" s="40">
        <f>IF(Info!B$10=2,Summary!R13,Summary!Q13)</f>
        <v>330001</v>
      </c>
      <c r="D10" s="40"/>
      <c r="E10" s="45"/>
      <c r="F10" s="45">
        <f>SUM(E12+E11)</f>
        <v>1287404</v>
      </c>
      <c r="G10" s="198" t="s">
        <v>15</v>
      </c>
      <c r="H10" s="198"/>
      <c r="I10" s="198"/>
    </row>
    <row r="11" spans="1:9" ht="13.5">
      <c r="A11" s="44"/>
      <c r="B11" s="39" t="s">
        <v>207</v>
      </c>
      <c r="C11" s="40">
        <f>IF(Info!B$10=2,Summary!R9,Summary!Q9)</f>
        <v>129720</v>
      </c>
      <c r="D11" s="40"/>
      <c r="E11" s="45">
        <f>VLOOKUP(Info!B9,Data!B:AP,2,FALSE)+VLOOKUP(Info!B9,Data!B:AP,21,FALSE)</f>
        <v>655779</v>
      </c>
      <c r="F11" s="45"/>
      <c r="G11" s="237" t="s">
        <v>243</v>
      </c>
      <c r="H11" s="198"/>
      <c r="I11" s="198" t="s">
        <v>131</v>
      </c>
    </row>
    <row r="12" spans="1:9" ht="13.5">
      <c r="A12" s="44"/>
      <c r="B12" s="46" t="s">
        <v>246</v>
      </c>
      <c r="C12" s="40">
        <f>IF(Info!B$10=2,Summary!R8,Summary!Q8)</f>
        <v>129780</v>
      </c>
      <c r="D12" s="40"/>
      <c r="E12" s="45">
        <f>-VLOOKUP(Info!B9,Data!B:AP,28,FALSE)</f>
        <v>631625</v>
      </c>
      <c r="F12" s="45"/>
      <c r="G12" s="198" t="s">
        <v>247</v>
      </c>
      <c r="H12" s="198"/>
      <c r="I12" s="198"/>
    </row>
    <row r="13" spans="1:9" ht="13.5" customHeight="1">
      <c r="A13" s="44"/>
      <c r="B13" s="238" t="s">
        <v>537</v>
      </c>
      <c r="C13" s="40"/>
      <c r="D13" s="40"/>
      <c r="E13" s="239"/>
      <c r="F13" s="45"/>
      <c r="G13" s="199"/>
      <c r="H13" s="198"/>
      <c r="I13" s="200"/>
    </row>
    <row r="14" spans="1:9" ht="13.5" customHeight="1">
      <c r="A14" s="44"/>
      <c r="B14" s="39" t="s">
        <v>244</v>
      </c>
      <c r="C14" s="41"/>
      <c r="D14" s="41"/>
      <c r="E14" s="48"/>
      <c r="F14" s="48"/>
      <c r="G14" s="200"/>
      <c r="H14" s="200"/>
      <c r="I14" s="200"/>
    </row>
    <row r="15" spans="1:9" ht="13.5">
      <c r="A15" s="44"/>
      <c r="B15" s="23" t="s">
        <v>135</v>
      </c>
      <c r="C15" s="49"/>
      <c r="D15" s="49"/>
      <c r="E15" s="50"/>
      <c r="F15" s="50"/>
      <c r="G15" s="198"/>
      <c r="H15" s="198"/>
      <c r="I15" s="200"/>
    </row>
    <row r="16" spans="1:9" ht="3" customHeight="1">
      <c r="A16" s="44"/>
      <c r="B16" s="39"/>
      <c r="C16" s="40"/>
      <c r="D16" s="40"/>
      <c r="E16" s="48"/>
      <c r="F16" s="48"/>
      <c r="G16" s="200"/>
      <c r="H16" s="200"/>
      <c r="I16" s="200"/>
    </row>
    <row r="17" spans="1:9" ht="3" customHeight="1">
      <c r="A17" s="51"/>
      <c r="B17" s="52"/>
      <c r="C17" s="36"/>
      <c r="D17" s="36"/>
      <c r="E17" s="53"/>
      <c r="F17" s="53"/>
      <c r="G17" s="200"/>
      <c r="H17" s="200"/>
      <c r="I17" s="200"/>
    </row>
    <row r="18" spans="1:9" ht="13.5">
      <c r="A18" s="51"/>
      <c r="B18" s="52" t="s">
        <v>209</v>
      </c>
      <c r="C18" s="36"/>
      <c r="D18" s="36"/>
      <c r="E18" s="53"/>
      <c r="F18" s="53"/>
      <c r="G18" s="200"/>
      <c r="H18" s="200"/>
      <c r="I18" s="200"/>
    </row>
    <row r="19" spans="1:9" ht="13.5">
      <c r="A19" s="44"/>
      <c r="B19" s="39" t="s">
        <v>248</v>
      </c>
      <c r="C19" s="40">
        <f>IF(Info!B$10=2,Summary!R8,Summary!Q8)</f>
        <v>129780</v>
      </c>
      <c r="D19" s="40"/>
      <c r="E19" s="35"/>
      <c r="F19" s="53">
        <f>IF(VLOOKUP(Info!B9,Data!B:AS,44,FALSE)&gt;0, VLOOKUP(Info!B9,Data!B:AS,44,FALSE),0)</f>
        <v>0</v>
      </c>
      <c r="G19" s="198" t="s">
        <v>249</v>
      </c>
      <c r="H19" s="198" t="s">
        <v>152</v>
      </c>
      <c r="I19" s="201"/>
    </row>
    <row r="20" spans="1:9" ht="13.5">
      <c r="A20" s="44"/>
      <c r="B20" s="39" t="s">
        <v>207</v>
      </c>
      <c r="C20" s="40">
        <f>IF(Info!B$10=2,Summary!R9,Summary!Q9)</f>
        <v>129720</v>
      </c>
      <c r="D20" s="40">
        <v>1</v>
      </c>
      <c r="E20" s="53">
        <f>IF(VLOOKUP(Info!B9,Data!B:AP,40,FALSE)&gt;0, VLOOKUP(Info!B9,Data!B:AP,40,FALSE),0)</f>
        <v>176008</v>
      </c>
      <c r="F20" s="53"/>
      <c r="G20" s="198" t="s">
        <v>24</v>
      </c>
      <c r="H20" s="198" t="s">
        <v>133</v>
      </c>
      <c r="I20" s="198"/>
    </row>
    <row r="21" spans="1:9" ht="13.5">
      <c r="A21" s="44">
        <v>2</v>
      </c>
      <c r="B21" s="39" t="s">
        <v>208</v>
      </c>
      <c r="C21" s="40">
        <f>IF(Info!B$10=2,Summary!R10,Summary!Q10)</f>
        <v>229220</v>
      </c>
      <c r="D21" s="40">
        <v>6</v>
      </c>
      <c r="E21" s="53">
        <f>IF(VLOOKUP(Info!B9,Data!B:AP,41,FALSE)&lt;0, -VLOOKUP(Info!B9,Data!B:AP,41,FALSE),0)</f>
        <v>0</v>
      </c>
      <c r="F21" s="53"/>
      <c r="G21" s="198" t="s">
        <v>24</v>
      </c>
      <c r="H21" s="198" t="s">
        <v>133</v>
      </c>
      <c r="I21" s="198"/>
    </row>
    <row r="22" spans="1:9" ht="13.5">
      <c r="A22" s="35"/>
      <c r="B22" s="39" t="s">
        <v>207</v>
      </c>
      <c r="C22" s="40">
        <f>IF(Info!B$10=2,Summary!R9,Summary!Q9)</f>
        <v>129720</v>
      </c>
      <c r="D22" s="40">
        <v>2</v>
      </c>
      <c r="E22" s="53">
        <f>IF(VLOOKUP(Info!B9,Data!B:AS,42,FALSE)&gt;0, VLOOKUP(Info!B9,Data!B:AS,42,FALSE),0)</f>
        <v>0</v>
      </c>
      <c r="F22" s="53"/>
      <c r="G22" s="198" t="s">
        <v>129</v>
      </c>
      <c r="H22" s="198" t="s">
        <v>180</v>
      </c>
      <c r="I22" s="201"/>
    </row>
    <row r="23" spans="1:9" ht="13.5">
      <c r="A23" s="35"/>
      <c r="B23" s="39" t="s">
        <v>208</v>
      </c>
      <c r="C23" s="40">
        <f>IF(Info!B$10=2,Summary!R10,Summary!Q10)</f>
        <v>229220</v>
      </c>
      <c r="D23" s="40">
        <v>7</v>
      </c>
      <c r="E23" s="53">
        <f>IF(VLOOKUP(Info!B9,Data!B:AS,43,FALSE)&lt;0, -VLOOKUP(Info!B9,Data!B:AS,43,FALSE),0)</f>
        <v>0</v>
      </c>
      <c r="F23" s="53"/>
      <c r="G23" s="198" t="s">
        <v>129</v>
      </c>
      <c r="H23" s="198"/>
      <c r="I23" s="201"/>
    </row>
    <row r="24" spans="1:9" ht="13.5">
      <c r="A24" s="44"/>
      <c r="B24" s="39" t="s">
        <v>207</v>
      </c>
      <c r="C24" s="40">
        <f>IF(Info!B$10=2,Summary!R9,Summary!Q9)</f>
        <v>129720</v>
      </c>
      <c r="D24" s="40">
        <v>4</v>
      </c>
      <c r="E24" s="53">
        <f>IF(VLOOKUP(Info!B9,Data!B:AS,38,FALSE)&gt;0, VLOOKUP(Info!B9,Data!B:AS,38,FALSE),0)</f>
        <v>0</v>
      </c>
      <c r="F24" s="53"/>
      <c r="G24" s="198" t="s">
        <v>25</v>
      </c>
      <c r="H24" s="198" t="s">
        <v>176</v>
      </c>
      <c r="I24" s="201"/>
    </row>
    <row r="25" spans="1:9" ht="13.5">
      <c r="A25" s="44"/>
      <c r="B25" s="39" t="s">
        <v>208</v>
      </c>
      <c r="C25" s="40">
        <f>IF(Info!B$10=2,Summary!R10,Summary!Q10)</f>
        <v>229220</v>
      </c>
      <c r="D25" s="40">
        <v>8</v>
      </c>
      <c r="E25" s="35"/>
      <c r="F25" s="53">
        <f>VLOOKUP(Info!B9,Data!B:AP,34,FALSE)-VLOOKUP(Info!B9,Data!B:AP,10,FALSE)</f>
        <v>0</v>
      </c>
      <c r="G25" s="198" t="s">
        <v>26</v>
      </c>
      <c r="H25" s="198" t="s">
        <v>133</v>
      </c>
      <c r="I25" s="201"/>
    </row>
    <row r="26" spans="1:9" ht="13.5">
      <c r="A26" s="44"/>
      <c r="B26" s="39" t="s">
        <v>207</v>
      </c>
      <c r="C26" s="40">
        <f>IF(Info!B$10=2,Summary!R9,Summary!Q9)</f>
        <v>129720</v>
      </c>
      <c r="D26" s="40">
        <v>3</v>
      </c>
      <c r="E26" s="53">
        <f>(VLOOKUP(Info!B9,Data!B:AP,6,FALSE)-VLOOKUP(Info!B9,Data!B:AP,30,FALSE))</f>
        <v>140707</v>
      </c>
      <c r="F26" s="35"/>
      <c r="G26" s="198" t="s">
        <v>26</v>
      </c>
      <c r="H26" s="198" t="s">
        <v>133</v>
      </c>
      <c r="I26" s="201"/>
    </row>
    <row r="27" spans="1:9" ht="13.5">
      <c r="A27" s="44"/>
      <c r="B27" s="39" t="s">
        <v>208</v>
      </c>
      <c r="C27" s="40">
        <f>IF(Info!B$10=2,Summary!R10,Summary!Q10)</f>
        <v>229220</v>
      </c>
      <c r="D27" s="40">
        <v>9</v>
      </c>
      <c r="E27" s="53">
        <f>IF(VLOOKUP(Info!B9,Data!B:AP,39,FALSE)&lt;0, -VLOOKUP(Info!B9,Data!B:AP,39,FALSE),0)</f>
        <v>0</v>
      </c>
      <c r="F27" s="53"/>
      <c r="G27" s="198" t="s">
        <v>25</v>
      </c>
      <c r="H27" s="198" t="s">
        <v>176</v>
      </c>
      <c r="I27" s="201"/>
    </row>
    <row r="28" spans="1:9" ht="13.5">
      <c r="A28" s="44"/>
      <c r="B28" s="39" t="s">
        <v>210</v>
      </c>
      <c r="C28" s="40">
        <f>IF(Info!B$10=2,Summary!R11,Summary!Q11)</f>
        <v>531598</v>
      </c>
      <c r="D28" s="40"/>
      <c r="E28" s="53">
        <f>VLOOKUP(Info!B9,Data!B:AP,15,FALSE)</f>
        <v>337984</v>
      </c>
      <c r="F28" s="53"/>
      <c r="G28" s="198" t="s">
        <v>250</v>
      </c>
      <c r="H28" s="202" t="s">
        <v>16</v>
      </c>
      <c r="I28" s="198"/>
    </row>
    <row r="29" spans="1:9" ht="13.5">
      <c r="A29" s="44"/>
      <c r="B29" s="46" t="s">
        <v>248</v>
      </c>
      <c r="C29" s="40">
        <f>IF(Info!B$10=2,Summary!R8,Summary!Q8)</f>
        <v>129780</v>
      </c>
      <c r="D29" s="40"/>
      <c r="E29" s="53">
        <f>IF(VLOOKUP(Info!B9,Data!B:AS,44,FALSE)&lt;0, -VLOOKUP(Info!B9,Data!B:AS,44,FALSE),0)</f>
        <v>10312</v>
      </c>
      <c r="F29" s="35"/>
      <c r="G29" s="198" t="s">
        <v>249</v>
      </c>
      <c r="H29" s="198" t="s">
        <v>152</v>
      </c>
      <c r="I29" s="198"/>
    </row>
    <row r="30" spans="1:9" ht="13.5">
      <c r="A30" s="44"/>
      <c r="B30" s="46" t="s">
        <v>208</v>
      </c>
      <c r="C30" s="40">
        <f>IF(Info!B$10=2,Summary!R10,Summary!Q10)</f>
        <v>229220</v>
      </c>
      <c r="D30" s="40">
        <v>6</v>
      </c>
      <c r="E30" s="54"/>
      <c r="F30" s="53">
        <f>IF(VLOOKUP(Info!B9,Data!B:AS,41,FALSE)&gt;0, VLOOKUP(Info!B9,Data!B:AS,41,FALSE),0)</f>
        <v>0</v>
      </c>
      <c r="G30" s="198" t="s">
        <v>24</v>
      </c>
      <c r="H30" s="198" t="s">
        <v>177</v>
      </c>
      <c r="I30" s="200"/>
    </row>
    <row r="31" spans="1:9" ht="13.5">
      <c r="A31" s="44"/>
      <c r="B31" s="46" t="s">
        <v>207</v>
      </c>
      <c r="C31" s="40">
        <f>IF(Info!B$10=2,Summary!R9,Summary!Q9)</f>
        <v>129720</v>
      </c>
      <c r="D31" s="40">
        <v>1</v>
      </c>
      <c r="E31" s="54"/>
      <c r="F31" s="53">
        <f>IF(VLOOKUP(Info!B9,Data!B:AS,40,FALSE)&lt;0, -VLOOKUP(Info!B9,Data!B:AS,40,FALSE),0)</f>
        <v>0</v>
      </c>
      <c r="G31" s="198" t="s">
        <v>24</v>
      </c>
      <c r="H31" s="198" t="s">
        <v>177</v>
      </c>
      <c r="I31" s="200"/>
    </row>
    <row r="32" spans="1:9" ht="13.5">
      <c r="A32" s="44"/>
      <c r="B32" s="46" t="s">
        <v>208</v>
      </c>
      <c r="C32" s="40">
        <f>IF(Info!B$10=2,Summary!R10,Summary!Q10)</f>
        <v>229220</v>
      </c>
      <c r="D32" s="40">
        <v>7</v>
      </c>
      <c r="E32" s="54"/>
      <c r="F32" s="53">
        <f>IF(VLOOKUP(Info!B9,Data!B:AS,43,FALSE)&gt;0, VLOOKUP(Info!B9,Data!B:AS,43,FALSE),0)</f>
        <v>0</v>
      </c>
      <c r="G32" s="198" t="s">
        <v>129</v>
      </c>
      <c r="H32" s="198" t="s">
        <v>132</v>
      </c>
      <c r="I32" s="200"/>
    </row>
    <row r="33" spans="1:9" ht="13.5">
      <c r="A33" s="44"/>
      <c r="B33" s="46" t="s">
        <v>207</v>
      </c>
      <c r="C33" s="40">
        <f>IF(Info!B$10=2,Summary!R10,Summary!Q10)</f>
        <v>229220</v>
      </c>
      <c r="D33" s="40">
        <v>2</v>
      </c>
      <c r="E33" s="54"/>
      <c r="F33" s="53">
        <f>IF(VLOOKUP(Info!B9,Data!B:AS,42,FALSE)&lt;0, -VLOOKUP(Info!B9,Data!B:AS,42,FALSE),0)</f>
        <v>0</v>
      </c>
      <c r="G33" s="198" t="s">
        <v>129</v>
      </c>
      <c r="H33" s="198"/>
      <c r="I33" s="200"/>
    </row>
    <row r="34" spans="1:9" ht="13.5">
      <c r="A34" s="44"/>
      <c r="B34" s="46" t="s">
        <v>208</v>
      </c>
      <c r="C34" s="40">
        <f>IF(Info!B$10=2,Summary!R10,Summary!Q10)</f>
        <v>229220</v>
      </c>
      <c r="D34" s="40">
        <v>9</v>
      </c>
      <c r="E34" s="54"/>
      <c r="F34" s="53">
        <f>IF(VLOOKUP(Info!B9,Data!B:AS,39,FALSE)&gt;0, VLOOKUP(Info!B9,Data!B:AS,39,FALSE),0)</f>
        <v>9232</v>
      </c>
      <c r="G34" s="198" t="s">
        <v>25</v>
      </c>
      <c r="H34" s="198" t="s">
        <v>176</v>
      </c>
      <c r="I34" s="200"/>
    </row>
    <row r="35" spans="1:9" ht="13.5">
      <c r="A35" s="44"/>
      <c r="B35" s="46" t="s">
        <v>207</v>
      </c>
      <c r="C35" s="40">
        <f>IF(Info!B$10=2,Summary!R9,Summary!Q9)</f>
        <v>129720</v>
      </c>
      <c r="D35" s="40">
        <v>4</v>
      </c>
      <c r="E35" s="54"/>
      <c r="F35" s="53">
        <f>IF(VLOOKUP(Info!B9,Data!B:AS,38,FALSE)&lt;0, -VLOOKUP(Info!B9,Data!B:AS,38,FALSE),0)</f>
        <v>0</v>
      </c>
      <c r="G35" s="198" t="s">
        <v>25</v>
      </c>
      <c r="H35" s="198" t="s">
        <v>176</v>
      </c>
      <c r="I35" s="200"/>
    </row>
    <row r="36" spans="1:9" ht="13.5">
      <c r="A36" s="44"/>
      <c r="B36" s="46" t="s">
        <v>207</v>
      </c>
      <c r="C36" s="40">
        <f>IF(Info!B$10=2,Summary!R9,Summary!Q9)</f>
        <v>129720</v>
      </c>
      <c r="D36" s="40"/>
      <c r="E36" s="54"/>
      <c r="F36" s="53">
        <f>E11</f>
        <v>655779</v>
      </c>
      <c r="G36" s="198" t="s">
        <v>173</v>
      </c>
      <c r="H36" s="198" t="s">
        <v>153</v>
      </c>
      <c r="I36" s="198" t="s">
        <v>131</v>
      </c>
    </row>
    <row r="37" spans="1:9" ht="13.5">
      <c r="A37" s="44"/>
      <c r="B37" s="39" t="s">
        <v>251</v>
      </c>
      <c r="C37" s="40"/>
      <c r="D37" s="40"/>
      <c r="E37" s="55">
        <f>SUM(E19:E36)</f>
        <v>665011</v>
      </c>
      <c r="F37" s="55">
        <f>SUM(F19:F36)</f>
        <v>665011</v>
      </c>
      <c r="G37" s="200"/>
      <c r="H37" s="200"/>
      <c r="I37" s="200"/>
    </row>
    <row r="38" spans="1:9" ht="13.5">
      <c r="A38" s="44"/>
      <c r="B38" s="39" t="s">
        <v>211</v>
      </c>
      <c r="C38" s="40"/>
      <c r="D38" s="40"/>
      <c r="E38" s="53"/>
      <c r="F38" s="54"/>
      <c r="G38" s="200"/>
      <c r="H38" s="200"/>
      <c r="I38" s="200"/>
    </row>
    <row r="39" spans="1:9" ht="3" customHeight="1">
      <c r="A39" s="44"/>
      <c r="B39" s="47"/>
      <c r="C39" s="40"/>
      <c r="D39" s="40"/>
      <c r="E39" s="53"/>
      <c r="F39" s="54"/>
      <c r="G39" s="200"/>
      <c r="H39" s="200"/>
      <c r="I39" s="200"/>
    </row>
    <row r="40" spans="1:9" ht="13.5">
      <c r="A40" s="44"/>
      <c r="B40" s="62" t="s">
        <v>136</v>
      </c>
      <c r="C40" s="41"/>
      <c r="D40" s="41"/>
      <c r="E40" s="48"/>
      <c r="F40" s="48"/>
      <c r="G40" s="200"/>
      <c r="H40" s="200"/>
      <c r="I40" s="200"/>
    </row>
    <row r="41" spans="1:9" ht="13.5">
      <c r="A41" s="44">
        <v>3</v>
      </c>
      <c r="B41" s="189" t="s">
        <v>212</v>
      </c>
      <c r="C41" s="40">
        <f>IF(Info!B$10=2,Summary!R9,Summary!Q9)</f>
        <v>129720</v>
      </c>
      <c r="D41" s="40">
        <v>5</v>
      </c>
      <c r="E41" s="63">
        <v>0</v>
      </c>
      <c r="F41" s="48"/>
      <c r="G41" s="199" t="s">
        <v>196</v>
      </c>
      <c r="H41" s="201" t="str">
        <f>IF(E41=0,"ERROR – Enter Amount"," ")</f>
        <v>ERROR – Enter Amount</v>
      </c>
      <c r="I41" s="200"/>
    </row>
    <row r="42" spans="1:9" ht="13.5">
      <c r="A42" s="44"/>
      <c r="B42" s="46" t="s">
        <v>213</v>
      </c>
      <c r="C42" s="40">
        <f>IF(Info!B$10=2,Summary!R12,Summary!Q12)</f>
        <v>531520</v>
      </c>
      <c r="D42" s="40"/>
      <c r="E42" s="48"/>
      <c r="F42" s="48">
        <f>E41</f>
        <v>0</v>
      </c>
      <c r="G42" s="198" t="s">
        <v>15</v>
      </c>
      <c r="H42" s="198" t="s">
        <v>184</v>
      </c>
      <c r="I42" s="200"/>
    </row>
    <row r="43" spans="1:9" ht="13.5">
      <c r="A43" s="44"/>
      <c r="B43" s="39" t="s">
        <v>214</v>
      </c>
      <c r="C43" s="40"/>
      <c r="D43" s="40"/>
      <c r="E43" s="55">
        <f>SUM(E41:E42)</f>
        <v>0</v>
      </c>
      <c r="F43" s="55">
        <f>SUM(F41:F42)</f>
        <v>0</v>
      </c>
      <c r="G43" s="35"/>
      <c r="H43" s="35"/>
      <c r="I43" s="35"/>
    </row>
    <row r="44" spans="1:9" ht="12.6" customHeight="1">
      <c r="A44" s="44"/>
      <c r="B44" s="150" t="s">
        <v>215</v>
      </c>
      <c r="C44" s="40"/>
      <c r="D44" s="40"/>
      <c r="E44" s="48"/>
      <c r="F44" s="48"/>
      <c r="G44" s="35"/>
      <c r="H44" s="35"/>
      <c r="I44" s="35"/>
    </row>
    <row r="45" spans="1:9" ht="12.6" customHeight="1">
      <c r="A45" s="44"/>
      <c r="B45" s="150" t="s">
        <v>216</v>
      </c>
      <c r="C45" s="40"/>
      <c r="D45" s="40"/>
      <c r="E45" s="48"/>
      <c r="F45" s="48"/>
      <c r="G45" s="35"/>
      <c r="H45" s="35"/>
      <c r="I45" s="35"/>
    </row>
    <row r="46" spans="1:9" ht="13.5">
      <c r="A46" s="44"/>
      <c r="B46" s="232"/>
      <c r="C46" s="40"/>
      <c r="D46" s="40"/>
      <c r="E46" s="204"/>
      <c r="F46" s="204"/>
      <c r="G46" s="35"/>
      <c r="H46" s="35"/>
      <c r="I46" s="35"/>
    </row>
    <row r="47" spans="1:9" ht="13.5">
      <c r="A47" s="73"/>
      <c r="B47" s="74"/>
      <c r="C47" s="26"/>
      <c r="D47" s="26"/>
      <c r="E47" s="75"/>
      <c r="F47" s="75"/>
    </row>
    <row r="48" spans="1:9" ht="15.95" customHeight="1">
      <c r="A48" s="264" t="s">
        <v>3</v>
      </c>
      <c r="B48" s="265"/>
      <c r="C48" s="26"/>
      <c r="D48" s="26"/>
      <c r="E48" s="76"/>
      <c r="F48" s="76"/>
    </row>
    <row r="49" spans="1:13" ht="54.95" customHeight="1">
      <c r="A49" s="77" t="s">
        <v>178</v>
      </c>
      <c r="B49" s="266" t="s">
        <v>217</v>
      </c>
      <c r="C49" s="266"/>
      <c r="D49" s="266"/>
      <c r="E49" s="266"/>
      <c r="F49" s="266"/>
      <c r="G49" s="266"/>
      <c r="H49" s="78"/>
      <c r="I49" s="83"/>
    </row>
    <row r="50" spans="1:13" ht="6" customHeight="1">
      <c r="A50" s="79"/>
      <c r="B50" s="80"/>
      <c r="C50" s="81"/>
      <c r="D50" s="81"/>
      <c r="E50" s="81"/>
      <c r="F50" s="81"/>
      <c r="G50" s="81"/>
      <c r="H50" s="81"/>
    </row>
    <row r="51" spans="1:13" ht="29.1" customHeight="1">
      <c r="A51" s="77" t="s">
        <v>179</v>
      </c>
      <c r="B51" s="269" t="s">
        <v>218</v>
      </c>
      <c r="C51" s="268"/>
      <c r="D51" s="268"/>
      <c r="E51" s="268"/>
      <c r="F51" s="268"/>
      <c r="G51" s="268"/>
      <c r="H51" s="83"/>
      <c r="I51" s="78"/>
    </row>
    <row r="52" spans="1:13" ht="6" customHeight="1">
      <c r="A52" s="79"/>
      <c r="B52" s="80"/>
      <c r="C52" s="81"/>
      <c r="D52" s="81"/>
      <c r="E52" s="81"/>
      <c r="F52" s="81"/>
      <c r="G52" s="81"/>
      <c r="H52" s="81"/>
    </row>
    <row r="53" spans="1:13" ht="67.150000000000006" customHeight="1">
      <c r="A53" s="77" t="s">
        <v>17</v>
      </c>
      <c r="B53" s="266" t="s">
        <v>219</v>
      </c>
      <c r="C53" s="268"/>
      <c r="D53" s="268"/>
      <c r="E53" s="268"/>
      <c r="F53" s="268"/>
      <c r="G53" s="268"/>
      <c r="H53" s="83"/>
      <c r="I53" s="78"/>
    </row>
    <row r="54" spans="1:13" ht="6" customHeight="1">
      <c r="A54" s="79"/>
      <c r="B54" s="78"/>
      <c r="C54" s="78"/>
      <c r="D54" s="78"/>
      <c r="E54" s="78"/>
      <c r="F54" s="78"/>
      <c r="G54" s="78"/>
      <c r="H54" s="78"/>
    </row>
    <row r="55" spans="1:13" ht="15" customHeight="1">
      <c r="A55" s="77" t="s">
        <v>18</v>
      </c>
      <c r="B55" s="269" t="s">
        <v>220</v>
      </c>
      <c r="C55" s="268"/>
      <c r="D55" s="268"/>
      <c r="E55" s="268"/>
      <c r="F55" s="268"/>
      <c r="G55" s="268"/>
      <c r="H55" s="83"/>
      <c r="I55" s="81"/>
    </row>
    <row r="56" spans="1:13" ht="6" customHeight="1">
      <c r="A56" s="79"/>
      <c r="B56" s="81"/>
      <c r="C56" s="78"/>
      <c r="D56" s="78"/>
      <c r="E56" s="78"/>
      <c r="F56" s="78"/>
      <c r="G56" s="78"/>
      <c r="H56" s="78"/>
    </row>
    <row r="57" spans="1:13" ht="54" customHeight="1">
      <c r="A57" s="77" t="s">
        <v>180</v>
      </c>
      <c r="B57" s="266" t="s">
        <v>221</v>
      </c>
      <c r="C57" s="266"/>
      <c r="D57" s="266"/>
      <c r="E57" s="266"/>
      <c r="F57" s="266"/>
      <c r="G57" s="266"/>
      <c r="H57" s="82"/>
    </row>
    <row r="58" spans="1:13" ht="6" customHeight="1">
      <c r="A58" s="79"/>
      <c r="B58" s="78"/>
      <c r="C58" s="78"/>
      <c r="D58" s="78"/>
      <c r="E58" s="78"/>
      <c r="F58" s="78"/>
      <c r="G58" s="78"/>
      <c r="H58" s="78"/>
      <c r="J58" s="29"/>
      <c r="L58" s="30"/>
      <c r="M58" s="30"/>
    </row>
    <row r="59" spans="1:13" ht="81.95" customHeight="1">
      <c r="A59" s="84" t="s">
        <v>181</v>
      </c>
      <c r="B59" s="266" t="s">
        <v>222</v>
      </c>
      <c r="C59" s="267"/>
      <c r="D59" s="267"/>
      <c r="E59" s="267"/>
      <c r="F59" s="267"/>
      <c r="G59" s="267"/>
      <c r="H59" s="78"/>
      <c r="L59" s="30"/>
      <c r="M59" s="30"/>
    </row>
    <row r="60" spans="1:13" ht="6" customHeight="1">
      <c r="A60" s="79"/>
      <c r="B60" s="78"/>
      <c r="C60" s="78"/>
      <c r="D60" s="78"/>
      <c r="E60" s="78"/>
      <c r="F60" s="78"/>
      <c r="G60" s="78"/>
      <c r="H60" s="78"/>
      <c r="J60" s="29"/>
      <c r="L60" s="30"/>
      <c r="M60" s="30"/>
    </row>
    <row r="61" spans="1:13" ht="95.1" customHeight="1">
      <c r="A61" s="77" t="s">
        <v>182</v>
      </c>
      <c r="B61" s="266" t="s">
        <v>226</v>
      </c>
      <c r="C61" s="268"/>
      <c r="D61" s="268"/>
      <c r="E61" s="268"/>
      <c r="F61" s="268"/>
      <c r="G61" s="268"/>
      <c r="H61" s="83"/>
      <c r="J61" s="29"/>
      <c r="L61" s="30"/>
      <c r="M61" s="30"/>
    </row>
    <row r="62" spans="1:13" ht="6" customHeight="1">
      <c r="A62" s="79"/>
      <c r="B62" s="78"/>
      <c r="C62" s="78"/>
      <c r="D62" s="78"/>
      <c r="E62" s="78"/>
      <c r="F62" s="78"/>
      <c r="G62" s="78"/>
      <c r="H62" s="78"/>
      <c r="J62" s="29"/>
      <c r="L62" s="30"/>
      <c r="M62" s="30"/>
    </row>
    <row r="63" spans="1:13" ht="27" customHeight="1">
      <c r="A63" s="85" t="s">
        <v>183</v>
      </c>
      <c r="B63" s="269" t="s">
        <v>223</v>
      </c>
      <c r="C63" s="268"/>
      <c r="D63" s="268"/>
      <c r="E63" s="268"/>
      <c r="F63" s="268"/>
      <c r="G63" s="268"/>
      <c r="H63" s="83"/>
      <c r="J63" s="29"/>
      <c r="L63" s="30"/>
      <c r="M63" s="30"/>
    </row>
    <row r="64" spans="1:13" ht="6" customHeight="1">
      <c r="A64" s="79"/>
      <c r="B64" s="78"/>
      <c r="C64" s="78"/>
      <c r="D64" s="78"/>
      <c r="E64" s="78"/>
      <c r="F64" s="78"/>
      <c r="G64" s="78"/>
      <c r="H64" s="78"/>
      <c r="J64" s="29"/>
      <c r="L64" s="30"/>
      <c r="M64" s="30"/>
    </row>
    <row r="65" spans="1:13" s="31" customFormat="1" ht="27" customHeight="1">
      <c r="A65" s="85" t="s">
        <v>184</v>
      </c>
      <c r="B65" s="269" t="s">
        <v>224</v>
      </c>
      <c r="C65" s="268"/>
      <c r="D65" s="268"/>
      <c r="E65" s="268"/>
      <c r="F65" s="268"/>
      <c r="G65" s="268"/>
      <c r="H65" s="83"/>
      <c r="J65" s="32"/>
      <c r="L65" s="33"/>
      <c r="M65" s="33"/>
    </row>
    <row r="66" spans="1:13" s="31" customFormat="1" ht="6" customHeight="1">
      <c r="A66" s="85"/>
      <c r="B66" s="86"/>
      <c r="C66" s="83"/>
      <c r="D66" s="83"/>
      <c r="E66" s="83"/>
      <c r="F66" s="83"/>
      <c r="G66" s="83"/>
      <c r="H66" s="83"/>
      <c r="J66" s="32"/>
      <c r="L66" s="33"/>
      <c r="M66" s="33"/>
    </row>
    <row r="67" spans="1:13" ht="42" customHeight="1">
      <c r="A67" s="85" t="s">
        <v>16</v>
      </c>
      <c r="B67" s="269" t="s">
        <v>225</v>
      </c>
      <c r="C67" s="268"/>
      <c r="D67" s="268"/>
      <c r="E67" s="268"/>
      <c r="F67" s="268"/>
      <c r="G67" s="268"/>
      <c r="J67" s="29"/>
      <c r="L67" s="30"/>
      <c r="M67" s="30"/>
    </row>
    <row r="68" spans="1:13" ht="6" customHeight="1">
      <c r="A68" s="85"/>
      <c r="B68" s="86"/>
      <c r="C68" s="83"/>
      <c r="D68" s="83"/>
      <c r="E68" s="83"/>
      <c r="F68" s="83"/>
      <c r="G68" s="83"/>
      <c r="J68" s="29"/>
      <c r="L68" s="30"/>
      <c r="M68" s="30"/>
    </row>
    <row r="69" spans="1:13" ht="30" customHeight="1">
      <c r="A69" s="85"/>
      <c r="B69" s="269"/>
      <c r="C69" s="268"/>
      <c r="D69" s="268"/>
      <c r="E69" s="268"/>
      <c r="F69" s="268"/>
      <c r="G69" s="268"/>
      <c r="J69" s="29"/>
      <c r="L69" s="30"/>
      <c r="M69" s="30"/>
    </row>
    <row r="76" spans="1:13" ht="13.5">
      <c r="C76" s="28"/>
      <c r="D76" s="28"/>
    </row>
    <row r="77" spans="1:13" ht="13.5">
      <c r="C77" s="28"/>
      <c r="D77" s="28"/>
    </row>
    <row r="78" spans="1:13" ht="13.5">
      <c r="C78" s="28"/>
      <c r="D78" s="28"/>
    </row>
    <row r="79" spans="1:13" ht="13.5">
      <c r="C79" s="28"/>
      <c r="D79" s="28"/>
    </row>
    <row r="80" spans="1:13" ht="13.5">
      <c r="C80" s="28"/>
      <c r="D80" s="28"/>
    </row>
    <row r="81" spans="3:4" ht="13.5">
      <c r="C81" s="27"/>
      <c r="D81" s="27"/>
    </row>
    <row r="82" spans="3:4" ht="13.5">
      <c r="C82" s="34"/>
      <c r="D82" s="34"/>
    </row>
    <row r="83" spans="3:4" ht="13.5">
      <c r="C83" s="26"/>
      <c r="D83" s="26"/>
    </row>
    <row r="84" spans="3:4" ht="13.5">
      <c r="C84" s="25"/>
      <c r="D84" s="25"/>
    </row>
    <row r="85" spans="3:4" ht="13.5">
      <c r="C85" s="28"/>
      <c r="D85" s="28"/>
    </row>
    <row r="86" spans="3:4" ht="13.5">
      <c r="C86" s="26"/>
      <c r="D86" s="26"/>
    </row>
    <row r="87" spans="3:4" ht="13.5">
      <c r="C87" s="25"/>
      <c r="D87" s="25"/>
    </row>
    <row r="88" spans="3:4" ht="13.5">
      <c r="C88" s="26"/>
      <c r="D88" s="26"/>
    </row>
    <row r="89" spans="3:4" ht="13.5">
      <c r="C89" s="26"/>
      <c r="D89" s="26"/>
    </row>
    <row r="90" spans="3:4" ht="13.5">
      <c r="C90" s="28"/>
      <c r="D90" s="28"/>
    </row>
    <row r="91" spans="3:4" ht="13.5">
      <c r="C91" s="26"/>
      <c r="D91" s="26"/>
    </row>
    <row r="92" spans="3:4" ht="13.5">
      <c r="C92" s="28"/>
      <c r="D92" s="28"/>
    </row>
    <row r="93" spans="3:4" ht="13.5">
      <c r="C93" s="25"/>
      <c r="D93" s="25"/>
    </row>
    <row r="94" spans="3:4" ht="13.5">
      <c r="C94" s="26"/>
      <c r="D94" s="26"/>
    </row>
    <row r="95" spans="3:4" ht="13.5">
      <c r="C95" s="26"/>
      <c r="D95" s="26"/>
    </row>
    <row r="96" spans="3:4" ht="13.5">
      <c r="C96" s="28"/>
      <c r="D96" s="28"/>
    </row>
    <row r="97" spans="3:4" ht="13.5">
      <c r="C97" s="26"/>
      <c r="D97" s="26"/>
    </row>
    <row r="98" spans="3:4" ht="13.5">
      <c r="C98" s="25"/>
      <c r="D98" s="25"/>
    </row>
    <row r="99" spans="3:4" ht="13.5">
      <c r="C99" s="28"/>
      <c r="D99" s="28"/>
    </row>
    <row r="100" spans="3:4" ht="13.5">
      <c r="C100" s="26"/>
      <c r="D100" s="26"/>
    </row>
    <row r="101" spans="3:4" ht="13.5">
      <c r="C101" s="26"/>
      <c r="D101" s="26"/>
    </row>
    <row r="102" spans="3:4" ht="13.5">
      <c r="C102" s="25"/>
      <c r="D102" s="25"/>
    </row>
    <row r="103" spans="3:4" ht="13.5">
      <c r="C103" s="28"/>
      <c r="D103" s="28"/>
    </row>
    <row r="104" spans="3:4" ht="13.5">
      <c r="C104" s="28"/>
      <c r="D104" s="28"/>
    </row>
    <row r="105" spans="3:4" ht="13.5">
      <c r="C105" s="28"/>
      <c r="D105" s="28"/>
    </row>
    <row r="106" spans="3:4" ht="13.5">
      <c r="C106" s="28"/>
      <c r="D106" s="28"/>
    </row>
    <row r="107" spans="3:4" ht="13.5">
      <c r="C107" s="28"/>
      <c r="D107" s="28"/>
    </row>
    <row r="108" spans="3:4" ht="13.5">
      <c r="C108" s="28"/>
      <c r="D108" s="28"/>
    </row>
    <row r="109" spans="3:4" ht="13.5">
      <c r="C109" s="28"/>
      <c r="D109" s="28"/>
    </row>
    <row r="110" spans="3:4" ht="13.5">
      <c r="C110" s="25"/>
      <c r="D110" s="25"/>
    </row>
    <row r="111" spans="3:4" ht="13.5">
      <c r="C111" s="28"/>
      <c r="D111" s="28"/>
    </row>
    <row r="112" spans="3:4" ht="13.5">
      <c r="C112" s="28"/>
      <c r="D112" s="28"/>
    </row>
    <row r="113" spans="3:4" ht="13.5">
      <c r="C113" s="28"/>
      <c r="D113" s="28"/>
    </row>
    <row r="114" spans="3:4" ht="13.5">
      <c r="C114" s="28"/>
      <c r="D114" s="28"/>
    </row>
    <row r="115" spans="3:4" ht="13.5">
      <c r="C115" s="28"/>
      <c r="D115" s="28"/>
    </row>
    <row r="116" spans="3:4" ht="13.5">
      <c r="C116" s="25"/>
      <c r="D116" s="25"/>
    </row>
    <row r="117" spans="3:4" ht="13.5">
      <c r="C117" s="28"/>
      <c r="D117" s="28"/>
    </row>
    <row r="118" spans="3:4" ht="13.5">
      <c r="C118" s="26"/>
      <c r="D118" s="26"/>
    </row>
    <row r="119" spans="3:4" ht="13.5">
      <c r="C119" s="28"/>
      <c r="D119" s="28"/>
    </row>
    <row r="120" spans="3:4" ht="13.5">
      <c r="C120" s="28"/>
      <c r="D120" s="28"/>
    </row>
    <row r="121" spans="3:4" ht="13.5">
      <c r="C121" s="28"/>
      <c r="D121" s="28"/>
    </row>
    <row r="122" spans="3:4" ht="13.5">
      <c r="C122" s="28"/>
      <c r="D122" s="28"/>
    </row>
    <row r="123" spans="3:4" ht="13.5">
      <c r="C123" s="28"/>
      <c r="D123" s="28"/>
    </row>
    <row r="124" spans="3:4" ht="13.5">
      <c r="C124" s="25"/>
      <c r="D124" s="25"/>
    </row>
    <row r="125" spans="3:4" ht="13.5">
      <c r="C125" s="28"/>
      <c r="D125" s="28"/>
    </row>
    <row r="126" spans="3:4" ht="13.5">
      <c r="C126" s="28"/>
      <c r="D126" s="28"/>
    </row>
    <row r="127" spans="3:4" ht="13.5">
      <c r="C127" s="26"/>
      <c r="D127" s="26"/>
    </row>
    <row r="128" spans="3:4" ht="13.5">
      <c r="C128" s="26"/>
      <c r="D128" s="26"/>
    </row>
    <row r="129" spans="3:4" ht="13.5">
      <c r="C129" s="26"/>
      <c r="D129" s="26"/>
    </row>
    <row r="130" spans="3:4" ht="13.5">
      <c r="C130" s="28"/>
      <c r="D130" s="28"/>
    </row>
    <row r="131" spans="3:4" ht="13.5">
      <c r="C131" s="26"/>
      <c r="D131" s="26"/>
    </row>
    <row r="132" spans="3:4" ht="13.5">
      <c r="C132" s="28"/>
      <c r="D132" s="28"/>
    </row>
    <row r="133" spans="3:4" ht="13.5">
      <c r="C133" s="26"/>
      <c r="D133" s="26"/>
    </row>
    <row r="134" spans="3:4" ht="13.5">
      <c r="C134" s="26"/>
      <c r="D134" s="26"/>
    </row>
    <row r="135" spans="3:4" ht="13.5">
      <c r="C135" s="26"/>
      <c r="D135" s="26"/>
    </row>
  </sheetData>
  <sheetProtection algorithmName="SHA-512" hashValue="MHawLjs+2jaRgIftcV/Mi6OiRSOoBNJPLvlWJxJQ4cbCqqzXpsHH1cbk5Rf+TBBwnZpggHWBQdwQqlYF7sBHPw==" saltValue="vW6WJflXyP3F6l0sB1lyOA==" spinCount="100000" sheet="1" objects="1" scenarios="1"/>
  <mergeCells count="12">
    <mergeCell ref="B69:G69"/>
    <mergeCell ref="B55:G55"/>
    <mergeCell ref="B67:G67"/>
    <mergeCell ref="B57:G57"/>
    <mergeCell ref="B61:G61"/>
    <mergeCell ref="B65:G65"/>
    <mergeCell ref="A48:B48"/>
    <mergeCell ref="B59:G59"/>
    <mergeCell ref="B53:G53"/>
    <mergeCell ref="B63:G63"/>
    <mergeCell ref="B51:G51"/>
    <mergeCell ref="B49:G49"/>
  </mergeCells>
  <phoneticPr fontId="9" type="noConversion"/>
  <conditionalFormatting sqref="H41">
    <cfRule type="expression" dxfId="0" priority="1">
      <formula>$E$41=0</formula>
    </cfRule>
  </conditionalFormatting>
  <pageMargins left="0.5" right="0.5" top="0.2" bottom="0.2" header="0.5" footer="0.15"/>
  <pageSetup orientation="landscape" r:id="rId1"/>
  <headerFooter alignWithMargins="0"/>
  <rowBreaks count="1" manualBreakCount="1">
    <brk id="47" max="8" man="1"/>
  </rowBreaks>
  <ignoredErrors>
    <ignoredError sqref="C25:C26 C21 C3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30"/>
  <sheetViews>
    <sheetView showGridLines="0" workbookViewId="0">
      <selection activeCell="A100" sqref="A100"/>
    </sheetView>
  </sheetViews>
  <sheetFormatPr defaultRowHeight="12.75"/>
  <cols>
    <col min="1" max="1" width="36.7109375" customWidth="1"/>
    <col min="2" max="2" width="1.28515625" customWidth="1"/>
    <col min="3" max="3" width="9.85546875" bestFit="1" customWidth="1"/>
    <col min="4" max="4" width="1.28515625" customWidth="1"/>
    <col min="5" max="5" width="14.7109375" customWidth="1"/>
    <col min="6" max="6" width="1.28515625" customWidth="1"/>
    <col min="7" max="7" width="14.7109375" customWidth="1"/>
    <col min="8" max="8" width="1.28515625" customWidth="1"/>
    <col min="9" max="9" width="14.7109375" customWidth="1"/>
    <col min="10" max="10" width="6.7109375" customWidth="1"/>
    <col min="11" max="11" width="12.7109375" customWidth="1"/>
    <col min="12" max="12" width="1.28515625" style="151" customWidth="1"/>
    <col min="13" max="13" width="12.7109375" customWidth="1"/>
    <col min="14" max="14" width="1.28515625" style="151" customWidth="1"/>
    <col min="15" max="15" width="12.7109375" style="151" customWidth="1"/>
    <col min="16" max="16" width="6.7109375" style="151" customWidth="1"/>
    <col min="17" max="18" width="9.140625" hidden="1" customWidth="1"/>
  </cols>
  <sheetData>
    <row r="1" spans="1:21">
      <c r="A1" s="65" t="str">
        <f>Info!B5</f>
        <v>APPALACHIAN STATE UNIVERSITY</v>
      </c>
      <c r="B1" s="65"/>
      <c r="C1" s="24"/>
      <c r="D1" s="24"/>
      <c r="E1" s="24"/>
      <c r="F1" s="24"/>
      <c r="G1" s="24"/>
      <c r="H1" s="24"/>
      <c r="I1" s="24"/>
      <c r="K1" s="1"/>
    </row>
    <row r="2" spans="1:21" ht="15" customHeight="1">
      <c r="A2" s="66" t="s">
        <v>206</v>
      </c>
      <c r="B2" s="66"/>
      <c r="C2" s="24"/>
      <c r="D2" s="24"/>
      <c r="E2" s="24"/>
      <c r="F2" s="24"/>
      <c r="H2" s="24"/>
      <c r="I2" s="24"/>
    </row>
    <row r="3" spans="1:21" ht="15" customHeight="1">
      <c r="A3" s="65" t="s">
        <v>193</v>
      </c>
      <c r="B3" s="65"/>
      <c r="C3" s="24"/>
      <c r="D3" s="24"/>
      <c r="E3" s="24"/>
      <c r="F3" s="24"/>
      <c r="G3" s="24"/>
      <c r="H3" s="24"/>
    </row>
    <row r="4" spans="1:21" ht="15" customHeight="1">
      <c r="A4" s="65"/>
      <c r="B4" s="65"/>
      <c r="C4" s="24"/>
      <c r="D4" s="24"/>
      <c r="E4" s="24"/>
      <c r="F4" s="24"/>
      <c r="G4" s="104"/>
      <c r="H4" s="24"/>
    </row>
    <row r="5" spans="1:21" ht="15" customHeight="1">
      <c r="A5" s="65"/>
      <c r="B5" s="65"/>
      <c r="C5" s="24"/>
      <c r="D5" s="24"/>
      <c r="E5" s="24"/>
      <c r="F5" s="24"/>
      <c r="G5" s="24"/>
      <c r="H5" s="24"/>
      <c r="I5" s="91" t="s">
        <v>141</v>
      </c>
      <c r="K5" s="270"/>
      <c r="L5" s="270"/>
      <c r="M5" s="270"/>
      <c r="N5" s="270"/>
      <c r="O5" s="270"/>
      <c r="P5" s="152"/>
      <c r="Q5" s="152"/>
      <c r="R5" s="152"/>
      <c r="S5" s="152"/>
      <c r="T5" s="152"/>
      <c r="U5" s="152"/>
    </row>
    <row r="6" spans="1:21" ht="15" customHeight="1">
      <c r="A6" s="70"/>
      <c r="B6" s="70"/>
      <c r="C6" s="95" t="str">
        <f>IF(Info!B$10=2,"Colleague","NCAS")</f>
        <v>NCAS</v>
      </c>
      <c r="D6" s="70"/>
      <c r="E6" s="70"/>
      <c r="F6" s="70"/>
      <c r="G6" s="70"/>
      <c r="H6" s="70"/>
      <c r="I6" s="87" t="s">
        <v>151</v>
      </c>
      <c r="K6" s="271"/>
      <c r="L6" s="271"/>
      <c r="M6" s="271"/>
      <c r="N6" s="271"/>
      <c r="O6" s="271"/>
      <c r="Q6" s="257" t="s">
        <v>541</v>
      </c>
    </row>
    <row r="7" spans="1:21" ht="15" customHeight="1">
      <c r="A7" s="93" t="s">
        <v>139</v>
      </c>
      <c r="B7" s="94"/>
      <c r="C7" s="93" t="s">
        <v>125</v>
      </c>
      <c r="D7" s="95"/>
      <c r="E7" s="93" t="s">
        <v>0</v>
      </c>
      <c r="F7" s="95"/>
      <c r="G7" s="93" t="s">
        <v>1</v>
      </c>
      <c r="H7" s="95"/>
      <c r="I7" s="88" t="s">
        <v>140</v>
      </c>
      <c r="J7" s="3"/>
      <c r="K7" s="92"/>
      <c r="L7" s="92"/>
      <c r="M7" s="92"/>
      <c r="N7" s="92"/>
      <c r="O7" s="92"/>
      <c r="P7" s="92"/>
      <c r="Q7" s="111" t="s">
        <v>124</v>
      </c>
      <c r="R7" s="110" t="s">
        <v>154</v>
      </c>
    </row>
    <row r="8" spans="1:21" ht="15" customHeight="1">
      <c r="A8" s="96" t="s">
        <v>248</v>
      </c>
      <c r="B8" s="96"/>
      <c r="C8" s="97">
        <f>IF(Info!B$10=2,Summary!R8,Summary!Q8)</f>
        <v>129780</v>
      </c>
      <c r="D8" s="97"/>
      <c r="E8" s="98">
        <f>SUMIF(Detail!$C$8:$C$45,$C8,Detail!E$8:E$45)</f>
        <v>641937</v>
      </c>
      <c r="F8" s="99"/>
      <c r="G8" s="98">
        <f>SUMIF(Detail!$C$8:$C$45,$C8,Detail!F$8:F$45)</f>
        <v>0</v>
      </c>
      <c r="H8" s="99"/>
      <c r="I8" s="56">
        <f t="shared" ref="I8:I15" si="0">E8-G8</f>
        <v>641937</v>
      </c>
      <c r="J8" s="4"/>
      <c r="K8" s="98"/>
      <c r="L8" s="98"/>
      <c r="M8" s="98"/>
      <c r="N8" s="153"/>
      <c r="O8" s="98"/>
      <c r="Q8" s="258">
        <v>129780</v>
      </c>
      <c r="R8" s="154">
        <v>142090</v>
      </c>
    </row>
    <row r="9" spans="1:21" ht="15" customHeight="1">
      <c r="A9" s="96" t="s">
        <v>207</v>
      </c>
      <c r="B9" s="96"/>
      <c r="C9" s="97">
        <f>IF(Info!B$10=2,Summary!R9,Summary!Q9)</f>
        <v>129720</v>
      </c>
      <c r="D9" s="97"/>
      <c r="E9" s="61">
        <f>SUMIF(Detail!$C$8:$C$45,$C9,Detail!E$8:E$45)</f>
        <v>972494</v>
      </c>
      <c r="F9" s="99"/>
      <c r="G9" s="61">
        <f>SUMIF(Detail!$C$8:$C$45,$C9,Detail!F$8:F$45)</f>
        <v>655779</v>
      </c>
      <c r="H9" s="99"/>
      <c r="I9" s="57">
        <f t="shared" ref="I9" si="1">E9-G9</f>
        <v>316715</v>
      </c>
      <c r="J9" s="5"/>
      <c r="K9" s="61"/>
      <c r="L9" s="61"/>
      <c r="M9" s="61"/>
      <c r="N9" s="153"/>
      <c r="O9" s="61"/>
      <c r="Q9" s="97">
        <v>129720</v>
      </c>
      <c r="R9">
        <v>124091</v>
      </c>
    </row>
    <row r="10" spans="1:21" ht="15" customHeight="1">
      <c r="A10" s="96" t="s">
        <v>208</v>
      </c>
      <c r="B10" s="96"/>
      <c r="C10" s="97">
        <f>IF(Info!B$10=2,Summary!R10,Summary!Q10)</f>
        <v>229220</v>
      </c>
      <c r="D10" s="97"/>
      <c r="E10" s="61">
        <f>SUMIF(Detail!$C$8:$C$45,$C10,Detail!E$8:E$45)</f>
        <v>0</v>
      </c>
      <c r="F10" s="99"/>
      <c r="G10" s="61">
        <f>SUMIF(Detail!$C$8:$C$45,$C10,Detail!F$8:F$45)</f>
        <v>9232</v>
      </c>
      <c r="H10" s="99"/>
      <c r="I10" s="57">
        <f t="shared" ref="I10" si="2">E10-G10</f>
        <v>-9232</v>
      </c>
      <c r="J10" s="5"/>
      <c r="K10" s="61"/>
      <c r="L10" s="61"/>
      <c r="M10" s="61"/>
      <c r="N10" s="153"/>
      <c r="O10" s="61"/>
      <c r="Q10" s="97">
        <v>229220</v>
      </c>
      <c r="R10">
        <v>242091</v>
      </c>
    </row>
    <row r="11" spans="1:21" ht="15" customHeight="1">
      <c r="A11" s="96" t="s">
        <v>210</v>
      </c>
      <c r="B11" s="96"/>
      <c r="C11" s="97">
        <f>IF(Info!B$10=2,Summary!R11,Summary!Q11)</f>
        <v>531598</v>
      </c>
      <c r="D11" s="97"/>
      <c r="E11" s="61">
        <f>SUMIF(Detail!$C$8:$C$45,$C11,Detail!E$8:E$45)</f>
        <v>337984</v>
      </c>
      <c r="F11" s="99"/>
      <c r="G11" s="61">
        <f>SUMIF(Detail!$C$17:$C$45,$C11,Detail!F$17:F$45)</f>
        <v>0</v>
      </c>
      <c r="H11" s="99"/>
      <c r="I11" s="57">
        <f t="shared" si="0"/>
        <v>337984</v>
      </c>
      <c r="J11" s="5"/>
      <c r="K11" s="61"/>
      <c r="L11" s="61"/>
      <c r="M11" s="61"/>
      <c r="N11" s="153"/>
      <c r="O11" s="61"/>
      <c r="Q11" s="97">
        <v>531598</v>
      </c>
      <c r="R11">
        <v>518251</v>
      </c>
    </row>
    <row r="12" spans="1:21" ht="15" customHeight="1">
      <c r="A12" s="96" t="s">
        <v>213</v>
      </c>
      <c r="B12" s="96"/>
      <c r="C12" s="97">
        <f>IF(Info!B$10=2,Summary!R12,Summary!Q12)</f>
        <v>531520</v>
      </c>
      <c r="D12" s="97"/>
      <c r="E12" s="61">
        <f>SUMIF(Detail!$C$8:$C$45,$C12,Detail!E$8:E$45)</f>
        <v>0</v>
      </c>
      <c r="F12" s="99"/>
      <c r="G12" s="61">
        <f>SUMIF(Detail!$C$8:$C$45,$C12,Detail!F$8:F$45)</f>
        <v>0</v>
      </c>
      <c r="H12" s="99"/>
      <c r="I12" s="57">
        <f t="shared" si="0"/>
        <v>0</v>
      </c>
      <c r="J12" s="5"/>
      <c r="K12" s="61"/>
      <c r="L12" s="61"/>
      <c r="M12" s="61"/>
      <c r="N12" s="153"/>
      <c r="O12" s="61"/>
      <c r="Q12" s="97">
        <v>531520</v>
      </c>
      <c r="R12">
        <v>518200</v>
      </c>
    </row>
    <row r="13" spans="1:21" s="185" customFormat="1" ht="15" hidden="1" customHeight="1">
      <c r="A13" s="96" t="s">
        <v>186</v>
      </c>
      <c r="B13" s="96"/>
      <c r="C13" s="97">
        <f>IF(Info!B$10=2,Summary!R14,Summary!Q14)</f>
        <v>535900</v>
      </c>
      <c r="D13" s="97"/>
      <c r="E13" s="61">
        <f>SUMIF(Detail!$C$8:$C$45,$C13,Detail!E$8:E$45)</f>
        <v>0</v>
      </c>
      <c r="F13" s="99"/>
      <c r="G13" s="61">
        <f>SUMIF(Detail!$C$8:$C$45,$C13,Detail!F$8:F$45)</f>
        <v>0</v>
      </c>
      <c r="H13" s="99"/>
      <c r="I13" s="57">
        <f t="shared" si="0"/>
        <v>0</v>
      </c>
      <c r="J13" s="5"/>
      <c r="K13" s="61"/>
      <c r="L13" s="61"/>
      <c r="M13" s="61"/>
      <c r="N13" s="153"/>
      <c r="O13" s="61"/>
      <c r="Q13" s="97">
        <v>330001</v>
      </c>
      <c r="R13" s="231">
        <v>379000</v>
      </c>
    </row>
    <row r="14" spans="1:21" s="185" customFormat="1" ht="15" hidden="1" customHeight="1">
      <c r="A14" s="96" t="s">
        <v>187</v>
      </c>
      <c r="B14" s="96"/>
      <c r="C14" s="194">
        <f>IF(Info!B$10=2,Summary!R15,Summary!Q15)</f>
        <v>437995</v>
      </c>
      <c r="D14" s="97"/>
      <c r="E14" s="61">
        <f>SUMIF(Detail!$C$8:$C$45,$C14,Detail!E$8:E$45)</f>
        <v>0</v>
      </c>
      <c r="F14" s="99"/>
      <c r="G14" s="61">
        <f>SUMIF(Detail!$C$8:$C$45,$C14,Detail!F$8:F$45)</f>
        <v>0</v>
      </c>
      <c r="H14" s="99"/>
      <c r="I14" s="57">
        <f t="shared" si="0"/>
        <v>0</v>
      </c>
      <c r="J14" s="5"/>
      <c r="K14" s="61"/>
      <c r="L14" s="61"/>
      <c r="M14" s="61"/>
      <c r="N14" s="153"/>
      <c r="O14" s="61"/>
      <c r="Q14" s="194">
        <v>535900</v>
      </c>
      <c r="R14" s="195">
        <v>539600</v>
      </c>
    </row>
    <row r="15" spans="1:21" ht="15" customHeight="1">
      <c r="A15" s="96" t="s">
        <v>123</v>
      </c>
      <c r="B15" s="96"/>
      <c r="C15" s="97">
        <f>IF(Info!B$10=2,Summary!R16,Summary!Q16)</f>
        <v>330001</v>
      </c>
      <c r="D15" s="97"/>
      <c r="E15" s="61">
        <f>SUMIF(Detail!$C$8:$C$45,$C15,Detail!E$8:E$45)</f>
        <v>0</v>
      </c>
      <c r="F15" s="99"/>
      <c r="G15" s="61">
        <f>SUMIF(Detail!$C$8:$C$45,$C15,Detail!F$8:F$45)</f>
        <v>1287404</v>
      </c>
      <c r="H15" s="99"/>
      <c r="I15" s="89">
        <f t="shared" si="0"/>
        <v>-1287404</v>
      </c>
      <c r="J15" s="6"/>
      <c r="K15" s="61"/>
      <c r="L15" s="61"/>
      <c r="M15" s="61"/>
      <c r="N15" s="61"/>
      <c r="O15" s="61"/>
      <c r="P15" s="61"/>
      <c r="Q15" s="194">
        <v>437995</v>
      </c>
      <c r="R15" s="195">
        <v>493200</v>
      </c>
    </row>
    <row r="16" spans="1:21" ht="15" customHeight="1" thickBot="1">
      <c r="A16" s="101" t="s">
        <v>4</v>
      </c>
      <c r="B16" s="101"/>
      <c r="C16" s="102"/>
      <c r="D16" s="102"/>
      <c r="E16" s="103">
        <f>SUM(E8:E15)</f>
        <v>1952415</v>
      </c>
      <c r="F16" s="99"/>
      <c r="G16" s="103">
        <f>SUM(G8:G15)</f>
        <v>1952415</v>
      </c>
      <c r="H16" s="99"/>
      <c r="I16" s="90">
        <f>SUM(I8:I15)</f>
        <v>0</v>
      </c>
      <c r="J16" s="7"/>
      <c r="K16" s="98"/>
      <c r="L16" s="98"/>
      <c r="M16" s="98"/>
      <c r="N16" s="98"/>
      <c r="O16" s="98"/>
      <c r="P16" s="98"/>
      <c r="Q16" s="97">
        <v>330001</v>
      </c>
      <c r="R16">
        <v>379000</v>
      </c>
    </row>
    <row r="17" spans="1:9" ht="15" customHeight="1" thickTop="1"/>
    <row r="18" spans="1:9" ht="15" hidden="1" customHeight="1">
      <c r="A18" s="196" t="s">
        <v>192</v>
      </c>
    </row>
    <row r="19" spans="1:9" ht="105" hidden="1" customHeight="1">
      <c r="A19" s="272" t="s">
        <v>227</v>
      </c>
      <c r="B19" s="273"/>
      <c r="C19" s="273"/>
      <c r="D19" s="273"/>
      <c r="E19" s="273"/>
      <c r="F19" s="273"/>
      <c r="G19" s="273"/>
      <c r="H19" s="273"/>
      <c r="I19" s="273"/>
    </row>
    <row r="20" spans="1:9" ht="9.9499999999999993" hidden="1" customHeight="1"/>
    <row r="27" spans="1:9">
      <c r="A27" s="197"/>
    </row>
    <row r="28" spans="1:9">
      <c r="A28" s="197"/>
    </row>
    <row r="29" spans="1:9">
      <c r="A29" s="197"/>
    </row>
    <row r="30" spans="1:9">
      <c r="A30" s="197"/>
    </row>
  </sheetData>
  <sheetProtection algorithmName="SHA-512" hashValue="7mUvpUSiEbBg9YuQwrA6HtuKNqAPE+d3Ny7tjAhnpVawx6jsWSvDhlcYposeLSim23PaIpqAfveVrUkSsvcMYg==" saltValue="nW7R/34x7xd3Wb6ZTyRMaQ==" spinCount="100000" sheet="1" objects="1" scenarios="1"/>
  <mergeCells count="3">
    <mergeCell ref="K5:O5"/>
    <mergeCell ref="K6:O6"/>
    <mergeCell ref="A19:I19"/>
  </mergeCells>
  <phoneticPr fontId="9" type="noConversion"/>
  <pageMargins left="0.5" right="0.5" top="0.3" bottom="0.35" header="0.5" footer="0.15"/>
  <pageSetup orientation="portrait" r:id="rId1"/>
  <headerFooter>
    <oddFooter>&amp;L&amp;"Arial Narrow,Regular"&amp;9&amp;Z&amp;F&amp;R&amp;"Arial Narrow,Regular"&amp;9&amp;D</oddFooter>
  </headerFooter>
  <ignoredErrors>
    <ignoredError sqref="G1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
  <sheetViews>
    <sheetView showGridLines="0" workbookViewId="0">
      <selection activeCell="A100" sqref="A100"/>
    </sheetView>
  </sheetViews>
  <sheetFormatPr defaultRowHeight="12.75"/>
  <cols>
    <col min="1" max="1" width="2.7109375" customWidth="1"/>
    <col min="2" max="2" width="35.7109375" customWidth="1"/>
    <col min="3" max="3" width="4.28515625" hidden="1" customWidth="1"/>
    <col min="4" max="4" width="15.7109375" customWidth="1"/>
    <col min="5" max="5" width="1.28515625" customWidth="1"/>
    <col min="6" max="6" width="4.28515625" hidden="1" customWidth="1"/>
    <col min="7" max="7" width="15.7109375" customWidth="1"/>
    <col min="8" max="8" width="4.7109375" customWidth="1"/>
    <col min="9" max="9" width="1.7109375" customWidth="1"/>
    <col min="10" max="10" width="15.5703125" bestFit="1" customWidth="1"/>
    <col min="11" max="11" width="1.7109375" style="147" customWidth="1"/>
    <col min="12" max="12" width="11.85546875" bestFit="1" customWidth="1"/>
    <col min="13" max="13" width="1.28515625" customWidth="1"/>
    <col min="14" max="14" width="15.7109375" customWidth="1"/>
    <col min="15" max="15" width="1.28515625" customWidth="1"/>
    <col min="16" max="16" width="15.7109375" customWidth="1"/>
    <col min="17" max="17" width="1.28515625" customWidth="1"/>
    <col min="18" max="18" width="11.85546875" customWidth="1"/>
    <col min="19" max="19" width="1.28515625" customWidth="1"/>
    <col min="20" max="20" width="11.85546875" customWidth="1"/>
    <col min="21" max="21" width="1.28515625" customWidth="1"/>
    <col min="22" max="22" width="11.85546875" customWidth="1"/>
    <col min="23" max="23" width="1.28515625" customWidth="1"/>
    <col min="24" max="24" width="11.85546875" bestFit="1" customWidth="1"/>
    <col min="25" max="25" width="1.28515625" style="155" customWidth="1"/>
    <col min="26" max="26" width="10.28515625" bestFit="1" customWidth="1"/>
  </cols>
  <sheetData>
    <row r="1" spans="1:26">
      <c r="A1" s="1" t="str">
        <f>Info!B5</f>
        <v>APPALACHIAN STATE UNIVERSITY</v>
      </c>
    </row>
    <row r="2" spans="1:26">
      <c r="A2" s="1" t="s">
        <v>228</v>
      </c>
    </row>
    <row r="3" spans="1:26">
      <c r="A3" s="1" t="s">
        <v>193</v>
      </c>
    </row>
    <row r="4" spans="1:26" ht="18">
      <c r="A4" s="1"/>
      <c r="G4" s="67"/>
    </row>
    <row r="5" spans="1:26" ht="8.1" customHeight="1">
      <c r="A5" s="1"/>
    </row>
    <row r="6" spans="1:26">
      <c r="A6" s="2" t="s">
        <v>27</v>
      </c>
      <c r="B6" s="113" t="s">
        <v>145</v>
      </c>
      <c r="C6" s="114"/>
      <c r="D6" s="114"/>
      <c r="E6" s="114"/>
      <c r="F6" s="114"/>
      <c r="G6" s="114"/>
      <c r="H6" s="115"/>
    </row>
    <row r="7" spans="1:26">
      <c r="A7" s="2"/>
      <c r="B7" s="116" t="s">
        <v>229</v>
      </c>
      <c r="C7" s="70"/>
      <c r="D7" s="70"/>
      <c r="E7" s="70"/>
      <c r="F7" s="70"/>
      <c r="G7" s="70"/>
      <c r="H7" s="117"/>
      <c r="J7" s="8" t="s">
        <v>30</v>
      </c>
      <c r="K7" s="8"/>
    </row>
    <row r="8" spans="1:26">
      <c r="B8" s="118"/>
      <c r="C8" s="70"/>
      <c r="D8" s="70"/>
      <c r="E8" s="70"/>
      <c r="F8" s="70"/>
      <c r="G8" s="70"/>
      <c r="H8" s="117"/>
      <c r="J8" s="10" t="s">
        <v>144</v>
      </c>
      <c r="K8" s="10"/>
      <c r="L8" s="274"/>
      <c r="M8" s="274"/>
      <c r="N8" s="274"/>
      <c r="O8" s="153"/>
      <c r="P8" s="153"/>
      <c r="Q8" s="153"/>
      <c r="R8" s="153"/>
      <c r="S8" s="153"/>
      <c r="T8" s="153"/>
      <c r="U8" s="153"/>
      <c r="V8" s="153"/>
      <c r="W8" s="153"/>
      <c r="X8" s="153"/>
      <c r="Y8" s="153"/>
      <c r="Z8" s="153"/>
    </row>
    <row r="9" spans="1:26">
      <c r="B9" s="119"/>
      <c r="C9" s="120"/>
      <c r="D9" s="121" t="s">
        <v>6</v>
      </c>
      <c r="E9" s="120"/>
      <c r="F9" s="120"/>
      <c r="G9" s="121" t="s">
        <v>7</v>
      </c>
      <c r="H9" s="117"/>
      <c r="J9" s="8" t="s">
        <v>143</v>
      </c>
      <c r="K9" s="8"/>
      <c r="L9" s="274"/>
      <c r="M9" s="274"/>
      <c r="N9" s="274"/>
      <c r="O9" s="274"/>
      <c r="P9" s="274"/>
      <c r="Q9" s="153"/>
      <c r="R9" s="274"/>
      <c r="S9" s="274"/>
      <c r="T9" s="274"/>
      <c r="U9" s="274"/>
      <c r="V9" s="274"/>
      <c r="W9" s="153"/>
      <c r="X9" s="274"/>
      <c r="Y9" s="274"/>
      <c r="Z9" s="274"/>
    </row>
    <row r="10" spans="1:26">
      <c r="B10" s="119"/>
      <c r="C10" s="122" t="s">
        <v>14</v>
      </c>
      <c r="D10" s="123" t="s">
        <v>5</v>
      </c>
      <c r="E10" s="121"/>
      <c r="F10" s="123" t="s">
        <v>14</v>
      </c>
      <c r="G10" s="123" t="s">
        <v>5</v>
      </c>
      <c r="H10" s="117"/>
      <c r="J10" s="19" t="s">
        <v>230</v>
      </c>
      <c r="K10" s="8"/>
      <c r="L10" s="9"/>
      <c r="M10" s="153"/>
      <c r="N10" s="9"/>
      <c r="O10" s="153"/>
      <c r="P10" s="9"/>
      <c r="Q10" s="153"/>
      <c r="R10" s="9"/>
      <c r="S10" s="153"/>
      <c r="T10" s="9"/>
      <c r="U10" s="153"/>
      <c r="V10" s="9"/>
      <c r="W10" s="153"/>
      <c r="X10" s="9"/>
      <c r="Y10" s="153"/>
      <c r="Z10" s="9"/>
    </row>
    <row r="11" spans="1:26">
      <c r="B11" s="116" t="s">
        <v>8</v>
      </c>
      <c r="C11" s="124"/>
      <c r="D11" s="98"/>
      <c r="E11" s="70"/>
      <c r="F11" s="124"/>
      <c r="G11" s="125"/>
      <c r="H11" s="117"/>
      <c r="J11" s="20"/>
      <c r="K11" s="20"/>
      <c r="L11" s="153"/>
      <c r="M11" s="153"/>
      <c r="N11" s="153"/>
      <c r="O11" s="153"/>
      <c r="P11" s="153"/>
      <c r="Q11" s="153"/>
      <c r="R11" s="153"/>
      <c r="S11" s="153"/>
      <c r="T11" s="153"/>
      <c r="U11" s="153"/>
      <c r="V11" s="153"/>
      <c r="W11" s="153"/>
      <c r="X11" s="153"/>
      <c r="Y11" s="153"/>
      <c r="Z11" s="153"/>
    </row>
    <row r="12" spans="1:26">
      <c r="B12" s="116" t="s">
        <v>9</v>
      </c>
      <c r="C12" s="124">
        <v>1</v>
      </c>
      <c r="D12" s="98">
        <f>SUMIF(Detail!$D$17:$D$45,$C12,Detail!E$17:E$45)-SUMIF(Detail!$D$17:$D$45,$C12,Detail!F$17:F$45)</f>
        <v>176008</v>
      </c>
      <c r="E12" s="70"/>
      <c r="F12" s="124">
        <v>6</v>
      </c>
      <c r="G12" s="98">
        <f>SUMIF(Detail!$D$17:$D$45,$F12,Detail!F$17:F$45)-SUMIF(Detail!$D$17:$D$45,$F12,Detail!E$17:E$45)</f>
        <v>0</v>
      </c>
      <c r="H12" s="117"/>
      <c r="J12" s="20">
        <f>D12-G12</f>
        <v>176008</v>
      </c>
      <c r="K12" s="20"/>
      <c r="L12" s="98"/>
      <c r="M12" s="153"/>
      <c r="N12" s="98"/>
      <c r="O12" s="153"/>
      <c r="P12" s="98"/>
      <c r="Q12" s="153"/>
      <c r="R12" s="98"/>
      <c r="S12" s="153"/>
      <c r="T12" s="98"/>
      <c r="U12" s="153"/>
      <c r="V12" s="98"/>
      <c r="W12" s="153"/>
      <c r="X12" s="149"/>
      <c r="Y12" s="153"/>
      <c r="Z12" s="149"/>
    </row>
    <row r="13" spans="1:26">
      <c r="B13" s="119"/>
      <c r="C13" s="124"/>
      <c r="D13" s="126"/>
      <c r="E13" s="70"/>
      <c r="F13" s="124"/>
      <c r="G13" s="127"/>
      <c r="H13" s="117"/>
      <c r="L13" s="153"/>
      <c r="M13" s="153"/>
      <c r="N13" s="153"/>
      <c r="O13" s="153"/>
      <c r="P13" s="153"/>
      <c r="Q13" s="153"/>
      <c r="R13" s="153"/>
      <c r="S13" s="153"/>
      <c r="T13" s="153"/>
      <c r="U13" s="153"/>
      <c r="V13" s="153"/>
      <c r="W13" s="153"/>
      <c r="X13" s="153"/>
      <c r="Y13" s="153"/>
      <c r="Z13" s="149"/>
    </row>
    <row r="14" spans="1:26">
      <c r="B14" s="116" t="s">
        <v>129</v>
      </c>
      <c r="C14" s="124">
        <v>2</v>
      </c>
      <c r="D14" s="61">
        <f>Detail!E10+SUMIF(Detail!$D$17:$D$45,$C14,Detail!E$17:E$45)-SUMIF(Detail!$D$17:$D$45,$C14,Detail!F$17:F$45)</f>
        <v>0</v>
      </c>
      <c r="E14" s="70"/>
      <c r="F14" s="124">
        <v>7</v>
      </c>
      <c r="G14" s="61">
        <f>SUMIF(Detail!$D$17:$D$45,$F14,Detail!F$17:F$45)-SUMIF(Detail!$D$17:$D$45,$F14,Detail!E$17:E$45)</f>
        <v>0</v>
      </c>
      <c r="H14" s="117"/>
      <c r="J14" s="61">
        <f>D14-G14</f>
        <v>0</v>
      </c>
      <c r="K14" s="61"/>
      <c r="L14" s="61"/>
      <c r="M14" s="153"/>
      <c r="N14" s="61"/>
      <c r="O14" s="153"/>
      <c r="P14" s="61"/>
      <c r="Q14" s="153"/>
      <c r="R14" s="61"/>
      <c r="S14" s="153"/>
      <c r="T14" s="61"/>
      <c r="U14" s="153"/>
      <c r="V14" s="61"/>
      <c r="W14" s="153"/>
      <c r="X14" s="157"/>
      <c r="Y14" s="153"/>
      <c r="Z14" s="157"/>
    </row>
    <row r="15" spans="1:26">
      <c r="B15" s="119"/>
      <c r="C15" s="124"/>
      <c r="D15" s="126"/>
      <c r="E15" s="70"/>
      <c r="F15" s="124"/>
      <c r="G15" s="127"/>
      <c r="H15" s="117"/>
      <c r="L15" s="153"/>
      <c r="M15" s="153"/>
      <c r="Q15" s="153"/>
      <c r="R15" s="153"/>
      <c r="S15" s="153"/>
      <c r="T15" s="153"/>
      <c r="U15" s="153"/>
      <c r="V15" s="153"/>
      <c r="W15" s="153"/>
      <c r="X15" s="157"/>
      <c r="Y15" s="153"/>
      <c r="Z15" s="149"/>
    </row>
    <row r="16" spans="1:26" ht="12.75" customHeight="1">
      <c r="B16" s="255" t="s">
        <v>10</v>
      </c>
      <c r="C16" s="124"/>
      <c r="D16" s="61"/>
      <c r="E16" s="70"/>
      <c r="F16" s="124"/>
      <c r="G16" s="61"/>
      <c r="H16" s="117"/>
      <c r="J16" s="21"/>
      <c r="K16" s="21"/>
      <c r="L16" s="153"/>
      <c r="M16" s="153"/>
      <c r="N16" s="280"/>
      <c r="O16" s="280"/>
      <c r="P16" s="280"/>
      <c r="Q16" s="153"/>
      <c r="R16" s="153"/>
      <c r="S16" s="153"/>
      <c r="T16" s="153"/>
      <c r="U16" s="153"/>
      <c r="V16" s="153"/>
      <c r="W16" s="153"/>
      <c r="X16" s="157"/>
      <c r="Y16" s="153"/>
      <c r="Z16" s="149"/>
    </row>
    <row r="17" spans="2:26">
      <c r="B17" s="255" t="s">
        <v>231</v>
      </c>
      <c r="C17" s="124"/>
      <c r="D17" s="126"/>
      <c r="E17" s="70"/>
      <c r="F17" s="124"/>
      <c r="G17" s="127"/>
      <c r="H17" s="117"/>
      <c r="L17" s="153"/>
      <c r="M17" s="153"/>
      <c r="N17" s="193"/>
      <c r="O17" s="188"/>
      <c r="P17" s="193"/>
      <c r="Q17" s="153"/>
      <c r="R17" s="153"/>
      <c r="S17" s="153"/>
      <c r="T17" s="153"/>
      <c r="U17" s="153"/>
      <c r="V17" s="153"/>
      <c r="W17" s="153"/>
      <c r="X17" s="157"/>
      <c r="Y17" s="153"/>
      <c r="Z17" s="149"/>
    </row>
    <row r="18" spans="2:26">
      <c r="B18" s="255" t="s">
        <v>137</v>
      </c>
      <c r="C18" s="124">
        <v>3</v>
      </c>
      <c r="D18" s="61">
        <f>SUMIF(Detail!$D$17:$D$45,$C18,Detail!E$17:E$45)-SUMIF(Detail!$D$17:$D$45,$C18,Detail!F$17:F$45)</f>
        <v>140707</v>
      </c>
      <c r="E18" s="70"/>
      <c r="F18" s="124">
        <v>8</v>
      </c>
      <c r="G18" s="61">
        <v>0</v>
      </c>
      <c r="H18" s="117"/>
      <c r="J18" s="61">
        <f>D18-G18</f>
        <v>140707</v>
      </c>
      <c r="K18" s="61"/>
      <c r="L18" s="61"/>
      <c r="M18" s="153"/>
      <c r="N18" s="61"/>
      <c r="O18" s="153"/>
      <c r="P18" s="61"/>
      <c r="Q18" s="153"/>
      <c r="R18" s="61"/>
      <c r="S18" s="153"/>
      <c r="T18" s="61"/>
      <c r="U18" s="153"/>
      <c r="V18" s="61"/>
      <c r="W18" s="153"/>
      <c r="X18" s="157"/>
      <c r="Y18" s="153"/>
      <c r="Z18" s="157"/>
    </row>
    <row r="19" spans="2:26">
      <c r="B19" s="119"/>
      <c r="C19" s="124"/>
      <c r="D19" s="126"/>
      <c r="E19" s="70"/>
      <c r="F19" s="124"/>
      <c r="G19" s="127"/>
      <c r="H19" s="117"/>
      <c r="L19" s="153"/>
      <c r="M19" s="153"/>
      <c r="N19" s="153"/>
      <c r="O19" s="153"/>
      <c r="P19" s="153"/>
      <c r="Q19" s="153"/>
      <c r="R19" s="153"/>
      <c r="S19" s="153"/>
      <c r="T19" s="153"/>
      <c r="U19" s="153"/>
      <c r="V19" s="153"/>
      <c r="W19" s="153"/>
      <c r="X19" s="157"/>
      <c r="Y19" s="153"/>
      <c r="Z19" s="149"/>
    </row>
    <row r="20" spans="2:26">
      <c r="B20" s="116" t="s">
        <v>19</v>
      </c>
      <c r="C20" s="124"/>
      <c r="D20" s="61"/>
      <c r="E20" s="70"/>
      <c r="F20" s="124"/>
      <c r="G20" s="61"/>
      <c r="H20" s="117"/>
      <c r="J20" s="21"/>
      <c r="K20" s="21"/>
      <c r="L20" s="153"/>
      <c r="M20" s="153"/>
      <c r="N20" s="153"/>
      <c r="O20" s="153"/>
      <c r="P20" s="153"/>
      <c r="Q20" s="153"/>
      <c r="R20" s="153"/>
      <c r="S20" s="153"/>
      <c r="T20" s="153"/>
      <c r="U20" s="153"/>
      <c r="V20" s="153"/>
      <c r="W20" s="153"/>
      <c r="X20" s="157"/>
      <c r="Y20" s="153"/>
      <c r="Z20" s="149"/>
    </row>
    <row r="21" spans="2:26">
      <c r="B21" s="116" t="s">
        <v>20</v>
      </c>
      <c r="C21" s="124"/>
      <c r="D21" s="126"/>
      <c r="E21" s="70"/>
      <c r="F21" s="124"/>
      <c r="G21" s="127"/>
      <c r="H21" s="117"/>
      <c r="L21" s="153"/>
      <c r="M21" s="153"/>
      <c r="N21" s="153"/>
      <c r="O21" s="153"/>
      <c r="P21" s="153"/>
      <c r="Q21" s="153"/>
      <c r="R21" s="153"/>
      <c r="S21" s="153"/>
      <c r="T21" s="153"/>
      <c r="U21" s="153"/>
      <c r="V21" s="153"/>
      <c r="W21" s="153"/>
      <c r="X21" s="157"/>
      <c r="Y21" s="153"/>
      <c r="Z21" s="149"/>
    </row>
    <row r="22" spans="2:26">
      <c r="B22" s="116" t="s">
        <v>21</v>
      </c>
      <c r="C22" s="124">
        <v>4</v>
      </c>
      <c r="D22" s="61">
        <f>SUMIF(Detail!$D$17:$D$45,$C22,Detail!E$17:E$45)-SUMIF(Detail!$D$17:$D$45,$C22,Detail!F$17:F$45)</f>
        <v>0</v>
      </c>
      <c r="E22" s="70"/>
      <c r="F22" s="124">
        <v>9</v>
      </c>
      <c r="G22" s="61">
        <f>SUMIF(Detail!$D$17:$D$45,$F22,Detail!F$17:F$45)-SUMIF(Detail!$D$17:$D$45,$F22,Detail!E$17:E$45)</f>
        <v>9232</v>
      </c>
      <c r="H22" s="117"/>
      <c r="J22" s="100">
        <f>D22-G22</f>
        <v>-9232</v>
      </c>
      <c r="K22" s="61"/>
      <c r="L22" s="61"/>
      <c r="M22" s="153"/>
      <c r="N22" s="61"/>
      <c r="O22" s="153"/>
      <c r="P22" s="61"/>
      <c r="Q22" s="153"/>
      <c r="R22" s="61"/>
      <c r="S22" s="153"/>
      <c r="T22" s="61"/>
      <c r="U22" s="153"/>
      <c r="V22" s="61"/>
      <c r="W22" s="153"/>
      <c r="X22" s="157"/>
      <c r="Y22" s="153"/>
      <c r="Z22" s="157"/>
    </row>
    <row r="23" spans="2:26" ht="13.5" thickBot="1">
      <c r="B23" s="116"/>
      <c r="C23" s="124"/>
      <c r="D23" s="126"/>
      <c r="E23" s="70"/>
      <c r="F23" s="124"/>
      <c r="G23" s="127"/>
      <c r="H23" s="117"/>
      <c r="J23" s="108">
        <f>J12+J14+J18+J22</f>
        <v>307483</v>
      </c>
      <c r="K23" s="149"/>
      <c r="L23" s="153"/>
      <c r="M23" s="153"/>
      <c r="N23" s="153"/>
      <c r="O23" s="153"/>
      <c r="P23" s="153"/>
      <c r="Q23" s="153"/>
      <c r="R23" s="153"/>
      <c r="S23" s="153"/>
      <c r="T23" s="153"/>
      <c r="U23" s="153"/>
      <c r="V23" s="153"/>
      <c r="W23" s="153"/>
      <c r="X23" s="149"/>
      <c r="Y23" s="153"/>
      <c r="Z23" s="149"/>
    </row>
    <row r="24" spans="2:26" ht="13.5" thickTop="1">
      <c r="B24" s="116" t="s">
        <v>11</v>
      </c>
      <c r="C24" s="124"/>
      <c r="D24" s="61"/>
      <c r="E24" s="70"/>
      <c r="F24" s="124"/>
      <c r="G24" s="61"/>
      <c r="H24" s="117"/>
      <c r="J24" s="21"/>
      <c r="K24" s="21"/>
      <c r="L24" s="153"/>
      <c r="M24" s="153"/>
      <c r="N24" s="153"/>
      <c r="O24" s="153"/>
      <c r="P24" s="153"/>
      <c r="Q24" s="153"/>
      <c r="R24" s="153"/>
      <c r="S24" s="153"/>
      <c r="T24" s="153"/>
      <c r="U24" s="153"/>
      <c r="V24" s="153"/>
      <c r="W24" s="153"/>
      <c r="X24" s="157"/>
      <c r="Y24" s="153"/>
      <c r="Z24" s="153"/>
    </row>
    <row r="25" spans="2:26" ht="13.5">
      <c r="B25" s="116" t="s">
        <v>12</v>
      </c>
      <c r="C25" s="124">
        <v>5</v>
      </c>
      <c r="D25" s="61">
        <f>SUMIF(Detail!$D$17:$D$45,$C25,Detail!E$17:E$45)</f>
        <v>0</v>
      </c>
      <c r="E25" s="70"/>
      <c r="F25" s="124"/>
      <c r="G25" s="61">
        <v>0</v>
      </c>
      <c r="H25" s="117"/>
      <c r="J25" s="61"/>
      <c r="K25" s="61"/>
      <c r="L25" s="158"/>
      <c r="M25" s="153"/>
      <c r="N25" s="158"/>
      <c r="O25" s="153"/>
      <c r="P25" s="61"/>
      <c r="Q25" s="153"/>
      <c r="R25" s="61"/>
      <c r="S25" s="153"/>
      <c r="T25" s="61"/>
      <c r="U25" s="153"/>
      <c r="V25" s="61"/>
      <c r="W25" s="153"/>
      <c r="X25" s="157"/>
      <c r="Y25" s="153"/>
      <c r="Z25" s="153"/>
    </row>
    <row r="26" spans="2:26" ht="14.45" customHeight="1" thickBot="1">
      <c r="B26" s="128" t="s">
        <v>13</v>
      </c>
      <c r="C26" s="70"/>
      <c r="D26" s="129">
        <f>SUM(D12:D25)</f>
        <v>316715</v>
      </c>
      <c r="E26" s="70"/>
      <c r="F26" s="70"/>
      <c r="G26" s="129">
        <f>SUM(G12:G25)</f>
        <v>9232</v>
      </c>
      <c r="H26" s="117"/>
      <c r="J26" s="10"/>
      <c r="K26" s="10"/>
      <c r="L26" s="64"/>
      <c r="M26" s="153"/>
      <c r="N26" s="64"/>
      <c r="O26" s="153"/>
      <c r="P26" s="64"/>
      <c r="Q26" s="153"/>
      <c r="R26" s="64"/>
      <c r="S26" s="153"/>
      <c r="T26" s="64"/>
      <c r="U26" s="153"/>
      <c r="V26" s="64"/>
      <c r="W26" s="153"/>
      <c r="X26" s="153"/>
      <c r="Y26" s="153"/>
      <c r="Z26" s="153"/>
    </row>
    <row r="27" spans="2:26" ht="14.45" customHeight="1" thickTop="1">
      <c r="B27" s="128"/>
      <c r="C27" s="70"/>
      <c r="D27" s="64"/>
      <c r="E27" s="70"/>
      <c r="F27" s="70"/>
      <c r="G27" s="64"/>
      <c r="H27" s="117"/>
      <c r="J27" s="64"/>
      <c r="K27" s="64"/>
    </row>
    <row r="28" spans="2:26" ht="63.95" customHeight="1">
      <c r="B28" s="284" t="s">
        <v>232</v>
      </c>
      <c r="C28" s="285"/>
      <c r="D28" s="285"/>
      <c r="E28" s="285"/>
      <c r="F28" s="285"/>
      <c r="G28" s="285"/>
      <c r="H28" s="286"/>
      <c r="J28" s="64"/>
      <c r="K28" s="64"/>
      <c r="L28" s="283"/>
      <c r="M28" s="283"/>
      <c r="N28" s="283"/>
      <c r="O28" s="283"/>
      <c r="P28" s="283"/>
      <c r="Q28" s="283"/>
    </row>
    <row r="29" spans="2:26">
      <c r="B29" s="128"/>
      <c r="C29" s="70"/>
      <c r="D29" s="64"/>
      <c r="E29" s="70"/>
      <c r="F29" s="70"/>
      <c r="G29" s="64"/>
      <c r="H29" s="117"/>
    </row>
    <row r="30" spans="2:26">
      <c r="B30" s="130" t="s">
        <v>233</v>
      </c>
      <c r="C30" s="70"/>
      <c r="D30" s="64"/>
      <c r="E30" s="70"/>
      <c r="F30" s="70"/>
      <c r="G30" s="64"/>
      <c r="H30" s="117"/>
    </row>
    <row r="31" spans="2:26" ht="12.75" customHeight="1">
      <c r="B31" s="131"/>
      <c r="C31" s="132"/>
      <c r="D31" s="132"/>
      <c r="E31" s="132"/>
      <c r="F31" s="132"/>
      <c r="G31" s="132"/>
      <c r="H31" s="133"/>
    </row>
    <row r="32" spans="2:26" ht="15.75" customHeight="1">
      <c r="B32" s="2"/>
    </row>
    <row r="33" spans="1:25">
      <c r="A33" s="2" t="s">
        <v>28</v>
      </c>
      <c r="B33" s="113" t="s">
        <v>146</v>
      </c>
      <c r="C33" s="114"/>
      <c r="D33" s="114"/>
      <c r="E33" s="114"/>
      <c r="F33" s="114"/>
      <c r="G33" s="114"/>
      <c r="H33" s="115"/>
    </row>
    <row r="34" spans="1:25">
      <c r="A34" s="2"/>
      <c r="B34" s="116" t="s">
        <v>147</v>
      </c>
      <c r="C34" s="70"/>
      <c r="D34" s="70"/>
      <c r="E34" s="70"/>
      <c r="F34" s="70"/>
      <c r="G34" s="70"/>
      <c r="H34" s="117"/>
    </row>
    <row r="35" spans="1:25" s="107" customFormat="1">
      <c r="A35" s="2"/>
      <c r="B35" s="116" t="s">
        <v>234</v>
      </c>
      <c r="C35" s="70"/>
      <c r="D35" s="70"/>
      <c r="E35" s="70"/>
      <c r="F35" s="70"/>
      <c r="G35" s="70"/>
      <c r="H35" s="117"/>
      <c r="K35" s="147"/>
      <c r="L35" s="153"/>
      <c r="M35" s="153"/>
      <c r="N35" s="153"/>
      <c r="O35" s="153"/>
      <c r="P35" s="153"/>
      <c r="Y35" s="155"/>
    </row>
    <row r="36" spans="1:25">
      <c r="B36" s="134"/>
      <c r="C36" s="70"/>
      <c r="D36" s="70"/>
      <c r="E36" s="70"/>
      <c r="F36" s="70"/>
      <c r="G36" s="70"/>
      <c r="H36" s="117"/>
      <c r="L36" s="9"/>
      <c r="M36" s="153"/>
      <c r="N36" s="9"/>
      <c r="O36" s="153"/>
      <c r="P36" s="9"/>
    </row>
    <row r="37" spans="1:25">
      <c r="B37" s="116" t="s">
        <v>29</v>
      </c>
      <c r="C37" s="70"/>
      <c r="D37" s="121"/>
      <c r="E37" s="70"/>
      <c r="F37" s="70"/>
      <c r="G37" s="70"/>
      <c r="H37" s="117"/>
      <c r="L37" s="153"/>
      <c r="M37" s="153"/>
      <c r="N37" s="153"/>
      <c r="O37" s="153"/>
      <c r="P37" s="153"/>
    </row>
    <row r="38" spans="1:25" ht="13.5">
      <c r="B38" s="134">
        <v>2019</v>
      </c>
      <c r="C38" s="70"/>
      <c r="D38" s="98">
        <f>VLOOKUP(Info!B9,Data!B:X,16,FALSE)</f>
        <v>90787</v>
      </c>
      <c r="E38" s="70"/>
      <c r="F38" s="135"/>
      <c r="G38" s="70"/>
      <c r="H38" s="117"/>
      <c r="L38" s="98"/>
      <c r="M38" s="153"/>
      <c r="N38" s="98"/>
      <c r="O38" s="153"/>
      <c r="P38" s="149"/>
    </row>
    <row r="39" spans="1:25" ht="13.5">
      <c r="B39" s="128">
        <v>2020</v>
      </c>
      <c r="C39" s="70"/>
      <c r="D39" s="136">
        <f>VLOOKUP(Info!B9,Data!B:X,17,FALSE)</f>
        <v>90787</v>
      </c>
      <c r="E39" s="70"/>
      <c r="F39" s="135"/>
      <c r="G39" s="70"/>
      <c r="H39" s="117"/>
      <c r="L39" s="136"/>
      <c r="M39" s="153"/>
      <c r="N39" s="136"/>
      <c r="O39" s="153"/>
      <c r="P39" s="136"/>
    </row>
    <row r="40" spans="1:25" ht="13.5">
      <c r="B40" s="128">
        <v>2021</v>
      </c>
      <c r="C40" s="70"/>
      <c r="D40" s="136">
        <f>VLOOKUP(Info!B9,Data!B:X,18,FALSE)</f>
        <v>90756</v>
      </c>
      <c r="E40" s="70"/>
      <c r="F40" s="135"/>
      <c r="G40" s="70"/>
      <c r="H40" s="117"/>
      <c r="L40" s="136"/>
      <c r="M40" s="153"/>
      <c r="N40" s="136"/>
      <c r="O40" s="153"/>
      <c r="P40" s="136"/>
    </row>
    <row r="41" spans="1:25" ht="13.5">
      <c r="B41" s="128">
        <v>2022</v>
      </c>
      <c r="C41" s="70"/>
      <c r="D41" s="136">
        <f>VLOOKUP(Info!B9,Data!B:X,19,FALSE)+VLOOKUP(Info!B9,Data!B:W,22,FALSE)</f>
        <v>35153</v>
      </c>
      <c r="E41" s="70"/>
      <c r="F41" s="135"/>
      <c r="G41" s="120"/>
      <c r="H41" s="117"/>
      <c r="J41" s="156" t="s">
        <v>131</v>
      </c>
      <c r="K41" s="2"/>
      <c r="L41" s="136"/>
      <c r="M41" s="153"/>
      <c r="N41" s="136"/>
      <c r="O41" s="153"/>
      <c r="P41" s="136"/>
    </row>
    <row r="42" spans="1:25" ht="13.5">
      <c r="B42" s="128">
        <v>2023</v>
      </c>
      <c r="C42" s="70"/>
      <c r="D42" s="137">
        <f>VLOOKUP(Info!B9,Data!B:W,20,FALSE)</f>
        <v>0</v>
      </c>
      <c r="E42" s="70"/>
      <c r="F42" s="135"/>
      <c r="G42" s="70"/>
      <c r="H42" s="117"/>
      <c r="L42" s="136"/>
      <c r="M42" s="153"/>
      <c r="N42" s="136"/>
      <c r="O42" s="153"/>
      <c r="P42" s="136"/>
    </row>
    <row r="43" spans="1:25" ht="14.45" customHeight="1" thickBot="1">
      <c r="B43" s="138" t="s">
        <v>13</v>
      </c>
      <c r="C43" s="70"/>
      <c r="D43" s="139">
        <f>SUM(D38:D42)</f>
        <v>307483</v>
      </c>
      <c r="E43" s="70"/>
      <c r="F43" s="135"/>
      <c r="G43" s="70"/>
      <c r="H43" s="117"/>
      <c r="L43" s="149"/>
      <c r="M43" s="153"/>
      <c r="N43" s="149"/>
      <c r="O43" s="153"/>
      <c r="P43" s="149"/>
    </row>
    <row r="44" spans="1:25" ht="8.1" customHeight="1" thickTop="1">
      <c r="B44" s="119"/>
      <c r="C44" s="70"/>
      <c r="D44" s="70"/>
      <c r="E44" s="70"/>
      <c r="F44" s="70"/>
      <c r="G44" s="70"/>
      <c r="H44" s="117"/>
    </row>
    <row r="45" spans="1:25">
      <c r="B45" s="116" t="s">
        <v>235</v>
      </c>
      <c r="C45" s="70"/>
      <c r="D45" s="70"/>
      <c r="E45" s="70"/>
      <c r="F45" s="70"/>
      <c r="G45" s="70"/>
      <c r="H45" s="117"/>
    </row>
    <row r="46" spans="1:25">
      <c r="B46" s="116" t="s">
        <v>236</v>
      </c>
      <c r="C46" s="70"/>
      <c r="D46" s="70"/>
      <c r="E46" s="70"/>
      <c r="F46" s="70"/>
      <c r="G46" s="70"/>
      <c r="H46" s="117"/>
    </row>
    <row r="47" spans="1:25">
      <c r="B47" s="116"/>
      <c r="C47" s="70"/>
      <c r="D47" s="70"/>
      <c r="E47" s="70"/>
      <c r="F47" s="70"/>
      <c r="G47" s="70"/>
      <c r="H47" s="117"/>
    </row>
    <row r="48" spans="1:25">
      <c r="B48" s="140" t="s">
        <v>237</v>
      </c>
      <c r="C48" s="70"/>
      <c r="D48" s="70"/>
      <c r="E48" s="70"/>
      <c r="F48" s="70"/>
      <c r="G48" s="70"/>
      <c r="H48" s="117"/>
    </row>
    <row r="49" spans="1:25" ht="12.75" customHeight="1">
      <c r="B49" s="141"/>
      <c r="C49" s="132"/>
      <c r="D49" s="132"/>
      <c r="E49" s="132"/>
      <c r="F49" s="132"/>
      <c r="G49" s="132"/>
      <c r="H49" s="133"/>
    </row>
    <row r="50" spans="1:25" ht="15.75" customHeight="1"/>
    <row r="51" spans="1:25">
      <c r="A51" s="2" t="s">
        <v>31</v>
      </c>
      <c r="B51" s="113" t="s">
        <v>148</v>
      </c>
      <c r="C51" s="114"/>
      <c r="D51" s="114"/>
      <c r="E51" s="114"/>
      <c r="F51" s="114"/>
      <c r="G51" s="114"/>
      <c r="H51" s="115"/>
    </row>
    <row r="52" spans="1:25">
      <c r="A52" s="2"/>
      <c r="B52" s="116" t="s">
        <v>238</v>
      </c>
      <c r="C52" s="70"/>
      <c r="D52" s="70"/>
      <c r="E52" s="70"/>
      <c r="F52" s="70"/>
      <c r="G52" s="70"/>
      <c r="H52" s="117"/>
    </row>
    <row r="53" spans="1:25" s="107" customFormat="1">
      <c r="A53" s="2"/>
      <c r="B53" s="142" t="s">
        <v>197</v>
      </c>
      <c r="C53" s="70"/>
      <c r="D53" s="70"/>
      <c r="E53" s="70"/>
      <c r="F53" s="70"/>
      <c r="G53" s="70"/>
      <c r="H53" s="117"/>
      <c r="K53" s="147"/>
      <c r="Y53" s="155"/>
    </row>
    <row r="54" spans="1:25">
      <c r="B54" s="119"/>
      <c r="C54" s="70"/>
      <c r="D54" s="70"/>
      <c r="E54" s="70"/>
      <c r="F54" s="70"/>
      <c r="G54" s="70"/>
      <c r="H54" s="117"/>
      <c r="L54" s="9"/>
      <c r="M54" s="153"/>
      <c r="N54" s="9"/>
      <c r="O54" s="153"/>
      <c r="P54" s="9"/>
    </row>
    <row r="55" spans="1:25" ht="14.25" thickBot="1">
      <c r="B55" s="116" t="s">
        <v>32</v>
      </c>
      <c r="C55" s="70"/>
      <c r="D55" s="143">
        <f>D25</f>
        <v>0</v>
      </c>
      <c r="E55" s="70"/>
      <c r="F55" s="135"/>
      <c r="G55" s="120"/>
      <c r="H55" s="117"/>
      <c r="J55" s="156" t="s">
        <v>130</v>
      </c>
      <c r="K55" s="2"/>
      <c r="L55" s="157"/>
      <c r="M55" s="153"/>
      <c r="N55" s="157"/>
      <c r="O55" s="153"/>
      <c r="P55" s="149"/>
    </row>
    <row r="56" spans="1:25" ht="13.5" thickTop="1">
      <c r="B56" s="116"/>
      <c r="C56" s="70"/>
      <c r="D56" s="98"/>
      <c r="E56" s="70"/>
      <c r="F56" s="70"/>
      <c r="G56" s="70"/>
      <c r="H56" s="117"/>
    </row>
    <row r="57" spans="1:25">
      <c r="B57" s="140" t="s">
        <v>239</v>
      </c>
      <c r="C57" s="70"/>
      <c r="D57" s="98"/>
      <c r="E57" s="70"/>
      <c r="F57" s="70"/>
      <c r="G57" s="70"/>
      <c r="H57" s="117"/>
    </row>
    <row r="58" spans="1:25" ht="12.75" customHeight="1">
      <c r="B58" s="131"/>
      <c r="C58" s="132"/>
      <c r="D58" s="132"/>
      <c r="E58" s="132"/>
      <c r="F58" s="132"/>
      <c r="G58" s="132"/>
      <c r="H58" s="133"/>
    </row>
    <row r="59" spans="1:25" ht="15.75" customHeight="1"/>
    <row r="60" spans="1:25">
      <c r="A60" s="2" t="s">
        <v>121</v>
      </c>
      <c r="B60" s="113" t="s">
        <v>536</v>
      </c>
      <c r="C60" s="114"/>
      <c r="D60" s="114"/>
      <c r="E60" s="114"/>
      <c r="F60" s="114"/>
      <c r="G60" s="114"/>
      <c r="H60" s="115"/>
    </row>
    <row r="61" spans="1:25">
      <c r="B61" s="119"/>
      <c r="C61" s="70"/>
      <c r="D61" s="70"/>
      <c r="E61" s="70"/>
      <c r="F61" s="70"/>
      <c r="G61" s="70"/>
      <c r="H61" s="117"/>
    </row>
    <row r="62" spans="1:25">
      <c r="B62" s="144"/>
      <c r="C62" s="124"/>
      <c r="D62" s="233" t="s">
        <v>240</v>
      </c>
      <c r="E62" s="124"/>
      <c r="F62" s="124"/>
      <c r="G62" s="124"/>
      <c r="H62" s="117"/>
      <c r="I62" s="22"/>
      <c r="J62" s="22"/>
      <c r="K62" s="22"/>
      <c r="L62" s="280"/>
      <c r="M62" s="280"/>
      <c r="N62" s="280"/>
      <c r="O62" s="280"/>
      <c r="P62" s="280"/>
    </row>
    <row r="63" spans="1:25">
      <c r="B63" s="144"/>
      <c r="C63" s="124"/>
      <c r="D63" s="254" t="s">
        <v>532</v>
      </c>
      <c r="E63" s="124"/>
      <c r="F63" s="124"/>
      <c r="G63" s="124"/>
      <c r="H63" s="117"/>
      <c r="I63" s="9"/>
      <c r="J63" s="9"/>
      <c r="K63" s="9"/>
      <c r="L63" s="9"/>
      <c r="M63" s="153"/>
      <c r="N63" s="9"/>
      <c r="O63" s="153"/>
      <c r="P63" s="8"/>
    </row>
    <row r="64" spans="1:25">
      <c r="B64" s="116" t="s">
        <v>198</v>
      </c>
      <c r="C64" s="70"/>
      <c r="D64" s="145">
        <v>0</v>
      </c>
      <c r="E64" s="70"/>
      <c r="F64" s="70"/>
      <c r="G64" s="70"/>
      <c r="H64" s="117"/>
      <c r="L64" s="145"/>
      <c r="M64" s="153"/>
      <c r="N64" s="145"/>
      <c r="O64" s="153"/>
      <c r="P64" s="149"/>
    </row>
    <row r="65" spans="2:25">
      <c r="B65" s="119" t="s">
        <v>149</v>
      </c>
      <c r="C65" s="70"/>
      <c r="D65" s="136">
        <f>Detail!E12</f>
        <v>631625</v>
      </c>
      <c r="E65" s="70"/>
      <c r="F65" s="70"/>
      <c r="G65" s="70"/>
      <c r="H65" s="117"/>
      <c r="L65" s="136"/>
      <c r="M65" s="153"/>
      <c r="N65" s="136"/>
      <c r="O65" s="153"/>
      <c r="P65" s="136"/>
    </row>
    <row r="66" spans="2:25">
      <c r="B66" s="230" t="s">
        <v>122</v>
      </c>
      <c r="C66" s="70"/>
      <c r="D66" s="136">
        <f>Detail!E29</f>
        <v>10312</v>
      </c>
      <c r="E66" s="70"/>
      <c r="F66" s="70"/>
      <c r="G66" s="70"/>
      <c r="H66" s="117"/>
      <c r="L66" s="136"/>
      <c r="M66" s="153"/>
      <c r="N66" s="136"/>
      <c r="O66" s="153"/>
      <c r="P66" s="136"/>
    </row>
    <row r="67" spans="2:25">
      <c r="B67" s="255" t="s">
        <v>142</v>
      </c>
      <c r="C67" s="70"/>
      <c r="D67" s="136">
        <f>-Detail!F19</f>
        <v>0</v>
      </c>
      <c r="E67" s="70"/>
      <c r="F67" s="70"/>
      <c r="G67" s="70"/>
      <c r="H67" s="117"/>
      <c r="L67" s="136"/>
      <c r="M67" s="153"/>
      <c r="N67" s="136"/>
      <c r="O67" s="153"/>
      <c r="P67" s="136"/>
    </row>
    <row r="68" spans="2:25" ht="14.45" customHeight="1" thickBot="1">
      <c r="B68" s="116" t="s">
        <v>199</v>
      </c>
      <c r="C68" s="70"/>
      <c r="D68" s="139">
        <f>SUM(D64:D67)</f>
        <v>641937</v>
      </c>
      <c r="E68" s="70"/>
      <c r="F68" s="70"/>
      <c r="G68" s="70"/>
      <c r="H68" s="117"/>
      <c r="L68" s="145"/>
      <c r="M68" s="153"/>
      <c r="N68" s="145"/>
      <c r="O68" s="153"/>
      <c r="P68" s="145"/>
      <c r="Q68" s="151"/>
      <c r="R68" s="154"/>
    </row>
    <row r="69" spans="2:25" ht="13.5" thickTop="1">
      <c r="B69" s="119"/>
      <c r="C69" s="70"/>
      <c r="D69" s="145"/>
      <c r="E69" s="70"/>
      <c r="F69" s="70"/>
      <c r="G69" s="70"/>
      <c r="H69" s="117"/>
      <c r="L69" s="153"/>
      <c r="M69" s="153"/>
      <c r="N69" s="153"/>
      <c r="O69" s="153"/>
      <c r="P69" s="153"/>
      <c r="Q69" s="151"/>
      <c r="R69" s="154"/>
    </row>
    <row r="70" spans="2:25">
      <c r="B70" s="116" t="s">
        <v>150</v>
      </c>
      <c r="C70" s="70"/>
      <c r="D70" s="146">
        <v>0</v>
      </c>
      <c r="E70" s="70"/>
      <c r="F70" s="70"/>
      <c r="G70" s="70"/>
      <c r="H70" s="117"/>
      <c r="L70" s="145"/>
      <c r="M70" s="153"/>
      <c r="N70" s="145"/>
      <c r="O70" s="153"/>
      <c r="P70" s="145"/>
      <c r="Q70" s="151"/>
    </row>
    <row r="71" spans="2:25">
      <c r="B71" s="119"/>
      <c r="C71" s="70"/>
      <c r="D71" s="70"/>
      <c r="E71" s="70"/>
      <c r="F71" s="70"/>
      <c r="G71" s="70"/>
      <c r="H71" s="117"/>
    </row>
    <row r="72" spans="2:25" s="106" customFormat="1" ht="93" customHeight="1">
      <c r="B72" s="278" t="s">
        <v>534</v>
      </c>
      <c r="C72" s="268"/>
      <c r="D72" s="268"/>
      <c r="E72" s="268"/>
      <c r="F72" s="268"/>
      <c r="G72" s="268"/>
      <c r="H72" s="279"/>
      <c r="K72" s="147"/>
      <c r="L72" s="281"/>
      <c r="M72" s="281"/>
      <c r="N72" s="281"/>
      <c r="O72" s="281"/>
      <c r="P72" s="281"/>
      <c r="Y72" s="155"/>
    </row>
    <row r="73" spans="2:25" ht="92.1" customHeight="1">
      <c r="B73" s="275" t="s">
        <v>535</v>
      </c>
      <c r="C73" s="276"/>
      <c r="D73" s="276"/>
      <c r="E73" s="276"/>
      <c r="F73" s="276"/>
      <c r="G73" s="276"/>
      <c r="H73" s="277"/>
      <c r="L73" s="282"/>
      <c r="M73" s="282"/>
      <c r="N73" s="282"/>
      <c r="O73" s="282"/>
      <c r="P73" s="282"/>
    </row>
    <row r="74" spans="2:25" ht="12.75" customHeight="1">
      <c r="B74" s="131"/>
      <c r="C74" s="132"/>
      <c r="D74" s="132"/>
      <c r="E74" s="132"/>
      <c r="F74" s="132"/>
      <c r="G74" s="132"/>
      <c r="H74" s="133"/>
    </row>
    <row r="81" spans="7:7">
      <c r="G81" s="20"/>
    </row>
  </sheetData>
  <sheetProtection algorithmName="SHA-512" hashValue="auQm6mVDkjomQRMDGA704mhzQJGjoSsvTlVkiw8KU9e0wRK7Nv0TXcTK59UnoDG8RUF6av8DIr8dF2lV1kq0XQ==" saltValue="WlOduk47Jww+i15HPx1BbQ==" spinCount="100000" sheet="1" objects="1" scenarios="1"/>
  <mergeCells count="12">
    <mergeCell ref="L8:N8"/>
    <mergeCell ref="L9:P9"/>
    <mergeCell ref="R9:V9"/>
    <mergeCell ref="L28:Q28"/>
    <mergeCell ref="B28:H28"/>
    <mergeCell ref="X9:Z9"/>
    <mergeCell ref="B73:H73"/>
    <mergeCell ref="B72:H72"/>
    <mergeCell ref="L62:P62"/>
    <mergeCell ref="L72:P72"/>
    <mergeCell ref="L73:P73"/>
    <mergeCell ref="N16:P16"/>
  </mergeCells>
  <pageMargins left="0.45" right="0.45" top="0.5" bottom="0.5" header="0.3" footer="0.3"/>
  <pageSetup orientation="portrait" r:id="rId1"/>
  <rowBreaks count="1" manualBreakCount="1">
    <brk id="50"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92"/>
  <sheetViews>
    <sheetView workbookViewId="0">
      <pane xSplit="2" ySplit="3" topLeftCell="C4" activePane="bottomRight" state="frozen"/>
      <selection pane="topRight" activeCell="C1" sqref="C1"/>
      <selection pane="bottomLeft" activeCell="A4" sqref="A4"/>
      <selection pane="bottomRight" activeCell="A3" sqref="A3"/>
    </sheetView>
  </sheetViews>
  <sheetFormatPr defaultRowHeight="12.75"/>
  <cols>
    <col min="1" max="1" width="49.7109375" bestFit="1" customWidth="1"/>
    <col min="2" max="2" width="11.7109375" bestFit="1" customWidth="1"/>
    <col min="3" max="3" width="15.7109375" customWidth="1"/>
    <col min="4" max="4" width="10.28515625" customWidth="1"/>
    <col min="5" max="5" width="13.42578125" bestFit="1" customWidth="1"/>
    <col min="6" max="7" width="11.7109375" customWidth="1"/>
    <col min="8" max="8" width="13.28515625" customWidth="1"/>
    <col min="9" max="13" width="20.7109375" customWidth="1"/>
    <col min="14" max="14" width="11.7109375" customWidth="1"/>
    <col min="15" max="15" width="20.7109375" customWidth="1"/>
    <col min="16" max="16" width="11.7109375" customWidth="1"/>
    <col min="17" max="20" width="12.28515625" customWidth="1"/>
    <col min="21" max="21" width="11.28515625" customWidth="1"/>
    <col min="22" max="22" width="17.42578125" customWidth="1"/>
    <col min="23" max="23" width="11.140625" customWidth="1"/>
    <col min="24" max="24" width="6.7109375" customWidth="1"/>
    <col min="25" max="28" width="8.28515625" style="151" customWidth="1"/>
    <col min="29" max="29" width="13.42578125" bestFit="1" customWidth="1"/>
    <col min="30" max="31" width="11.7109375" customWidth="1"/>
    <col min="32" max="32" width="13.28515625" customWidth="1"/>
    <col min="33" max="37" width="20.7109375" customWidth="1"/>
    <col min="39" max="42" width="20.7109375" customWidth="1"/>
    <col min="43" max="43" width="18.28515625" bestFit="1" customWidth="1"/>
    <col min="44" max="44" width="16.5703125" bestFit="1" customWidth="1"/>
    <col min="45" max="45" width="15.28515625" bestFit="1" customWidth="1"/>
    <col min="47" max="47" width="15" customWidth="1"/>
    <col min="49" max="49" width="12.28515625" customWidth="1"/>
  </cols>
  <sheetData>
    <row r="1" spans="1:49">
      <c r="B1" s="22">
        <v>1</v>
      </c>
      <c r="C1" s="22">
        <v>2</v>
      </c>
      <c r="D1" s="22">
        <v>3</v>
      </c>
      <c r="E1" s="22">
        <v>4</v>
      </c>
      <c r="F1" s="22">
        <v>5</v>
      </c>
      <c r="G1" s="22">
        <v>6</v>
      </c>
      <c r="H1" s="22">
        <v>7</v>
      </c>
      <c r="I1" s="22">
        <v>8</v>
      </c>
      <c r="J1" s="22">
        <v>9</v>
      </c>
      <c r="K1" s="22">
        <v>10</v>
      </c>
      <c r="L1" s="22">
        <v>11</v>
      </c>
      <c r="M1" s="22">
        <v>12</v>
      </c>
      <c r="N1" s="22">
        <v>13</v>
      </c>
      <c r="O1" s="22">
        <v>14</v>
      </c>
      <c r="P1" s="22">
        <v>15</v>
      </c>
      <c r="Q1" s="22">
        <v>16</v>
      </c>
      <c r="R1" s="22">
        <v>17</v>
      </c>
      <c r="S1" s="22">
        <v>18</v>
      </c>
      <c r="T1" s="22">
        <v>19</v>
      </c>
      <c r="U1" s="22">
        <v>20</v>
      </c>
      <c r="V1" s="22">
        <v>21</v>
      </c>
      <c r="W1" s="22">
        <v>22</v>
      </c>
      <c r="X1" s="22">
        <v>23</v>
      </c>
      <c r="Y1" s="22">
        <v>24</v>
      </c>
      <c r="Z1" s="22">
        <v>25</v>
      </c>
      <c r="AA1" s="22">
        <v>26</v>
      </c>
      <c r="AB1" s="22">
        <v>27</v>
      </c>
      <c r="AC1" s="22">
        <v>28</v>
      </c>
      <c r="AD1" s="22">
        <v>29</v>
      </c>
      <c r="AE1" s="22">
        <v>30</v>
      </c>
      <c r="AF1" s="22">
        <v>31</v>
      </c>
      <c r="AG1" s="22">
        <v>32</v>
      </c>
      <c r="AH1" s="22">
        <v>33</v>
      </c>
      <c r="AI1" s="22">
        <v>34</v>
      </c>
      <c r="AJ1" s="22">
        <v>35</v>
      </c>
      <c r="AK1" s="22">
        <v>36</v>
      </c>
      <c r="AL1" s="22">
        <v>37</v>
      </c>
      <c r="AM1" s="22">
        <v>38</v>
      </c>
      <c r="AN1" s="22">
        <v>39</v>
      </c>
      <c r="AO1" s="22">
        <v>40</v>
      </c>
      <c r="AP1" s="22">
        <v>41</v>
      </c>
      <c r="AQ1" s="22">
        <v>42</v>
      </c>
      <c r="AR1" s="22">
        <v>43</v>
      </c>
      <c r="AS1" s="22">
        <v>44</v>
      </c>
    </row>
    <row r="2" spans="1:49">
      <c r="F2" s="287" t="s">
        <v>201</v>
      </c>
      <c r="G2" s="288"/>
      <c r="H2" s="288"/>
      <c r="I2" s="289"/>
      <c r="J2" s="287" t="s">
        <v>202</v>
      </c>
      <c r="K2" s="288"/>
      <c r="L2" s="288"/>
      <c r="M2" s="289"/>
      <c r="N2" s="290" t="s">
        <v>114</v>
      </c>
      <c r="O2" s="291"/>
      <c r="P2" s="291"/>
      <c r="Q2" s="287" t="s">
        <v>119</v>
      </c>
      <c r="R2" s="288"/>
      <c r="S2" s="288"/>
      <c r="T2" s="288"/>
      <c r="U2" s="289"/>
      <c r="AC2" s="182"/>
      <c r="AD2" s="287" t="s">
        <v>188</v>
      </c>
      <c r="AE2" s="288"/>
      <c r="AF2" s="288"/>
      <c r="AG2" s="289"/>
      <c r="AH2" s="287" t="s">
        <v>189</v>
      </c>
      <c r="AI2" s="288"/>
      <c r="AJ2" s="288"/>
      <c r="AK2" s="289"/>
      <c r="AM2" s="184" t="s">
        <v>170</v>
      </c>
      <c r="AN2" s="184" t="s">
        <v>171</v>
      </c>
      <c r="AO2" s="184" t="s">
        <v>170</v>
      </c>
      <c r="AP2" s="184" t="s">
        <v>171</v>
      </c>
      <c r="AQ2" s="184" t="s">
        <v>170</v>
      </c>
      <c r="AR2" s="184" t="s">
        <v>171</v>
      </c>
      <c r="AS2" s="241" t="s">
        <v>253</v>
      </c>
    </row>
    <row r="3" spans="1:49" ht="120" customHeight="1">
      <c r="A3" s="18" t="s">
        <v>34</v>
      </c>
      <c r="B3" s="18" t="s">
        <v>33</v>
      </c>
      <c r="C3" s="15" t="s">
        <v>245</v>
      </c>
      <c r="D3" s="15" t="s">
        <v>200</v>
      </c>
      <c r="E3" s="17" t="s">
        <v>538</v>
      </c>
      <c r="F3" s="171" t="s">
        <v>116</v>
      </c>
      <c r="G3" s="171" t="s">
        <v>117</v>
      </c>
      <c r="H3" s="171" t="s">
        <v>127</v>
      </c>
      <c r="I3" s="171" t="s">
        <v>115</v>
      </c>
      <c r="J3" s="171" t="s">
        <v>116</v>
      </c>
      <c r="K3" s="171" t="s">
        <v>117</v>
      </c>
      <c r="L3" s="171" t="s">
        <v>127</v>
      </c>
      <c r="M3" s="171" t="s">
        <v>115</v>
      </c>
      <c r="N3" s="16" t="s">
        <v>519</v>
      </c>
      <c r="O3" s="16" t="s">
        <v>118</v>
      </c>
      <c r="P3" s="16" t="s">
        <v>520</v>
      </c>
      <c r="Q3" s="13">
        <v>2019</v>
      </c>
      <c r="R3" s="13">
        <v>2020</v>
      </c>
      <c r="S3" s="13">
        <v>2021</v>
      </c>
      <c r="T3" s="13">
        <v>2022</v>
      </c>
      <c r="U3" s="13">
        <v>2023</v>
      </c>
      <c r="V3" s="15" t="s">
        <v>539</v>
      </c>
      <c r="W3" s="15" t="s">
        <v>120</v>
      </c>
      <c r="X3" s="15" t="s">
        <v>134</v>
      </c>
      <c r="Y3" s="15" t="s">
        <v>190</v>
      </c>
      <c r="Z3" s="15" t="s">
        <v>190</v>
      </c>
      <c r="AA3" s="15" t="s">
        <v>190</v>
      </c>
      <c r="AB3" s="15" t="s">
        <v>190</v>
      </c>
      <c r="AC3" s="240" t="s">
        <v>540</v>
      </c>
      <c r="AD3" s="183" t="s">
        <v>116</v>
      </c>
      <c r="AE3" s="183" t="s">
        <v>117</v>
      </c>
      <c r="AF3" s="183" t="s">
        <v>127</v>
      </c>
      <c r="AG3" s="183" t="s">
        <v>115</v>
      </c>
      <c r="AH3" s="183" t="s">
        <v>116</v>
      </c>
      <c r="AI3" s="183" t="s">
        <v>117</v>
      </c>
      <c r="AJ3" s="183" t="s">
        <v>127</v>
      </c>
      <c r="AK3" s="183" t="s">
        <v>115</v>
      </c>
      <c r="AL3" s="183" t="s">
        <v>190</v>
      </c>
      <c r="AM3" s="183" t="s">
        <v>115</v>
      </c>
      <c r="AN3" s="183" t="s">
        <v>115</v>
      </c>
      <c r="AO3" s="183" t="s">
        <v>116</v>
      </c>
      <c r="AP3" s="183" t="s">
        <v>116</v>
      </c>
      <c r="AQ3" s="240" t="s">
        <v>252</v>
      </c>
      <c r="AR3" s="240" t="s">
        <v>252</v>
      </c>
      <c r="AS3" s="240" t="s">
        <v>253</v>
      </c>
      <c r="AU3" s="240" t="s">
        <v>254</v>
      </c>
      <c r="AW3" s="240" t="s">
        <v>255</v>
      </c>
    </row>
    <row r="4" spans="1:49">
      <c r="A4" t="s">
        <v>37</v>
      </c>
      <c r="B4">
        <v>20100</v>
      </c>
      <c r="C4" s="11">
        <f>VLOOKUP(B4,'ER Contributions'!A:D,4,FALSE)</f>
        <v>655779</v>
      </c>
      <c r="D4" s="12">
        <f>VLOOKUP(B4,'ER Contributions'!A:D,3,FALSE)</f>
        <v>1.0502900000000001E-2</v>
      </c>
      <c r="E4" s="11">
        <f>VLOOKUP(B4,'75 - Summary Exhibit'!A:N,3,FALSE)</f>
        <v>-641937</v>
      </c>
      <c r="F4" s="14">
        <f>VLOOKUP(B4,'75 - Summary Exhibit'!A:N,4,FALSE)</f>
        <v>176008</v>
      </c>
      <c r="G4" s="14">
        <f>VLOOKUP(B4,'75 - Summary Exhibit'!A:N,5,FALSE)</f>
        <v>140707</v>
      </c>
      <c r="H4" s="14">
        <f>VLOOKUP(B4,'75 - Summary Exhibit'!A:N,6,FALSE)</f>
        <v>0</v>
      </c>
      <c r="I4" s="11">
        <f>VLOOKUP(B4,'75 - Summary Exhibit'!A:N,7,FALSE)</f>
        <v>0</v>
      </c>
      <c r="J4" s="11">
        <f>VLOOKUP(B4,'75 - Summary Exhibit'!A:N,8,FALSE)</f>
        <v>0</v>
      </c>
      <c r="K4" s="11">
        <f>VLOOKUP(B4,'75 - Summary Exhibit'!A:N,9,FALSE)</f>
        <v>0</v>
      </c>
      <c r="L4" s="11">
        <f>VLOOKUP(B4,'75 - Summary Exhibit'!A:N,10,FALSE)</f>
        <v>0</v>
      </c>
      <c r="M4" s="11">
        <f>VLOOKUP(B4,'75 - Summary Exhibit'!A:N,11,FALSE)</f>
        <v>9232</v>
      </c>
      <c r="N4" s="11">
        <f>VLOOKUP(B4,'75 - Summary Exhibit'!A:N,12,FALSE)</f>
        <v>341061</v>
      </c>
      <c r="O4" s="11">
        <f>VLOOKUP(B4,'75 - Summary Exhibit'!A:N,13,FALSE)</f>
        <v>-3077</v>
      </c>
      <c r="P4" s="11">
        <f t="shared" ref="P4:P34" si="0">N4+O4</f>
        <v>337984</v>
      </c>
      <c r="Q4" s="11">
        <f>VLOOKUP(B4,'75- Deferred Amortization'!A:G,3,FALSE)</f>
        <v>90787</v>
      </c>
      <c r="R4" s="11">
        <f>VLOOKUP(B4,'75- Deferred Amortization'!A:G,4,FALSE)</f>
        <v>90787</v>
      </c>
      <c r="S4" s="11">
        <f>VLOOKUP(B4,'75- Deferred Amortization'!A:G,5,FALSE)</f>
        <v>90756</v>
      </c>
      <c r="T4" s="11">
        <f>VLOOKUP(B4,'75- Deferred Amortization'!A:G,6,FALSE)</f>
        <v>35153</v>
      </c>
      <c r="U4" s="11">
        <f>VLOOKUP(B4,'75- Deferred Amortization'!A:G,7,FALSE)</f>
        <v>0</v>
      </c>
      <c r="V4" s="11">
        <f>ROUND(((F4-AD4)+(G4-AE4)+(H4-AF4)+(I4-AG4)+(AI4-K4)+P4-(E4-AC4)-(J4-AH4)-(M4-AK4)-C4),0)</f>
        <v>0</v>
      </c>
      <c r="W4" s="11">
        <f t="shared" ref="W4:W35" si="1">ROUND((F4+G4+H4+I4-J4-K4-L4-M4-Q4-R4-S4-T4-U4),0)</f>
        <v>0</v>
      </c>
      <c r="X4">
        <v>1</v>
      </c>
      <c r="AC4" s="11">
        <f>ROUND((AW$4*AU4),0)</f>
        <v>-631625</v>
      </c>
      <c r="AD4" s="14"/>
      <c r="AE4" s="14"/>
      <c r="AF4" s="14"/>
      <c r="AG4" s="11"/>
      <c r="AH4" s="11"/>
      <c r="AI4" s="11"/>
      <c r="AJ4" s="11"/>
      <c r="AK4" s="11"/>
      <c r="AM4" s="11">
        <f>I4-AG4</f>
        <v>0</v>
      </c>
      <c r="AN4" s="11">
        <f>M4-AK4</f>
        <v>9232</v>
      </c>
      <c r="AO4" s="14">
        <f>F4-AD4</f>
        <v>176008</v>
      </c>
      <c r="AP4" s="11">
        <f>J4-AH4</f>
        <v>0</v>
      </c>
      <c r="AQ4" s="14">
        <f>H4-AF4</f>
        <v>0</v>
      </c>
      <c r="AR4" s="11">
        <f>L4-AJ4</f>
        <v>0</v>
      </c>
      <c r="AS4" s="11">
        <f>E4-AC4</f>
        <v>-10312</v>
      </c>
      <c r="AU4" s="12">
        <f>VLOOKUP(B4,'Allocation Exhibit 2016-06-30'!A:D,4,FALSE)</f>
        <v>1.0171100000000001E-2</v>
      </c>
      <c r="AW4" s="11">
        <v>-62100000</v>
      </c>
    </row>
    <row r="5" spans="1:49">
      <c r="A5" t="s">
        <v>39</v>
      </c>
      <c r="B5">
        <v>20300</v>
      </c>
      <c r="C5" s="11">
        <f>VLOOKUP(B5,'ER Contributions'!A:D,4,FALSE)</f>
        <v>1515611</v>
      </c>
      <c r="D5" s="12">
        <f>VLOOKUP(B5,'ER Contributions'!A:D,3,FALSE)</f>
        <v>2.4591399999999999E-2</v>
      </c>
      <c r="E5" s="11">
        <f>VLOOKUP(B5,'75 - Summary Exhibit'!A:N,3,FALSE)</f>
        <v>-1503026</v>
      </c>
      <c r="F5" s="14">
        <f>VLOOKUP(B5,'75 - Summary Exhibit'!A:N,4,FALSE)</f>
        <v>412103</v>
      </c>
      <c r="G5" s="14">
        <f>VLOOKUP(B5,'75 - Summary Exhibit'!A:N,5,FALSE)</f>
        <v>329451</v>
      </c>
      <c r="H5" s="14">
        <f>VLOOKUP(B5,'75 - Summary Exhibit'!A:N,6,FALSE)</f>
        <v>0</v>
      </c>
      <c r="I5" s="11">
        <f>VLOOKUP(B5,'75 - Summary Exhibit'!A:N,7,FALSE)</f>
        <v>0</v>
      </c>
      <c r="J5" s="11">
        <f>VLOOKUP(B5,'75 - Summary Exhibit'!A:N,8,FALSE)</f>
        <v>0</v>
      </c>
      <c r="K5" s="11">
        <f>VLOOKUP(B5,'75 - Summary Exhibit'!A:N,9,FALSE)</f>
        <v>0</v>
      </c>
      <c r="L5" s="11">
        <f>VLOOKUP(B5,'75 - Summary Exhibit'!A:N,10,FALSE)</f>
        <v>0</v>
      </c>
      <c r="M5" s="11">
        <f>VLOOKUP(B5,'75 - Summary Exhibit'!A:N,11,FALSE)</f>
        <v>16806</v>
      </c>
      <c r="N5" s="11">
        <f>VLOOKUP(B5,'75 - Summary Exhibit'!A:N,12,FALSE)</f>
        <v>798557</v>
      </c>
      <c r="O5" s="11">
        <f>VLOOKUP(B5,'75 - Summary Exhibit'!A:N,13,FALSE)</f>
        <v>-5602</v>
      </c>
      <c r="P5" s="11">
        <f t="shared" si="0"/>
        <v>792955</v>
      </c>
      <c r="Q5" s="11">
        <f>VLOOKUP(B5,'75- Deferred Amortization'!A:G,3,FALSE)</f>
        <v>214171</v>
      </c>
      <c r="R5" s="11">
        <f>VLOOKUP(B5,'75- Deferred Amortization'!A:G,4,FALSE)</f>
        <v>214171</v>
      </c>
      <c r="S5" s="11">
        <f>VLOOKUP(B5,'75- Deferred Amortization'!A:G,5,FALSE)</f>
        <v>214097</v>
      </c>
      <c r="T5" s="11">
        <f>VLOOKUP(B5,'75- Deferred Amortization'!A:G,6,FALSE)</f>
        <v>82307</v>
      </c>
      <c r="U5" s="11">
        <f>VLOOKUP(B5,'75- Deferred Amortization'!A:G,7,FALSE)</f>
        <v>0</v>
      </c>
      <c r="V5" s="11">
        <f>ROUND(((F5-AD5)+(G5-AE5)+(H5-AF5)+(I5-AG5)+(AI5-K5)+P5-(E5-AC5)-(J5-AH5)-(M5-AK5)-C5),0)</f>
        <v>0</v>
      </c>
      <c r="W5" s="11">
        <f t="shared" si="1"/>
        <v>2</v>
      </c>
      <c r="X5">
        <v>1</v>
      </c>
      <c r="AC5" s="11">
        <f t="shared" ref="AC5:AC68" si="2">ROUND((AW$4*AU5),0)</f>
        <v>-1505118</v>
      </c>
      <c r="AD5" s="14"/>
      <c r="AE5" s="14"/>
      <c r="AF5" s="14"/>
      <c r="AG5" s="11"/>
      <c r="AH5" s="11"/>
      <c r="AI5" s="11"/>
      <c r="AJ5" s="11"/>
      <c r="AK5" s="11"/>
      <c r="AM5" s="11">
        <f t="shared" ref="AM5:AM30" si="3">I5-AG5</f>
        <v>0</v>
      </c>
      <c r="AN5" s="11">
        <f t="shared" ref="AN5:AN30" si="4">M5-AK5</f>
        <v>16806</v>
      </c>
      <c r="AO5" s="14">
        <f t="shared" ref="AO5:AO68" si="5">F5-AD5</f>
        <v>412103</v>
      </c>
      <c r="AP5" s="11">
        <f t="shared" ref="AP5:AP68" si="6">J5-AH5</f>
        <v>0</v>
      </c>
      <c r="AQ5" s="14">
        <f t="shared" ref="AQ5:AQ68" si="7">H5-AF5</f>
        <v>0</v>
      </c>
      <c r="AR5" s="11">
        <f t="shared" ref="AR5:AR68" si="8">L5-AJ5</f>
        <v>0</v>
      </c>
      <c r="AS5" s="11">
        <f>E5-AC5</f>
        <v>2092</v>
      </c>
      <c r="AU5" s="12">
        <f>VLOOKUP(B5,'Allocation Exhibit 2016-06-30'!A:D,4,FALSE)</f>
        <v>2.4237000000000002E-2</v>
      </c>
    </row>
    <row r="6" spans="1:49">
      <c r="A6" t="s">
        <v>40</v>
      </c>
      <c r="B6">
        <v>20400</v>
      </c>
      <c r="C6" s="11">
        <f>VLOOKUP(B6,'ER Contributions'!A:D,4,FALSE)</f>
        <v>80103</v>
      </c>
      <c r="D6" s="12">
        <f>VLOOKUP(B6,'ER Contributions'!A:D,3,FALSE)</f>
        <v>1.1670000000000001E-3</v>
      </c>
      <c r="E6" s="11">
        <f>VLOOKUP(B6,'75 - Summary Exhibit'!A:N,3,FALSE)</f>
        <v>-71327</v>
      </c>
      <c r="F6" s="14">
        <f>VLOOKUP(B6,'75 - Summary Exhibit'!A:N,4,FALSE)</f>
        <v>19557</v>
      </c>
      <c r="G6" s="14">
        <f>VLOOKUP(B6,'75 - Summary Exhibit'!A:N,5,FALSE)</f>
        <v>15634</v>
      </c>
      <c r="H6" s="14">
        <f>VLOOKUP(B6,'75 - Summary Exhibit'!A:N,6,FALSE)</f>
        <v>0</v>
      </c>
      <c r="I6" s="11">
        <f>VLOOKUP(B6,'75 - Summary Exhibit'!A:N,7,FALSE)</f>
        <v>6982</v>
      </c>
      <c r="J6" s="11">
        <f>VLOOKUP(B6,'75 - Summary Exhibit'!A:N,8,FALSE)</f>
        <v>0</v>
      </c>
      <c r="K6" s="11">
        <f>VLOOKUP(B6,'75 - Summary Exhibit'!A:N,9,FALSE)</f>
        <v>0</v>
      </c>
      <c r="L6" s="11">
        <f>VLOOKUP(B6,'75 - Summary Exhibit'!A:N,10,FALSE)</f>
        <v>0</v>
      </c>
      <c r="M6" s="11">
        <f>VLOOKUP(B6,'75 - Summary Exhibit'!A:N,11,FALSE)</f>
        <v>0</v>
      </c>
      <c r="N6" s="11">
        <f>VLOOKUP(B6,'75 - Summary Exhibit'!A:N,12,FALSE)</f>
        <v>37896</v>
      </c>
      <c r="O6" s="11">
        <f>VLOOKUP(B6,'75 - Summary Exhibit'!A:N,13,FALSE)</f>
        <v>2327</v>
      </c>
      <c r="P6" s="11">
        <f t="shared" si="0"/>
        <v>40223</v>
      </c>
      <c r="Q6" s="11">
        <f>VLOOKUP(B6,'75- Deferred Amortization'!A:G,3,FALSE)</f>
        <v>12757</v>
      </c>
      <c r="R6" s="11">
        <f>VLOOKUP(B6,'75- Deferred Amortization'!A:G,4,FALSE)</f>
        <v>12757</v>
      </c>
      <c r="S6" s="11">
        <f>VLOOKUP(B6,'75- Deferred Amortization'!A:G,5,FALSE)</f>
        <v>12753</v>
      </c>
      <c r="T6" s="11">
        <f>VLOOKUP(B6,'75- Deferred Amortization'!A:G,6,FALSE)</f>
        <v>3906</v>
      </c>
      <c r="U6" s="11">
        <f>VLOOKUP(B6,'75- Deferred Amortization'!A:G,7,FALSE)</f>
        <v>0</v>
      </c>
      <c r="V6" s="11">
        <f t="shared" ref="V6:V23" si="9">ROUND(((F6-AD6)+(G6-AE6)+(H6-AF6)+(I6-AG6)+(AI6-K6)+P6-(E6-AC6)-(J6-AH6)-(M6-AK6)-C6),0)</f>
        <v>0</v>
      </c>
      <c r="W6" s="11">
        <f t="shared" si="1"/>
        <v>0</v>
      </c>
      <c r="X6">
        <v>1</v>
      </c>
      <c r="AC6" s="11">
        <f t="shared" si="2"/>
        <v>-73620</v>
      </c>
      <c r="AD6" s="14"/>
      <c r="AE6" s="14"/>
      <c r="AF6" s="14"/>
      <c r="AG6" s="11"/>
      <c r="AH6" s="11"/>
      <c r="AI6" s="11"/>
      <c r="AJ6" s="11"/>
      <c r="AK6" s="11"/>
      <c r="AM6" s="11">
        <f t="shared" si="3"/>
        <v>6982</v>
      </c>
      <c r="AN6" s="11">
        <f t="shared" si="4"/>
        <v>0</v>
      </c>
      <c r="AO6" s="14">
        <f t="shared" si="5"/>
        <v>19557</v>
      </c>
      <c r="AP6" s="11">
        <f t="shared" si="6"/>
        <v>0</v>
      </c>
      <c r="AQ6" s="14">
        <f t="shared" si="7"/>
        <v>0</v>
      </c>
      <c r="AR6" s="11">
        <f t="shared" si="8"/>
        <v>0</v>
      </c>
      <c r="AS6" s="11">
        <f t="shared" ref="AS6:AS69" si="10">E6-AC6</f>
        <v>2293</v>
      </c>
      <c r="AU6" s="12">
        <f>VLOOKUP(B6,'Allocation Exhibit 2016-06-30'!A:D,4,FALSE)</f>
        <v>1.1854999999999999E-3</v>
      </c>
    </row>
    <row r="7" spans="1:49">
      <c r="A7" t="s">
        <v>41</v>
      </c>
      <c r="B7">
        <v>20600</v>
      </c>
      <c r="C7" s="11">
        <f>VLOOKUP(B7,'ER Contributions'!A:D,4,FALSE)</f>
        <v>187892</v>
      </c>
      <c r="D7" s="12">
        <f>VLOOKUP(B7,'ER Contributions'!A:D,3,FALSE)</f>
        <v>2.8403E-3</v>
      </c>
      <c r="E7" s="11">
        <f>VLOOKUP(B7,'75 - Summary Exhibit'!A:N,3,FALSE)</f>
        <v>-173599</v>
      </c>
      <c r="F7" s="14">
        <f>VLOOKUP(B7,'75 - Summary Exhibit'!A:N,4,FALSE)</f>
        <v>47598</v>
      </c>
      <c r="G7" s="14">
        <f>VLOOKUP(B7,'75 - Summary Exhibit'!A:N,5,FALSE)</f>
        <v>38051</v>
      </c>
      <c r="H7" s="14">
        <f>VLOOKUP(B7,'75 - Summary Exhibit'!A:N,6,FALSE)</f>
        <v>0</v>
      </c>
      <c r="I7" s="11">
        <f>VLOOKUP(B7,'75 - Summary Exhibit'!A:N,7,FALSE)</f>
        <v>0</v>
      </c>
      <c r="J7" s="11">
        <f>VLOOKUP(B7,'75 - Summary Exhibit'!A:N,8,FALSE)</f>
        <v>0</v>
      </c>
      <c r="K7" s="11">
        <f>VLOOKUP(B7,'75 - Summary Exhibit'!A:N,9,FALSE)</f>
        <v>0</v>
      </c>
      <c r="L7" s="11">
        <f>VLOOKUP(B7,'75 - Summary Exhibit'!A:N,10,FALSE)</f>
        <v>0</v>
      </c>
      <c r="M7" s="11">
        <f>VLOOKUP(B7,'75 - Summary Exhibit'!A:N,11,FALSE)</f>
        <v>418</v>
      </c>
      <c r="N7" s="11">
        <f>VLOOKUP(B7,'75 - Summary Exhibit'!A:N,12,FALSE)</f>
        <v>92233</v>
      </c>
      <c r="O7" s="11">
        <f>VLOOKUP(B7,'75 - Summary Exhibit'!A:N,13,FALSE)</f>
        <v>-139</v>
      </c>
      <c r="P7" s="11">
        <f t="shared" si="0"/>
        <v>92094</v>
      </c>
      <c r="Q7" s="11">
        <f>VLOOKUP(B7,'75- Deferred Amortization'!A:G,3,FALSE)</f>
        <v>25244</v>
      </c>
      <c r="R7" s="11">
        <f>VLOOKUP(B7,'75- Deferred Amortization'!A:G,4,FALSE)</f>
        <v>25244</v>
      </c>
      <c r="S7" s="11">
        <f>VLOOKUP(B7,'75- Deferred Amortization'!A:G,5,FALSE)</f>
        <v>25236</v>
      </c>
      <c r="T7" s="11">
        <f>VLOOKUP(B7,'75- Deferred Amortization'!A:G,6,FALSE)</f>
        <v>9506</v>
      </c>
      <c r="U7" s="11">
        <f>VLOOKUP(B7,'75- Deferred Amortization'!A:G,7,FALSE)</f>
        <v>0</v>
      </c>
      <c r="V7" s="11">
        <f t="shared" si="9"/>
        <v>1</v>
      </c>
      <c r="W7" s="11">
        <f t="shared" si="1"/>
        <v>1</v>
      </c>
      <c r="X7">
        <v>1</v>
      </c>
      <c r="AC7" s="11">
        <f t="shared" si="2"/>
        <v>-163031</v>
      </c>
      <c r="AD7" s="14"/>
      <c r="AE7" s="14"/>
      <c r="AF7" s="14"/>
      <c r="AG7" s="11"/>
      <c r="AH7" s="11"/>
      <c r="AI7" s="11"/>
      <c r="AJ7" s="11"/>
      <c r="AK7" s="11"/>
      <c r="AM7" s="11">
        <f t="shared" si="3"/>
        <v>0</v>
      </c>
      <c r="AN7" s="11">
        <f t="shared" si="4"/>
        <v>418</v>
      </c>
      <c r="AO7" s="14">
        <f t="shared" si="5"/>
        <v>47598</v>
      </c>
      <c r="AP7" s="11">
        <f t="shared" si="6"/>
        <v>0</v>
      </c>
      <c r="AQ7" s="14">
        <f t="shared" si="7"/>
        <v>0</v>
      </c>
      <c r="AR7" s="11">
        <f t="shared" si="8"/>
        <v>0</v>
      </c>
      <c r="AS7" s="11">
        <f t="shared" si="10"/>
        <v>-10568</v>
      </c>
      <c r="AU7" s="12">
        <f>VLOOKUP(B7,'Allocation Exhibit 2016-06-30'!A:D,4,FALSE)</f>
        <v>2.6253000000000001E-3</v>
      </c>
    </row>
    <row r="8" spans="1:49">
      <c r="A8" t="s">
        <v>43</v>
      </c>
      <c r="B8">
        <v>20800</v>
      </c>
      <c r="C8" s="11">
        <f>VLOOKUP(B8,'ER Contributions'!A:D,4,FALSE)</f>
        <v>307983</v>
      </c>
      <c r="D8" s="12">
        <f>VLOOKUP(B8,'ER Contributions'!A:D,3,FALSE)</f>
        <v>4.7067000000000003E-3</v>
      </c>
      <c r="E8" s="11">
        <f>VLOOKUP(B8,'75 - Summary Exhibit'!A:N,3,FALSE)</f>
        <v>-287674</v>
      </c>
      <c r="F8" s="14">
        <f>VLOOKUP(B8,'75 - Summary Exhibit'!A:N,4,FALSE)</f>
        <v>78875</v>
      </c>
      <c r="G8" s="14">
        <f>VLOOKUP(B8,'75 - Summary Exhibit'!A:N,5,FALSE)</f>
        <v>63056</v>
      </c>
      <c r="H8" s="14">
        <f>VLOOKUP(B8,'75 - Summary Exhibit'!A:N,6,FALSE)</f>
        <v>0</v>
      </c>
      <c r="I8" s="11">
        <f>VLOOKUP(B8,'75 - Summary Exhibit'!A:N,7,FALSE)</f>
        <v>10499</v>
      </c>
      <c r="J8" s="11">
        <f>VLOOKUP(B8,'75 - Summary Exhibit'!A:N,8,FALSE)</f>
        <v>0</v>
      </c>
      <c r="K8" s="11">
        <f>VLOOKUP(B8,'75 - Summary Exhibit'!A:N,9,FALSE)</f>
        <v>0</v>
      </c>
      <c r="L8" s="11">
        <f>VLOOKUP(B8,'75 - Summary Exhibit'!A:N,10,FALSE)</f>
        <v>0</v>
      </c>
      <c r="M8" s="11">
        <f>VLOOKUP(B8,'75 - Summary Exhibit'!A:N,11,FALSE)</f>
        <v>0</v>
      </c>
      <c r="N8" s="11">
        <f>VLOOKUP(B8,'75 - Summary Exhibit'!A:N,12,FALSE)</f>
        <v>152841</v>
      </c>
      <c r="O8" s="11">
        <f>VLOOKUP(B8,'75 - Summary Exhibit'!A:N,13,FALSE)</f>
        <v>3500</v>
      </c>
      <c r="P8" s="11">
        <f t="shared" si="0"/>
        <v>156341</v>
      </c>
      <c r="Q8" s="11">
        <f>VLOOKUP(B8,'75- Deferred Amortization'!A:G,3,FALSE)</f>
        <v>45564</v>
      </c>
      <c r="R8" s="11">
        <f>VLOOKUP(B8,'75- Deferred Amortization'!A:G,4,FALSE)</f>
        <v>45564</v>
      </c>
      <c r="S8" s="11">
        <f>VLOOKUP(B8,'75- Deferred Amortization'!A:G,5,FALSE)</f>
        <v>45549</v>
      </c>
      <c r="T8" s="11">
        <f>VLOOKUP(B8,'75- Deferred Amortization'!A:G,6,FALSE)</f>
        <v>15753</v>
      </c>
      <c r="U8" s="11">
        <f>VLOOKUP(B8,'75- Deferred Amortization'!A:G,7,FALSE)</f>
        <v>0</v>
      </c>
      <c r="V8" s="11">
        <f t="shared" si="9"/>
        <v>1</v>
      </c>
      <c r="W8" s="11">
        <f t="shared" si="1"/>
        <v>0</v>
      </c>
      <c r="X8">
        <v>1</v>
      </c>
      <c r="AC8" s="11">
        <f t="shared" si="2"/>
        <v>-288461</v>
      </c>
      <c r="AD8" s="14"/>
      <c r="AE8" s="14"/>
      <c r="AF8" s="14"/>
      <c r="AG8" s="11"/>
      <c r="AH8" s="11"/>
      <c r="AI8" s="11"/>
      <c r="AJ8" s="11"/>
      <c r="AK8" s="11"/>
      <c r="AM8" s="11">
        <f t="shared" si="3"/>
        <v>10499</v>
      </c>
      <c r="AN8" s="11">
        <f t="shared" si="4"/>
        <v>0</v>
      </c>
      <c r="AO8" s="14">
        <f t="shared" si="5"/>
        <v>78875</v>
      </c>
      <c r="AP8" s="11">
        <f t="shared" si="6"/>
        <v>0</v>
      </c>
      <c r="AQ8" s="14">
        <f t="shared" si="7"/>
        <v>0</v>
      </c>
      <c r="AR8" s="11">
        <f t="shared" si="8"/>
        <v>0</v>
      </c>
      <c r="AS8" s="11">
        <f t="shared" si="10"/>
        <v>787</v>
      </c>
      <c r="AU8" s="12">
        <f>VLOOKUP(B8,'Allocation Exhibit 2016-06-30'!A:D,4,FALSE)</f>
        <v>4.6451000000000001E-3</v>
      </c>
    </row>
    <row r="9" spans="1:49">
      <c r="A9" t="s">
        <v>36</v>
      </c>
      <c r="B9">
        <v>10950</v>
      </c>
      <c r="C9" s="11">
        <f>VLOOKUP(B9,'ER Contributions'!A:D,4,FALSE)</f>
        <v>48129</v>
      </c>
      <c r="D9" s="12">
        <f>VLOOKUP(B9,'ER Contributions'!A:D,3,FALSE)</f>
        <v>7.5250000000000002E-4</v>
      </c>
      <c r="E9" s="11">
        <f>VLOOKUP(B9,'75 - Summary Exhibit'!A:N,3,FALSE)</f>
        <v>-45993</v>
      </c>
      <c r="F9" s="14">
        <f>VLOOKUP(B9,'75 - Summary Exhibit'!A:N,4,FALSE)</f>
        <v>12610</v>
      </c>
      <c r="G9" s="14">
        <f>VLOOKUP(B9,'75 - Summary Exhibit'!A:N,5,FALSE)</f>
        <v>10081</v>
      </c>
      <c r="H9" s="14">
        <f>VLOOKUP(B9,'75 - Summary Exhibit'!A:N,6,FALSE)</f>
        <v>0</v>
      </c>
      <c r="I9" s="11">
        <f>VLOOKUP(B9,'75 - Summary Exhibit'!A:N,7,FALSE)</f>
        <v>2287</v>
      </c>
      <c r="J9" s="11">
        <f>VLOOKUP(B9,'75 - Summary Exhibit'!A:N,8,FALSE)</f>
        <v>0</v>
      </c>
      <c r="K9" s="11">
        <f>VLOOKUP(B9,'75 - Summary Exhibit'!A:N,9,FALSE)</f>
        <v>0</v>
      </c>
      <c r="L9" s="11">
        <f>VLOOKUP(B9,'75 - Summary Exhibit'!A:N,10,FALSE)</f>
        <v>0</v>
      </c>
      <c r="M9" s="11">
        <f>VLOOKUP(B9,'75 - Summary Exhibit'!A:N,11,FALSE)</f>
        <v>0</v>
      </c>
      <c r="N9" s="11">
        <f>VLOOKUP(B9,'75 - Summary Exhibit'!A:N,12,FALSE)</f>
        <v>24436</v>
      </c>
      <c r="O9" s="11">
        <f>VLOOKUP(B9,'75 - Summary Exhibit'!A:N,13,FALSE)</f>
        <v>762</v>
      </c>
      <c r="P9" s="11">
        <f t="shared" si="0"/>
        <v>25198</v>
      </c>
      <c r="Q9" s="11">
        <f>VLOOKUP(B9,'75- Deferred Amortization'!A:G,3,FALSE)</f>
        <v>7487</v>
      </c>
      <c r="R9" s="11">
        <f>VLOOKUP(B9,'75- Deferred Amortization'!A:G,4,FALSE)</f>
        <v>7487</v>
      </c>
      <c r="S9" s="11">
        <f>VLOOKUP(B9,'75- Deferred Amortization'!A:G,5,FALSE)</f>
        <v>7485</v>
      </c>
      <c r="T9" s="11">
        <f>VLOOKUP(B9,'75- Deferred Amortization'!A:G,6,FALSE)</f>
        <v>2519</v>
      </c>
      <c r="U9" s="11">
        <f>VLOOKUP(B9,'75- Deferred Amortization'!A:G,7,FALSE)</f>
        <v>0</v>
      </c>
      <c r="V9" s="11">
        <f t="shared" si="9"/>
        <v>-1</v>
      </c>
      <c r="W9" s="11">
        <f t="shared" si="1"/>
        <v>0</v>
      </c>
      <c r="X9">
        <v>1</v>
      </c>
      <c r="AC9" s="11">
        <f t="shared" si="2"/>
        <v>-48041</v>
      </c>
      <c r="AD9" s="14"/>
      <c r="AE9" s="14"/>
      <c r="AF9" s="14"/>
      <c r="AG9" s="11"/>
      <c r="AH9" s="11"/>
      <c r="AI9" s="11"/>
      <c r="AJ9" s="11"/>
      <c r="AK9" s="11"/>
      <c r="AM9" s="11">
        <f t="shared" si="3"/>
        <v>2287</v>
      </c>
      <c r="AN9" s="11">
        <f t="shared" si="4"/>
        <v>0</v>
      </c>
      <c r="AO9" s="14">
        <f t="shared" si="5"/>
        <v>12610</v>
      </c>
      <c r="AP9" s="11">
        <f t="shared" si="6"/>
        <v>0</v>
      </c>
      <c r="AQ9" s="14">
        <f t="shared" si="7"/>
        <v>0</v>
      </c>
      <c r="AR9" s="11">
        <f t="shared" si="8"/>
        <v>0</v>
      </c>
      <c r="AS9" s="11">
        <f t="shared" si="10"/>
        <v>2048</v>
      </c>
      <c r="AU9" s="12">
        <f>VLOOKUP(B9,'Allocation Exhibit 2016-06-30'!A:D,4,FALSE)</f>
        <v>7.7360000000000005E-4</v>
      </c>
    </row>
    <row r="10" spans="1:49">
      <c r="A10" t="s">
        <v>38</v>
      </c>
      <c r="B10">
        <v>20200</v>
      </c>
      <c r="C10" s="11">
        <f>VLOOKUP(B10,'ER Contributions'!A:D,4,FALSE)</f>
        <v>102191</v>
      </c>
      <c r="D10" s="12">
        <f>VLOOKUP(B10,'ER Contributions'!A:D,3,FALSE)</f>
        <v>1.4901000000000001E-3</v>
      </c>
      <c r="E10" s="11">
        <f>VLOOKUP(B10,'75 - Summary Exhibit'!A:N,3,FALSE)</f>
        <v>-91075</v>
      </c>
      <c r="F10" s="14">
        <f>VLOOKUP(B10,'75 - Summary Exhibit'!A:N,4,FALSE)</f>
        <v>24971</v>
      </c>
      <c r="G10" s="14">
        <f>VLOOKUP(B10,'75 - Summary Exhibit'!A:N,5,FALSE)</f>
        <v>19963</v>
      </c>
      <c r="H10" s="14">
        <f>VLOOKUP(B10,'75 - Summary Exhibit'!A:N,6,FALSE)</f>
        <v>0</v>
      </c>
      <c r="I10" s="11">
        <f>VLOOKUP(B10,'75 - Summary Exhibit'!A:N,7,FALSE)</f>
        <v>160</v>
      </c>
      <c r="J10" s="11">
        <f>VLOOKUP(B10,'75 - Summary Exhibit'!A:N,8,FALSE)</f>
        <v>0</v>
      </c>
      <c r="K10" s="11">
        <f>VLOOKUP(B10,'75 - Summary Exhibit'!A:N,9,FALSE)</f>
        <v>0</v>
      </c>
      <c r="L10" s="11">
        <f>VLOOKUP(B10,'75 - Summary Exhibit'!A:N,10,FALSE)</f>
        <v>0</v>
      </c>
      <c r="M10" s="11">
        <f>VLOOKUP(B10,'75 - Summary Exhibit'!A:N,11,FALSE)</f>
        <v>0</v>
      </c>
      <c r="N10" s="11">
        <f>VLOOKUP(B10,'75 - Summary Exhibit'!A:N,12,FALSE)</f>
        <v>48388</v>
      </c>
      <c r="O10" s="11">
        <f>VLOOKUP(B10,'75 - Summary Exhibit'!A:N,13,FALSE)</f>
        <v>53</v>
      </c>
      <c r="P10" s="11">
        <f t="shared" si="0"/>
        <v>48441</v>
      </c>
      <c r="Q10" s="11">
        <f>VLOOKUP(B10,'75- Deferred Amortization'!A:G,3,FALSE)</f>
        <v>13370</v>
      </c>
      <c r="R10" s="11">
        <f>VLOOKUP(B10,'75- Deferred Amortization'!A:G,4,FALSE)</f>
        <v>13370</v>
      </c>
      <c r="S10" s="11">
        <f>VLOOKUP(B10,'75- Deferred Amortization'!A:G,5,FALSE)</f>
        <v>13366</v>
      </c>
      <c r="T10" s="11">
        <f>VLOOKUP(B10,'75- Deferred Amortization'!A:G,6,FALSE)</f>
        <v>4987</v>
      </c>
      <c r="U10" s="11">
        <f>VLOOKUP(B10,'75- Deferred Amortization'!A:G,7,FALSE)</f>
        <v>0</v>
      </c>
      <c r="V10" s="11">
        <f t="shared" si="9"/>
        <v>0</v>
      </c>
      <c r="W10" s="11">
        <f t="shared" si="1"/>
        <v>1</v>
      </c>
      <c r="X10">
        <v>1</v>
      </c>
      <c r="AC10" s="11">
        <f t="shared" si="2"/>
        <v>-82419</v>
      </c>
      <c r="AD10" s="14"/>
      <c r="AE10" s="14"/>
      <c r="AF10" s="14"/>
      <c r="AG10" s="11"/>
      <c r="AH10" s="11"/>
      <c r="AI10" s="11"/>
      <c r="AJ10" s="11"/>
      <c r="AK10" s="11"/>
      <c r="AM10" s="11">
        <f t="shared" si="3"/>
        <v>160</v>
      </c>
      <c r="AN10" s="11">
        <f t="shared" si="4"/>
        <v>0</v>
      </c>
      <c r="AO10" s="14">
        <f t="shared" si="5"/>
        <v>24971</v>
      </c>
      <c r="AP10" s="11">
        <f t="shared" si="6"/>
        <v>0</v>
      </c>
      <c r="AQ10" s="14">
        <f t="shared" si="7"/>
        <v>0</v>
      </c>
      <c r="AR10" s="11">
        <f t="shared" si="8"/>
        <v>0</v>
      </c>
      <c r="AS10" s="11">
        <f t="shared" si="10"/>
        <v>-8656</v>
      </c>
      <c r="AU10" s="12">
        <f>VLOOKUP(B10,'Allocation Exhibit 2016-06-30'!A:D,4,FALSE)</f>
        <v>1.3272E-3</v>
      </c>
    </row>
    <row r="11" spans="1:49">
      <c r="A11" t="s">
        <v>46</v>
      </c>
      <c r="B11">
        <v>21300</v>
      </c>
      <c r="C11" s="11">
        <f>VLOOKUP(B11,'ER Contributions'!A:D,4,FALSE)</f>
        <v>2370987</v>
      </c>
      <c r="D11" s="12">
        <f>VLOOKUP(B11,'ER Contributions'!A:D,3,FALSE)</f>
        <v>3.8517500000000003E-2</v>
      </c>
      <c r="E11" s="11">
        <f>VLOOKUP(B11,'75 - Summary Exhibit'!A:N,3,FALSE)</f>
        <v>-2354190</v>
      </c>
      <c r="F11" s="14">
        <f>VLOOKUP(B11,'75 - Summary Exhibit'!A:N,4,FALSE)</f>
        <v>645476</v>
      </c>
      <c r="G11" s="14">
        <f>VLOOKUP(B11,'75 - Summary Exhibit'!A:N,5,FALSE)</f>
        <v>516019</v>
      </c>
      <c r="H11" s="14">
        <f>VLOOKUP(B11,'75 - Summary Exhibit'!A:N,6,FALSE)</f>
        <v>0</v>
      </c>
      <c r="I11" s="11">
        <f>VLOOKUP(B11,'75 - Summary Exhibit'!A:N,7,FALSE)</f>
        <v>0</v>
      </c>
      <c r="J11" s="11">
        <f>VLOOKUP(B11,'75 - Summary Exhibit'!A:N,8,FALSE)</f>
        <v>0</v>
      </c>
      <c r="K11" s="11">
        <f>VLOOKUP(B11,'75 - Summary Exhibit'!A:N,9,FALSE)</f>
        <v>0</v>
      </c>
      <c r="L11" s="11">
        <f>VLOOKUP(B11,'75 - Summary Exhibit'!A:N,10,FALSE)</f>
        <v>0</v>
      </c>
      <c r="M11" s="11">
        <f>VLOOKUP(B11,'75 - Summary Exhibit'!A:N,11,FALSE)</f>
        <v>64567</v>
      </c>
      <c r="N11" s="11">
        <f>VLOOKUP(B11,'75 - Summary Exhibit'!A:N,12,FALSE)</f>
        <v>1250779</v>
      </c>
      <c r="O11" s="11">
        <f>VLOOKUP(B11,'75 - Summary Exhibit'!A:N,13,FALSE)</f>
        <v>-21522</v>
      </c>
      <c r="P11" s="11">
        <f t="shared" si="0"/>
        <v>1229257</v>
      </c>
      <c r="Q11" s="11">
        <f>VLOOKUP(B11,'75- Deferred Amortization'!A:G,3,FALSE)</f>
        <v>322709</v>
      </c>
      <c r="R11" s="11">
        <f>VLOOKUP(B11,'75- Deferred Amortization'!A:G,4,FALSE)</f>
        <v>322709</v>
      </c>
      <c r="S11" s="11">
        <f>VLOOKUP(B11,'75- Deferred Amortization'!A:G,5,FALSE)</f>
        <v>322593</v>
      </c>
      <c r="T11" s="11">
        <f>VLOOKUP(B11,'75- Deferred Amortization'!A:G,6,FALSE)</f>
        <v>128918</v>
      </c>
      <c r="U11" s="11">
        <f>VLOOKUP(B11,'75- Deferred Amortization'!A:G,7,FALSE)</f>
        <v>0</v>
      </c>
      <c r="V11" s="11">
        <f t="shared" si="9"/>
        <v>1</v>
      </c>
      <c r="W11" s="11">
        <f t="shared" si="1"/>
        <v>-1</v>
      </c>
      <c r="X11">
        <v>1</v>
      </c>
      <c r="AC11" s="11">
        <f t="shared" si="2"/>
        <v>-2309387</v>
      </c>
      <c r="AD11" s="14"/>
      <c r="AE11" s="14"/>
      <c r="AF11" s="14"/>
      <c r="AG11" s="11"/>
      <c r="AH11" s="11"/>
      <c r="AI11" s="11"/>
      <c r="AJ11" s="11"/>
      <c r="AK11" s="11"/>
      <c r="AM11" s="11">
        <f t="shared" si="3"/>
        <v>0</v>
      </c>
      <c r="AN11" s="11">
        <f t="shared" si="4"/>
        <v>64567</v>
      </c>
      <c r="AO11" s="14">
        <f t="shared" si="5"/>
        <v>645476</v>
      </c>
      <c r="AP11" s="11">
        <f t="shared" si="6"/>
        <v>0</v>
      </c>
      <c r="AQ11" s="14">
        <f t="shared" si="7"/>
        <v>0</v>
      </c>
      <c r="AR11" s="11">
        <f t="shared" si="8"/>
        <v>0</v>
      </c>
      <c r="AS11" s="11">
        <f t="shared" si="10"/>
        <v>-44803</v>
      </c>
      <c r="AU11" s="12">
        <f>VLOOKUP(B11,'Allocation Exhibit 2016-06-30'!A:D,4,FALSE)</f>
        <v>3.7188199999999998E-2</v>
      </c>
    </row>
    <row r="12" spans="1:49">
      <c r="A12" t="s">
        <v>42</v>
      </c>
      <c r="B12">
        <v>20700</v>
      </c>
      <c r="C12" s="11">
        <f>VLOOKUP(B12,'ER Contributions'!A:D,4,FALSE)</f>
        <v>404315</v>
      </c>
      <c r="D12" s="12">
        <f>VLOOKUP(B12,'ER Contributions'!A:D,3,FALSE)</f>
        <v>5.8345000000000003E-3</v>
      </c>
      <c r="E12" s="11">
        <f>VLOOKUP(B12,'75 - Summary Exhibit'!A:N,3,FALSE)</f>
        <v>-356605</v>
      </c>
      <c r="F12" s="14">
        <f>VLOOKUP(B12,'75 - Summary Exhibit'!A:N,4,FALSE)</f>
        <v>97775</v>
      </c>
      <c r="G12" s="14">
        <f>VLOOKUP(B12,'75 - Summary Exhibit'!A:N,5,FALSE)</f>
        <v>78165</v>
      </c>
      <c r="H12" s="14">
        <f>VLOOKUP(B12,'75 - Summary Exhibit'!A:N,6,FALSE)</f>
        <v>0</v>
      </c>
      <c r="I12" s="11">
        <f>VLOOKUP(B12,'75 - Summary Exhibit'!A:N,7,FALSE)</f>
        <v>32936</v>
      </c>
      <c r="J12" s="11">
        <f>VLOOKUP(B12,'75 - Summary Exhibit'!A:N,8,FALSE)</f>
        <v>0</v>
      </c>
      <c r="K12" s="11">
        <f>VLOOKUP(B12,'75 - Summary Exhibit'!A:N,9,FALSE)</f>
        <v>0</v>
      </c>
      <c r="L12" s="11">
        <f>VLOOKUP(B12,'75 - Summary Exhibit'!A:N,10,FALSE)</f>
        <v>0</v>
      </c>
      <c r="M12" s="11">
        <f>VLOOKUP(B12,'75 - Summary Exhibit'!A:N,11,FALSE)</f>
        <v>0</v>
      </c>
      <c r="N12" s="11">
        <f>VLOOKUP(B12,'75 - Summary Exhibit'!A:N,12,FALSE)</f>
        <v>189464</v>
      </c>
      <c r="O12" s="11">
        <f>VLOOKUP(B12,'75 - Summary Exhibit'!A:N,13,FALSE)</f>
        <v>10979</v>
      </c>
      <c r="P12" s="11">
        <f t="shared" si="0"/>
        <v>200443</v>
      </c>
      <c r="Q12" s="11">
        <f>VLOOKUP(B12,'75- Deferred Amortization'!A:G,3,FALSE)</f>
        <v>63122</v>
      </c>
      <c r="R12" s="11">
        <f>VLOOKUP(B12,'75- Deferred Amortization'!A:G,4,FALSE)</f>
        <v>63122</v>
      </c>
      <c r="S12" s="11">
        <f>VLOOKUP(B12,'75- Deferred Amortization'!A:G,5,FALSE)</f>
        <v>63104</v>
      </c>
      <c r="T12" s="11">
        <f>VLOOKUP(B12,'75- Deferred Amortization'!A:G,6,FALSE)</f>
        <v>19528</v>
      </c>
      <c r="U12" s="11">
        <f>VLOOKUP(B12,'75- Deferred Amortization'!A:G,7,FALSE)</f>
        <v>0</v>
      </c>
      <c r="V12" s="11">
        <f t="shared" si="9"/>
        <v>1</v>
      </c>
      <c r="W12" s="11">
        <f t="shared" si="1"/>
        <v>0</v>
      </c>
      <c r="X12">
        <v>1</v>
      </c>
      <c r="AC12" s="11">
        <f t="shared" si="2"/>
        <v>-361608</v>
      </c>
      <c r="AD12" s="14"/>
      <c r="AE12" s="14"/>
      <c r="AF12" s="14"/>
      <c r="AG12" s="11"/>
      <c r="AH12" s="11"/>
      <c r="AI12" s="11"/>
      <c r="AJ12" s="11"/>
      <c r="AK12" s="11"/>
      <c r="AM12" s="11">
        <f t="shared" si="3"/>
        <v>32936</v>
      </c>
      <c r="AN12" s="11">
        <f t="shared" si="4"/>
        <v>0</v>
      </c>
      <c r="AO12" s="14">
        <f t="shared" si="5"/>
        <v>97775</v>
      </c>
      <c r="AP12" s="11">
        <f t="shared" si="6"/>
        <v>0</v>
      </c>
      <c r="AQ12" s="14">
        <f t="shared" si="7"/>
        <v>0</v>
      </c>
      <c r="AR12" s="11">
        <f t="shared" si="8"/>
        <v>0</v>
      </c>
      <c r="AS12" s="11">
        <f t="shared" si="10"/>
        <v>5003</v>
      </c>
      <c r="AU12" s="12">
        <f>VLOOKUP(B12,'Allocation Exhibit 2016-06-30'!A:D,4,FALSE)</f>
        <v>5.8230000000000001E-3</v>
      </c>
    </row>
    <row r="13" spans="1:49">
      <c r="A13" t="s">
        <v>45</v>
      </c>
      <c r="B13">
        <v>21200</v>
      </c>
      <c r="C13" s="11">
        <f>VLOOKUP(B13,'ER Contributions'!A:D,4,FALSE)</f>
        <v>189731</v>
      </c>
      <c r="D13" s="12">
        <f>VLOOKUP(B13,'ER Contributions'!A:D,3,FALSE)</f>
        <v>3.0814000000000002E-3</v>
      </c>
      <c r="E13" s="11">
        <f>VLOOKUP(B13,'75 - Summary Exhibit'!A:N,3,FALSE)</f>
        <v>-188335</v>
      </c>
      <c r="F13" s="14">
        <f>VLOOKUP(B13,'75 - Summary Exhibit'!A:N,4,FALSE)</f>
        <v>51638</v>
      </c>
      <c r="G13" s="14">
        <f>VLOOKUP(B13,'75 - Summary Exhibit'!A:N,5,FALSE)</f>
        <v>41282</v>
      </c>
      <c r="H13" s="14">
        <f>VLOOKUP(B13,'75 - Summary Exhibit'!A:N,6,FALSE)</f>
        <v>0</v>
      </c>
      <c r="I13" s="11">
        <f>VLOOKUP(B13,'75 - Summary Exhibit'!A:N,7,FALSE)</f>
        <v>0</v>
      </c>
      <c r="J13" s="11">
        <f>VLOOKUP(B13,'75 - Summary Exhibit'!A:N,8,FALSE)</f>
        <v>0</v>
      </c>
      <c r="K13" s="11">
        <f>VLOOKUP(B13,'75 - Summary Exhibit'!A:N,9,FALSE)</f>
        <v>0</v>
      </c>
      <c r="L13" s="11">
        <f>VLOOKUP(B13,'75 - Summary Exhibit'!A:N,10,FALSE)</f>
        <v>0</v>
      </c>
      <c r="M13" s="11">
        <f>VLOOKUP(B13,'75 - Summary Exhibit'!A:N,11,FALSE)</f>
        <v>216</v>
      </c>
      <c r="N13" s="11">
        <f>VLOOKUP(B13,'75 - Summary Exhibit'!A:N,12,FALSE)</f>
        <v>100062</v>
      </c>
      <c r="O13" s="11">
        <f>VLOOKUP(B13,'75 - Summary Exhibit'!A:N,13,FALSE)</f>
        <v>-72</v>
      </c>
      <c r="P13" s="11">
        <f t="shared" si="0"/>
        <v>99990</v>
      </c>
      <c r="Q13" s="11">
        <f>VLOOKUP(B13,'75- Deferred Amortization'!A:G,3,FALSE)</f>
        <v>27467</v>
      </c>
      <c r="R13" s="11">
        <f>VLOOKUP(B13,'75- Deferred Amortization'!A:G,4,FALSE)</f>
        <v>27467</v>
      </c>
      <c r="S13" s="11">
        <f>VLOOKUP(B13,'75- Deferred Amortization'!A:G,5,FALSE)</f>
        <v>27457</v>
      </c>
      <c r="T13" s="11">
        <f>VLOOKUP(B13,'75- Deferred Amortization'!A:G,6,FALSE)</f>
        <v>10313</v>
      </c>
      <c r="U13" s="11">
        <f>VLOOKUP(B13,'75- Deferred Amortization'!A:G,7,FALSE)</f>
        <v>0</v>
      </c>
      <c r="V13" s="11">
        <f t="shared" si="9"/>
        <v>-1</v>
      </c>
      <c r="W13" s="11">
        <f t="shared" si="1"/>
        <v>0</v>
      </c>
      <c r="X13">
        <v>1</v>
      </c>
      <c r="AC13" s="11">
        <f t="shared" si="2"/>
        <v>-191299</v>
      </c>
      <c r="AD13" s="14"/>
      <c r="AE13" s="14"/>
      <c r="AF13" s="14"/>
      <c r="AG13" s="11"/>
      <c r="AH13" s="11"/>
      <c r="AI13" s="11"/>
      <c r="AJ13" s="11"/>
      <c r="AK13" s="11"/>
      <c r="AM13" s="11">
        <f t="shared" si="3"/>
        <v>0</v>
      </c>
      <c r="AN13" s="11">
        <f t="shared" si="4"/>
        <v>216</v>
      </c>
      <c r="AO13" s="14">
        <f t="shared" si="5"/>
        <v>51638</v>
      </c>
      <c r="AP13" s="11">
        <f t="shared" si="6"/>
        <v>0</v>
      </c>
      <c r="AQ13" s="14">
        <f t="shared" si="7"/>
        <v>0</v>
      </c>
      <c r="AR13" s="11">
        <f t="shared" si="8"/>
        <v>0</v>
      </c>
      <c r="AS13" s="11">
        <f t="shared" si="10"/>
        <v>2964</v>
      </c>
      <c r="AU13" s="12">
        <f>VLOOKUP(B13,'Allocation Exhibit 2016-06-30'!A:D,4,FALSE)</f>
        <v>3.0804999999999999E-3</v>
      </c>
    </row>
    <row r="14" spans="1:49">
      <c r="A14" t="s">
        <v>48</v>
      </c>
      <c r="B14">
        <v>21550</v>
      </c>
      <c r="C14" s="11">
        <f>VLOOKUP(B14,'ER Contributions'!A:D,4,FALSE)</f>
        <v>2317813</v>
      </c>
      <c r="D14" s="12">
        <f>VLOOKUP(B14,'ER Contributions'!A:D,3,FALSE)</f>
        <v>4.00842E-2</v>
      </c>
      <c r="E14" s="11">
        <f>VLOOKUP(B14,'75 - Summary Exhibit'!A:N,3,FALSE)</f>
        <v>-2449946</v>
      </c>
      <c r="F14" s="14">
        <f>VLOOKUP(B14,'75 - Summary Exhibit'!A:N,4,FALSE)</f>
        <v>671731</v>
      </c>
      <c r="G14" s="14">
        <f>VLOOKUP(B14,'75 - Summary Exhibit'!A:N,5,FALSE)</f>
        <v>537008</v>
      </c>
      <c r="H14" s="14">
        <f>VLOOKUP(B14,'75 - Summary Exhibit'!A:N,6,FALSE)</f>
        <v>0</v>
      </c>
      <c r="I14" s="11">
        <f>VLOOKUP(B14,'75 - Summary Exhibit'!A:N,7,FALSE)</f>
        <v>0</v>
      </c>
      <c r="J14" s="11">
        <f>VLOOKUP(B14,'75 - Summary Exhibit'!A:N,8,FALSE)</f>
        <v>0</v>
      </c>
      <c r="K14" s="11">
        <f>VLOOKUP(B14,'75 - Summary Exhibit'!A:N,9,FALSE)</f>
        <v>0</v>
      </c>
      <c r="L14" s="11">
        <f>VLOOKUP(B14,'75 - Summary Exhibit'!A:N,10,FALSE)</f>
        <v>0</v>
      </c>
      <c r="M14" s="11">
        <f>VLOOKUP(B14,'75 - Summary Exhibit'!A:N,11,FALSE)</f>
        <v>261643</v>
      </c>
      <c r="N14" s="11">
        <f>VLOOKUP(B14,'75 - Summary Exhibit'!A:N,12,FALSE)</f>
        <v>1301654</v>
      </c>
      <c r="O14" s="11">
        <f>VLOOKUP(B14,'75 - Summary Exhibit'!A:N,13,FALSE)</f>
        <v>-87214</v>
      </c>
      <c r="P14" s="11">
        <f t="shared" si="0"/>
        <v>1214440</v>
      </c>
      <c r="Q14" s="11">
        <f>VLOOKUP(B14,'75- Deferred Amortization'!A:G,3,FALSE)</f>
        <v>271018</v>
      </c>
      <c r="R14" s="11">
        <f>VLOOKUP(B14,'75- Deferred Amortization'!A:G,4,FALSE)</f>
        <v>271018</v>
      </c>
      <c r="S14" s="11">
        <f>VLOOKUP(B14,'75- Deferred Amortization'!A:G,5,FALSE)</f>
        <v>270898</v>
      </c>
      <c r="T14" s="11">
        <f>VLOOKUP(B14,'75- Deferred Amortization'!A:G,6,FALSE)</f>
        <v>134162</v>
      </c>
      <c r="U14" s="11">
        <f>VLOOKUP(B14,'75- Deferred Amortization'!A:G,7,FALSE)</f>
        <v>0</v>
      </c>
      <c r="V14" s="11">
        <f t="shared" si="9"/>
        <v>-1</v>
      </c>
      <c r="W14" s="11">
        <f t="shared" si="1"/>
        <v>0</v>
      </c>
      <c r="X14">
        <v>1</v>
      </c>
      <c r="AC14" s="11">
        <f t="shared" si="2"/>
        <v>-2293670</v>
      </c>
      <c r="AD14" s="14"/>
      <c r="AE14" s="14"/>
      <c r="AF14" s="14"/>
      <c r="AG14" s="11"/>
      <c r="AH14" s="11"/>
      <c r="AI14" s="11"/>
      <c r="AJ14" s="11"/>
      <c r="AK14" s="11"/>
      <c r="AM14" s="11">
        <f t="shared" si="3"/>
        <v>0</v>
      </c>
      <c r="AN14" s="11">
        <f t="shared" si="4"/>
        <v>261643</v>
      </c>
      <c r="AO14" s="14">
        <f t="shared" si="5"/>
        <v>671731</v>
      </c>
      <c r="AP14" s="11">
        <f t="shared" si="6"/>
        <v>0</v>
      </c>
      <c r="AQ14" s="14">
        <f t="shared" si="7"/>
        <v>0</v>
      </c>
      <c r="AR14" s="11">
        <f t="shared" si="8"/>
        <v>0</v>
      </c>
      <c r="AS14" s="11">
        <f t="shared" si="10"/>
        <v>-156276</v>
      </c>
      <c r="AU14" s="12">
        <f>VLOOKUP(B14,'Allocation Exhibit 2016-06-30'!A:D,4,FALSE)</f>
        <v>3.6935099999999998E-2</v>
      </c>
    </row>
    <row r="15" spans="1:49">
      <c r="A15" t="s">
        <v>47</v>
      </c>
      <c r="B15">
        <v>21520</v>
      </c>
      <c r="C15" s="11">
        <f>VLOOKUP(B15,'ER Contributions'!A:D,4,FALSE)</f>
        <v>4202750</v>
      </c>
      <c r="D15" s="12">
        <f>VLOOKUP(B15,'ER Contributions'!A:D,3,FALSE)</f>
        <v>6.8096799999999999E-2</v>
      </c>
      <c r="E15" s="11">
        <f>VLOOKUP(B15,'75 - Summary Exhibit'!A:N,3,FALSE)</f>
        <v>-4162076</v>
      </c>
      <c r="F15" s="14">
        <f>VLOOKUP(B15,'75 - Summary Exhibit'!A:N,4,FALSE)</f>
        <v>1141166</v>
      </c>
      <c r="G15" s="14">
        <f>VLOOKUP(B15,'75 - Summary Exhibit'!A:N,5,FALSE)</f>
        <v>912293</v>
      </c>
      <c r="H15" s="14">
        <f>VLOOKUP(B15,'75 - Summary Exhibit'!A:N,6,FALSE)</f>
        <v>0</v>
      </c>
      <c r="I15" s="11">
        <f>VLOOKUP(B15,'75 - Summary Exhibit'!A:N,7,FALSE)</f>
        <v>0</v>
      </c>
      <c r="J15" s="11">
        <f>VLOOKUP(B15,'75 - Summary Exhibit'!A:N,8,FALSE)</f>
        <v>0</v>
      </c>
      <c r="K15" s="11">
        <f>VLOOKUP(B15,'75 - Summary Exhibit'!A:N,9,FALSE)</f>
        <v>0</v>
      </c>
      <c r="L15" s="11">
        <f>VLOOKUP(B15,'75 - Summary Exhibit'!A:N,10,FALSE)</f>
        <v>0</v>
      </c>
      <c r="M15" s="11">
        <f>VLOOKUP(B15,'75 - Summary Exhibit'!A:N,11,FALSE)</f>
        <v>65974</v>
      </c>
      <c r="N15" s="11">
        <f>VLOOKUP(B15,'75 - Summary Exhibit'!A:N,12,FALSE)</f>
        <v>2211307</v>
      </c>
      <c r="O15" s="11">
        <f>VLOOKUP(B15,'75 - Summary Exhibit'!A:N,13,FALSE)</f>
        <v>-21991</v>
      </c>
      <c r="P15" s="11">
        <f t="shared" si="0"/>
        <v>2189316</v>
      </c>
      <c r="Q15" s="11">
        <f>VLOOKUP(B15,'75- Deferred Amortization'!A:G,3,FALSE)</f>
        <v>586590</v>
      </c>
      <c r="R15" s="11">
        <f>VLOOKUP(B15,'75- Deferred Amortization'!A:G,4,FALSE)</f>
        <v>586590</v>
      </c>
      <c r="S15" s="11">
        <f>VLOOKUP(B15,'75- Deferred Amortization'!A:G,5,FALSE)</f>
        <v>586385</v>
      </c>
      <c r="T15" s="11">
        <f>VLOOKUP(B15,'75- Deferred Amortization'!A:G,6,FALSE)</f>
        <v>227920</v>
      </c>
      <c r="U15" s="11">
        <f>VLOOKUP(B15,'75- Deferred Amortization'!A:G,7,FALSE)</f>
        <v>0</v>
      </c>
      <c r="V15" s="11">
        <f t="shared" si="9"/>
        <v>0</v>
      </c>
      <c r="W15" s="11">
        <f t="shared" si="1"/>
        <v>0</v>
      </c>
      <c r="X15">
        <v>1</v>
      </c>
      <c r="AC15" s="11">
        <f t="shared" si="2"/>
        <v>-4136127</v>
      </c>
      <c r="AD15" s="14"/>
      <c r="AE15" s="14"/>
      <c r="AF15" s="14"/>
      <c r="AG15" s="11"/>
      <c r="AH15" s="11"/>
      <c r="AI15" s="11"/>
      <c r="AJ15" s="11"/>
      <c r="AK15" s="11"/>
      <c r="AM15" s="11">
        <f t="shared" si="3"/>
        <v>0</v>
      </c>
      <c r="AN15" s="11">
        <f t="shared" si="4"/>
        <v>65974</v>
      </c>
      <c r="AO15" s="14">
        <f t="shared" si="5"/>
        <v>1141166</v>
      </c>
      <c r="AP15" s="11">
        <f t="shared" si="6"/>
        <v>0</v>
      </c>
      <c r="AQ15" s="14">
        <f t="shared" si="7"/>
        <v>0</v>
      </c>
      <c r="AR15" s="11">
        <f t="shared" si="8"/>
        <v>0</v>
      </c>
      <c r="AS15" s="11">
        <f t="shared" si="10"/>
        <v>-25949</v>
      </c>
      <c r="AU15" s="12">
        <f>VLOOKUP(B15,'Allocation Exhibit 2016-06-30'!A:D,4,FALSE)</f>
        <v>6.6604300000000005E-2</v>
      </c>
    </row>
    <row r="16" spans="1:49">
      <c r="A16" t="s">
        <v>51</v>
      </c>
      <c r="B16">
        <v>23000</v>
      </c>
      <c r="C16" s="11">
        <f>VLOOKUP(B16,'ER Contributions'!A:D,4,FALSE)</f>
        <v>159069</v>
      </c>
      <c r="D16" s="12">
        <f>VLOOKUP(B16,'ER Contributions'!A:D,3,FALSE)</f>
        <v>2.6194999999999999E-3</v>
      </c>
      <c r="E16" s="11">
        <f>VLOOKUP(B16,'75 - Summary Exhibit'!A:N,3,FALSE)</f>
        <v>-160104</v>
      </c>
      <c r="F16" s="14">
        <f>VLOOKUP(B16,'75 - Summary Exhibit'!A:N,4,FALSE)</f>
        <v>43898</v>
      </c>
      <c r="G16" s="14">
        <f>VLOOKUP(B16,'75 - Summary Exhibit'!A:N,5,FALSE)</f>
        <v>35093</v>
      </c>
      <c r="H16" s="14">
        <f>VLOOKUP(B16,'75 - Summary Exhibit'!A:N,6,FALSE)</f>
        <v>0</v>
      </c>
      <c r="I16" s="11">
        <f>VLOOKUP(B16,'75 - Summary Exhibit'!A:N,7,FALSE)</f>
        <v>0</v>
      </c>
      <c r="J16" s="11">
        <f>VLOOKUP(B16,'75 - Summary Exhibit'!A:N,8,FALSE)</f>
        <v>0</v>
      </c>
      <c r="K16" s="11">
        <f>VLOOKUP(B16,'75 - Summary Exhibit'!A:N,9,FALSE)</f>
        <v>0</v>
      </c>
      <c r="L16" s="11">
        <f>VLOOKUP(B16,'75 - Summary Exhibit'!A:N,10,FALSE)</f>
        <v>0</v>
      </c>
      <c r="M16" s="11">
        <f>VLOOKUP(B16,'75 - Summary Exhibit'!A:N,11,FALSE)</f>
        <v>9834</v>
      </c>
      <c r="N16" s="11">
        <f>VLOOKUP(B16,'75 - Summary Exhibit'!A:N,12,FALSE)</f>
        <v>85063</v>
      </c>
      <c r="O16" s="11">
        <f>VLOOKUP(B16,'75 - Summary Exhibit'!A:N,13,FALSE)</f>
        <v>-3278</v>
      </c>
      <c r="P16" s="11">
        <f t="shared" si="0"/>
        <v>81785</v>
      </c>
      <c r="Q16" s="11">
        <f>VLOOKUP(B16,'75- Deferred Amortization'!A:G,3,FALSE)</f>
        <v>20133</v>
      </c>
      <c r="R16" s="11">
        <f>VLOOKUP(B16,'75- Deferred Amortization'!A:G,4,FALSE)</f>
        <v>20133</v>
      </c>
      <c r="S16" s="11">
        <f>VLOOKUP(B16,'75- Deferred Amortization'!A:G,5,FALSE)</f>
        <v>20125</v>
      </c>
      <c r="T16" s="11">
        <f>VLOOKUP(B16,'75- Deferred Amortization'!A:G,6,FALSE)</f>
        <v>8767</v>
      </c>
      <c r="U16" s="11">
        <f>VLOOKUP(B16,'75- Deferred Amortization'!A:G,7,FALSE)</f>
        <v>0</v>
      </c>
      <c r="V16" s="11">
        <f t="shared" si="9"/>
        <v>0</v>
      </c>
      <c r="W16" s="11">
        <f t="shared" si="1"/>
        <v>-1</v>
      </c>
      <c r="X16">
        <v>1</v>
      </c>
      <c r="AC16" s="11">
        <f t="shared" si="2"/>
        <v>-151977</v>
      </c>
      <c r="AD16" s="14"/>
      <c r="AE16" s="14"/>
      <c r="AF16" s="14"/>
      <c r="AG16" s="11"/>
      <c r="AH16" s="11"/>
      <c r="AI16" s="11"/>
      <c r="AJ16" s="11"/>
      <c r="AK16" s="11"/>
      <c r="AM16" s="11">
        <f t="shared" si="3"/>
        <v>0</v>
      </c>
      <c r="AN16" s="11">
        <f t="shared" si="4"/>
        <v>9834</v>
      </c>
      <c r="AO16" s="14">
        <f t="shared" si="5"/>
        <v>43898</v>
      </c>
      <c r="AP16" s="11">
        <f t="shared" si="6"/>
        <v>0</v>
      </c>
      <c r="AQ16" s="14">
        <f t="shared" si="7"/>
        <v>0</v>
      </c>
      <c r="AR16" s="11">
        <f t="shared" si="8"/>
        <v>0</v>
      </c>
      <c r="AS16" s="11">
        <f t="shared" si="10"/>
        <v>-8127</v>
      </c>
      <c r="AU16" s="12">
        <f>VLOOKUP(B16,'Allocation Exhibit 2016-06-30'!A:D,4,FALSE)</f>
        <v>2.4472999999999999E-3</v>
      </c>
    </row>
    <row r="17" spans="1:47">
      <c r="A17" t="s">
        <v>52</v>
      </c>
      <c r="B17">
        <v>23100</v>
      </c>
      <c r="C17" s="11">
        <f>VLOOKUP(B17,'ER Contributions'!A:D,4,FALSE)</f>
        <v>928114</v>
      </c>
      <c r="D17" s="12">
        <f>VLOOKUP(B17,'ER Contributions'!A:D,3,FALSE)</f>
        <v>1.5039200000000001E-2</v>
      </c>
      <c r="E17" s="11">
        <f>VLOOKUP(B17,'75 - Summary Exhibit'!A:N,3,FALSE)</f>
        <v>-919196</v>
      </c>
      <c r="F17" s="14">
        <f>VLOOKUP(B17,'75 - Summary Exhibit'!A:N,4,FALSE)</f>
        <v>252027</v>
      </c>
      <c r="G17" s="14">
        <f>VLOOKUP(B17,'75 - Summary Exhibit'!A:N,5,FALSE)</f>
        <v>201480</v>
      </c>
      <c r="H17" s="14">
        <f>VLOOKUP(B17,'75 - Summary Exhibit'!A:N,6,FALSE)</f>
        <v>0</v>
      </c>
      <c r="I17" s="11">
        <f>VLOOKUP(B17,'75 - Summary Exhibit'!A:N,7,FALSE)</f>
        <v>0</v>
      </c>
      <c r="J17" s="11">
        <f>VLOOKUP(B17,'75 - Summary Exhibit'!A:N,8,FALSE)</f>
        <v>0</v>
      </c>
      <c r="K17" s="11">
        <f>VLOOKUP(B17,'75 - Summary Exhibit'!A:N,9,FALSE)</f>
        <v>0</v>
      </c>
      <c r="L17" s="11">
        <f>VLOOKUP(B17,'75 - Summary Exhibit'!A:N,10,FALSE)</f>
        <v>0</v>
      </c>
      <c r="M17" s="11">
        <f>VLOOKUP(B17,'75 - Summary Exhibit'!A:N,11,FALSE)</f>
        <v>66829</v>
      </c>
      <c r="N17" s="11">
        <f>VLOOKUP(B17,'75 - Summary Exhibit'!A:N,12,FALSE)</f>
        <v>488368</v>
      </c>
      <c r="O17" s="11">
        <f>VLOOKUP(B17,'75 - Summary Exhibit'!A:N,13,FALSE)</f>
        <v>-22276</v>
      </c>
      <c r="P17" s="11">
        <f t="shared" si="0"/>
        <v>466092</v>
      </c>
      <c r="Q17" s="11">
        <f>VLOOKUP(B17,'75- Deferred Amortization'!A:G,3,FALSE)</f>
        <v>112129</v>
      </c>
      <c r="R17" s="11">
        <f>VLOOKUP(B17,'75- Deferred Amortization'!A:G,4,FALSE)</f>
        <v>112129</v>
      </c>
      <c r="S17" s="11">
        <f>VLOOKUP(B17,'75- Deferred Amortization'!A:G,5,FALSE)</f>
        <v>112084</v>
      </c>
      <c r="T17" s="11">
        <f>VLOOKUP(B17,'75- Deferred Amortization'!A:G,6,FALSE)</f>
        <v>50336</v>
      </c>
      <c r="U17" s="11">
        <f>VLOOKUP(B17,'75- Deferred Amortization'!A:G,7,FALSE)</f>
        <v>0</v>
      </c>
      <c r="V17" s="11">
        <f t="shared" si="9"/>
        <v>0</v>
      </c>
      <c r="W17" s="11">
        <f t="shared" si="1"/>
        <v>0</v>
      </c>
      <c r="X17">
        <v>1</v>
      </c>
      <c r="AC17" s="11">
        <f t="shared" si="2"/>
        <v>-843852</v>
      </c>
      <c r="AD17" s="14"/>
      <c r="AE17" s="14"/>
      <c r="AF17" s="14"/>
      <c r="AG17" s="11"/>
      <c r="AH17" s="11"/>
      <c r="AI17" s="11"/>
      <c r="AJ17" s="11"/>
      <c r="AK17" s="11"/>
      <c r="AM17" s="11">
        <f t="shared" si="3"/>
        <v>0</v>
      </c>
      <c r="AN17" s="11">
        <f t="shared" si="4"/>
        <v>66829</v>
      </c>
      <c r="AO17" s="14">
        <f t="shared" si="5"/>
        <v>252027</v>
      </c>
      <c r="AP17" s="11">
        <f t="shared" si="6"/>
        <v>0</v>
      </c>
      <c r="AQ17" s="14">
        <f t="shared" si="7"/>
        <v>0</v>
      </c>
      <c r="AR17" s="11">
        <f t="shared" si="8"/>
        <v>0</v>
      </c>
      <c r="AS17" s="11">
        <f t="shared" si="10"/>
        <v>-75344</v>
      </c>
      <c r="AU17" s="12">
        <f>VLOOKUP(B17,'Allocation Exhibit 2016-06-30'!A:D,4,FALSE)</f>
        <v>1.3588599999999999E-2</v>
      </c>
    </row>
    <row r="18" spans="1:47">
      <c r="A18" t="s">
        <v>44</v>
      </c>
      <c r="B18">
        <v>20900</v>
      </c>
      <c r="C18" s="11">
        <f>VLOOKUP(B18,'ER Contributions'!A:D,4,FALSE)</f>
        <v>625375</v>
      </c>
      <c r="D18" s="12">
        <f>VLOOKUP(B18,'ER Contributions'!A:D,3,FALSE)</f>
        <v>9.5709999999999996E-3</v>
      </c>
      <c r="E18" s="11">
        <f>VLOOKUP(B18,'75 - Summary Exhibit'!A:N,3,FALSE)</f>
        <v>-584980</v>
      </c>
      <c r="F18" s="14">
        <f>VLOOKUP(B18,'75 - Summary Exhibit'!A:N,4,FALSE)</f>
        <v>160391</v>
      </c>
      <c r="G18" s="14">
        <f>VLOOKUP(B18,'75 - Summary Exhibit'!A:N,5,FALSE)</f>
        <v>128223</v>
      </c>
      <c r="H18" s="14">
        <f>VLOOKUP(B18,'75 - Summary Exhibit'!A:N,6,FALSE)</f>
        <v>0</v>
      </c>
      <c r="I18" s="11">
        <f>VLOOKUP(B18,'75 - Summary Exhibit'!A:N,7,FALSE)</f>
        <v>2399</v>
      </c>
      <c r="J18" s="11">
        <f>VLOOKUP(B18,'75 - Summary Exhibit'!A:N,8,FALSE)</f>
        <v>0</v>
      </c>
      <c r="K18" s="11">
        <f>VLOOKUP(B18,'75 - Summary Exhibit'!A:N,9,FALSE)</f>
        <v>0</v>
      </c>
      <c r="L18" s="11">
        <f>VLOOKUP(B18,'75 - Summary Exhibit'!A:N,10,FALSE)</f>
        <v>0</v>
      </c>
      <c r="M18" s="11">
        <f>VLOOKUP(B18,'75 - Summary Exhibit'!A:N,11,FALSE)</f>
        <v>0</v>
      </c>
      <c r="N18" s="11">
        <f>VLOOKUP(B18,'75 - Summary Exhibit'!A:N,12,FALSE)</f>
        <v>310799</v>
      </c>
      <c r="O18" s="11">
        <f>VLOOKUP(B18,'75 - Summary Exhibit'!A:N,13,FALSE)</f>
        <v>800</v>
      </c>
      <c r="P18" s="11">
        <f t="shared" si="0"/>
        <v>311599</v>
      </c>
      <c r="Q18" s="11">
        <f>VLOOKUP(B18,'75- Deferred Amortization'!A:G,3,FALSE)</f>
        <v>86336</v>
      </c>
      <c r="R18" s="11">
        <f>VLOOKUP(B18,'75- Deferred Amortization'!A:G,4,FALSE)</f>
        <v>86336</v>
      </c>
      <c r="S18" s="11">
        <f>VLOOKUP(B18,'75- Deferred Amortization'!A:G,5,FALSE)</f>
        <v>86307</v>
      </c>
      <c r="T18" s="11">
        <f>VLOOKUP(B18,'75- Deferred Amortization'!A:G,6,FALSE)</f>
        <v>32034</v>
      </c>
      <c r="U18" s="11">
        <f>VLOOKUP(B18,'75- Deferred Amortization'!A:G,7,FALSE)</f>
        <v>0</v>
      </c>
      <c r="V18" s="11">
        <f t="shared" si="9"/>
        <v>1</v>
      </c>
      <c r="W18" s="11">
        <f t="shared" si="1"/>
        <v>0</v>
      </c>
      <c r="X18">
        <v>1</v>
      </c>
      <c r="AC18" s="11">
        <f t="shared" si="2"/>
        <v>-562216</v>
      </c>
      <c r="AD18" s="14"/>
      <c r="AE18" s="14"/>
      <c r="AF18" s="14"/>
      <c r="AG18" s="11"/>
      <c r="AH18" s="11"/>
      <c r="AI18" s="11"/>
      <c r="AJ18" s="11"/>
      <c r="AK18" s="11"/>
      <c r="AM18" s="11">
        <f t="shared" si="3"/>
        <v>2399</v>
      </c>
      <c r="AN18" s="11">
        <f t="shared" si="4"/>
        <v>0</v>
      </c>
      <c r="AO18" s="14">
        <f t="shared" si="5"/>
        <v>160391</v>
      </c>
      <c r="AP18" s="11">
        <f t="shared" si="6"/>
        <v>0</v>
      </c>
      <c r="AQ18" s="14">
        <f t="shared" si="7"/>
        <v>0</v>
      </c>
      <c r="AR18" s="11">
        <f t="shared" si="8"/>
        <v>0</v>
      </c>
      <c r="AS18" s="11">
        <f t="shared" si="10"/>
        <v>-22764</v>
      </c>
      <c r="AU18" s="12">
        <f>VLOOKUP(B18,'Allocation Exhibit 2016-06-30'!A:D,4,FALSE)</f>
        <v>9.0533999999999996E-3</v>
      </c>
    </row>
    <row r="19" spans="1:47">
      <c r="A19" t="s">
        <v>53</v>
      </c>
      <c r="B19">
        <v>23200</v>
      </c>
      <c r="C19" s="11">
        <f>VLOOKUP(B19,'ER Contributions'!A:D,4,FALSE)</f>
        <v>474107</v>
      </c>
      <c r="D19" s="12">
        <f>VLOOKUP(B19,'ER Contributions'!A:D,3,FALSE)</f>
        <v>7.6874999999999999E-3</v>
      </c>
      <c r="E19" s="11">
        <f>VLOOKUP(B19,'75 - Summary Exhibit'!A:N,3,FALSE)</f>
        <v>-469860</v>
      </c>
      <c r="F19" s="14">
        <f>VLOOKUP(B19,'75 - Summary Exhibit'!A:N,4,FALSE)</f>
        <v>128827</v>
      </c>
      <c r="G19" s="14">
        <f>VLOOKUP(B19,'75 - Summary Exhibit'!A:N,5,FALSE)</f>
        <v>102989</v>
      </c>
      <c r="H19" s="14">
        <f>VLOOKUP(B19,'75 - Summary Exhibit'!A:N,6,FALSE)</f>
        <v>0</v>
      </c>
      <c r="I19" s="11">
        <f>VLOOKUP(B19,'75 - Summary Exhibit'!A:N,7,FALSE)</f>
        <v>0</v>
      </c>
      <c r="J19" s="11">
        <f>VLOOKUP(B19,'75 - Summary Exhibit'!A:N,8,FALSE)</f>
        <v>0</v>
      </c>
      <c r="K19" s="11">
        <f>VLOOKUP(B19,'75 - Summary Exhibit'!A:N,9,FALSE)</f>
        <v>0</v>
      </c>
      <c r="L19" s="11">
        <f>VLOOKUP(B19,'75 - Summary Exhibit'!A:N,10,FALSE)</f>
        <v>0</v>
      </c>
      <c r="M19" s="11">
        <f>VLOOKUP(B19,'75 - Summary Exhibit'!A:N,11,FALSE)</f>
        <v>18270</v>
      </c>
      <c r="N19" s="11">
        <f>VLOOKUP(B19,'75 - Summary Exhibit'!A:N,12,FALSE)</f>
        <v>249636</v>
      </c>
      <c r="O19" s="11">
        <f>VLOOKUP(B19,'75 - Summary Exhibit'!A:N,13,FALSE)</f>
        <v>-6090</v>
      </c>
      <c r="P19" s="11">
        <f t="shared" si="0"/>
        <v>243546</v>
      </c>
      <c r="Q19" s="11">
        <f>VLOOKUP(B19,'75- Deferred Amortization'!A:G,3,FALSE)</f>
        <v>62613</v>
      </c>
      <c r="R19" s="11">
        <f>VLOOKUP(B19,'75- Deferred Amortization'!A:G,4,FALSE)</f>
        <v>62613</v>
      </c>
      <c r="S19" s="11">
        <f>VLOOKUP(B19,'75- Deferred Amortization'!A:G,5,FALSE)</f>
        <v>62590</v>
      </c>
      <c r="T19" s="11">
        <f>VLOOKUP(B19,'75- Deferred Amortization'!A:G,6,FALSE)</f>
        <v>25730</v>
      </c>
      <c r="U19" s="11">
        <f>VLOOKUP(B19,'75- Deferred Amortization'!A:G,7,FALSE)</f>
        <v>0</v>
      </c>
      <c r="V19" s="11">
        <f t="shared" si="9"/>
        <v>-1</v>
      </c>
      <c r="W19" s="11">
        <f t="shared" si="1"/>
        <v>0</v>
      </c>
      <c r="X19">
        <v>1</v>
      </c>
      <c r="AC19" s="11">
        <f t="shared" si="2"/>
        <v>-452846</v>
      </c>
      <c r="AD19" s="14"/>
      <c r="AE19" s="14"/>
      <c r="AF19" s="14"/>
      <c r="AG19" s="11"/>
      <c r="AH19" s="11"/>
      <c r="AI19" s="11"/>
      <c r="AJ19" s="11"/>
      <c r="AK19" s="11"/>
      <c r="AM19" s="11">
        <f t="shared" si="3"/>
        <v>0</v>
      </c>
      <c r="AN19" s="11">
        <f t="shared" si="4"/>
        <v>18270</v>
      </c>
      <c r="AO19" s="14">
        <f t="shared" si="5"/>
        <v>128827</v>
      </c>
      <c r="AP19" s="11">
        <f t="shared" si="6"/>
        <v>0</v>
      </c>
      <c r="AQ19" s="14">
        <f t="shared" si="7"/>
        <v>0</v>
      </c>
      <c r="AR19" s="11">
        <f t="shared" si="8"/>
        <v>0</v>
      </c>
      <c r="AS19" s="11">
        <f t="shared" si="10"/>
        <v>-17014</v>
      </c>
      <c r="AU19" s="12">
        <f>VLOOKUP(B19,'Allocation Exhibit 2016-06-30'!A:D,4,FALSE)</f>
        <v>7.2922000000000004E-3</v>
      </c>
    </row>
    <row r="20" spans="1:47">
      <c r="A20" t="s">
        <v>49</v>
      </c>
      <c r="B20">
        <v>21800</v>
      </c>
      <c r="C20" s="11">
        <f>VLOOKUP(B20,'ER Contributions'!A:D,4,FALSE)</f>
        <v>346556</v>
      </c>
      <c r="D20" s="12">
        <f>VLOOKUP(B20,'ER Contributions'!A:D,3,FALSE)</f>
        <v>5.7400000000000003E-3</v>
      </c>
      <c r="E20" s="11">
        <f>VLOOKUP(B20,'75 - Summary Exhibit'!A:N,3,FALSE)</f>
        <v>-350829</v>
      </c>
      <c r="F20" s="14">
        <f>VLOOKUP(B20,'75 - Summary Exhibit'!A:N,4,FALSE)</f>
        <v>96191</v>
      </c>
      <c r="G20" s="14">
        <f>VLOOKUP(B20,'75 - Summary Exhibit'!A:N,5,FALSE)</f>
        <v>76899</v>
      </c>
      <c r="H20" s="14">
        <f>VLOOKUP(B20,'75 - Summary Exhibit'!A:N,6,FALSE)</f>
        <v>0</v>
      </c>
      <c r="I20" s="11">
        <f>VLOOKUP(B20,'75 - Summary Exhibit'!A:N,7,FALSE)</f>
        <v>0</v>
      </c>
      <c r="J20" s="11">
        <f>VLOOKUP(B20,'75 - Summary Exhibit'!A:N,8,FALSE)</f>
        <v>0</v>
      </c>
      <c r="K20" s="11">
        <f>VLOOKUP(B20,'75 - Summary Exhibit'!A:N,9,FALSE)</f>
        <v>0</v>
      </c>
      <c r="L20" s="11">
        <f>VLOOKUP(B20,'75 - Summary Exhibit'!A:N,10,FALSE)</f>
        <v>0</v>
      </c>
      <c r="M20" s="11">
        <f>VLOOKUP(B20,'75 - Summary Exhibit'!A:N,11,FALSE)</f>
        <v>13372</v>
      </c>
      <c r="N20" s="11">
        <f>VLOOKUP(B20,'75 - Summary Exhibit'!A:N,12,FALSE)</f>
        <v>186395</v>
      </c>
      <c r="O20" s="11">
        <f>VLOOKUP(B20,'75 - Summary Exhibit'!A:N,13,FALSE)</f>
        <v>-4457</v>
      </c>
      <c r="P20" s="11">
        <f t="shared" si="0"/>
        <v>181938</v>
      </c>
      <c r="Q20" s="11">
        <f>VLOOKUP(B20,'75- Deferred Amortization'!A:G,3,FALSE)</f>
        <v>46841</v>
      </c>
      <c r="R20" s="11">
        <f>VLOOKUP(B20,'75- Deferred Amortization'!A:G,4,FALSE)</f>
        <v>46841</v>
      </c>
      <c r="S20" s="11">
        <f>VLOOKUP(B20,'75- Deferred Amortization'!A:G,5,FALSE)</f>
        <v>46824</v>
      </c>
      <c r="T20" s="11">
        <f>VLOOKUP(B20,'75- Deferred Amortization'!A:G,6,FALSE)</f>
        <v>19212</v>
      </c>
      <c r="U20" s="11">
        <f>VLOOKUP(B20,'75- Deferred Amortization'!A:G,7,FALSE)</f>
        <v>0</v>
      </c>
      <c r="V20" s="11">
        <f t="shared" si="9"/>
        <v>1</v>
      </c>
      <c r="W20" s="11">
        <f t="shared" si="1"/>
        <v>0</v>
      </c>
      <c r="X20">
        <v>1</v>
      </c>
      <c r="AC20" s="11">
        <f t="shared" si="2"/>
        <v>-345928</v>
      </c>
      <c r="AD20" s="14"/>
      <c r="AE20" s="14"/>
      <c r="AF20" s="14"/>
      <c r="AG20" s="11"/>
      <c r="AH20" s="11"/>
      <c r="AI20" s="11"/>
      <c r="AJ20" s="11"/>
      <c r="AK20" s="11"/>
      <c r="AM20" s="11">
        <f t="shared" si="3"/>
        <v>0</v>
      </c>
      <c r="AN20" s="11">
        <f t="shared" si="4"/>
        <v>13372</v>
      </c>
      <c r="AO20" s="14">
        <f t="shared" si="5"/>
        <v>96191</v>
      </c>
      <c r="AP20" s="11">
        <f t="shared" si="6"/>
        <v>0</v>
      </c>
      <c r="AQ20" s="14">
        <f t="shared" si="7"/>
        <v>0</v>
      </c>
      <c r="AR20" s="11">
        <f t="shared" si="8"/>
        <v>0</v>
      </c>
      <c r="AS20" s="11">
        <f t="shared" si="10"/>
        <v>-4901</v>
      </c>
      <c r="AU20" s="12">
        <f>VLOOKUP(B20,'Allocation Exhibit 2016-06-30'!A:D,4,FALSE)</f>
        <v>5.5704999999999999E-3</v>
      </c>
    </row>
    <row r="21" spans="1:47">
      <c r="A21" t="s">
        <v>50</v>
      </c>
      <c r="B21">
        <v>21900</v>
      </c>
      <c r="C21" s="11">
        <f>VLOOKUP(B21,'ER Contributions'!A:D,4,FALSE)</f>
        <v>213433</v>
      </c>
      <c r="D21" s="12">
        <f>VLOOKUP(B21,'ER Contributions'!A:D,3,FALSE)</f>
        <v>3.2564999999999998E-3</v>
      </c>
      <c r="E21" s="11">
        <f>VLOOKUP(B21,'75 - Summary Exhibit'!A:N,3,FALSE)</f>
        <v>-199037</v>
      </c>
      <c r="F21" s="14">
        <f>VLOOKUP(B21,'75 - Summary Exhibit'!A:N,4,FALSE)</f>
        <v>54572</v>
      </c>
      <c r="G21" s="14">
        <f>VLOOKUP(B21,'75 - Summary Exhibit'!A:N,5,FALSE)</f>
        <v>43627</v>
      </c>
      <c r="H21" s="14">
        <f>VLOOKUP(B21,'75 - Summary Exhibit'!A:N,6,FALSE)</f>
        <v>0</v>
      </c>
      <c r="I21" s="11">
        <f>VLOOKUP(B21,'75 - Summary Exhibit'!A:N,7,FALSE)</f>
        <v>9507</v>
      </c>
      <c r="J21" s="11">
        <f>VLOOKUP(B21,'75 - Summary Exhibit'!A:N,8,FALSE)</f>
        <v>0</v>
      </c>
      <c r="K21" s="11">
        <f>VLOOKUP(B21,'75 - Summary Exhibit'!A:N,9,FALSE)</f>
        <v>0</v>
      </c>
      <c r="L21" s="11">
        <f>VLOOKUP(B21,'75 - Summary Exhibit'!A:N,10,FALSE)</f>
        <v>0</v>
      </c>
      <c r="M21" s="11">
        <f>VLOOKUP(B21,'75 - Summary Exhibit'!A:N,11,FALSE)</f>
        <v>0</v>
      </c>
      <c r="N21" s="11">
        <f>VLOOKUP(B21,'75 - Summary Exhibit'!A:N,12,FALSE)</f>
        <v>105748</v>
      </c>
      <c r="O21" s="11">
        <f>VLOOKUP(B21,'75 - Summary Exhibit'!A:N,13,FALSE)</f>
        <v>3169</v>
      </c>
      <c r="P21" s="11">
        <f t="shared" si="0"/>
        <v>108917</v>
      </c>
      <c r="Q21" s="11">
        <f>VLOOKUP(B21,'75- Deferred Amortization'!A:G,3,FALSE)</f>
        <v>32272</v>
      </c>
      <c r="R21" s="11">
        <f>VLOOKUP(B21,'75- Deferred Amortization'!A:G,4,FALSE)</f>
        <v>32272</v>
      </c>
      <c r="S21" s="11">
        <f>VLOOKUP(B21,'75- Deferred Amortization'!A:G,5,FALSE)</f>
        <v>32263</v>
      </c>
      <c r="T21" s="11">
        <f>VLOOKUP(B21,'75- Deferred Amortization'!A:G,6,FALSE)</f>
        <v>10900</v>
      </c>
      <c r="U21" s="11">
        <f>VLOOKUP(B21,'75- Deferred Amortization'!A:G,7,FALSE)</f>
        <v>0</v>
      </c>
      <c r="V21" s="11">
        <f t="shared" si="9"/>
        <v>-2</v>
      </c>
      <c r="W21" s="11">
        <f t="shared" si="1"/>
        <v>-1</v>
      </c>
      <c r="X21">
        <v>1</v>
      </c>
      <c r="AC21" s="11">
        <f t="shared" si="2"/>
        <v>-202229</v>
      </c>
      <c r="AD21" s="14"/>
      <c r="AE21" s="14"/>
      <c r="AF21" s="14"/>
      <c r="AG21" s="11"/>
      <c r="AH21" s="11"/>
      <c r="AI21" s="11"/>
      <c r="AJ21" s="11"/>
      <c r="AK21" s="11"/>
      <c r="AM21" s="11">
        <f t="shared" si="3"/>
        <v>9507</v>
      </c>
      <c r="AN21" s="11">
        <f t="shared" si="4"/>
        <v>0</v>
      </c>
      <c r="AO21" s="14">
        <f t="shared" si="5"/>
        <v>54572</v>
      </c>
      <c r="AP21" s="11">
        <f t="shared" si="6"/>
        <v>0</v>
      </c>
      <c r="AQ21" s="14">
        <f t="shared" si="7"/>
        <v>0</v>
      </c>
      <c r="AR21" s="11">
        <f t="shared" si="8"/>
        <v>0</v>
      </c>
      <c r="AS21" s="11">
        <f t="shared" si="10"/>
        <v>3192</v>
      </c>
      <c r="AU21" s="12">
        <f>VLOOKUP(B21,'Allocation Exhibit 2016-06-30'!A:D,4,FALSE)</f>
        <v>3.2564999999999998E-3</v>
      </c>
    </row>
    <row r="22" spans="1:47">
      <c r="A22" t="s">
        <v>54</v>
      </c>
      <c r="B22">
        <v>30105</v>
      </c>
      <c r="C22" s="11">
        <f>VLOOKUP(B22,'ER Contributions'!A:D,4,FALSE)</f>
        <v>52256</v>
      </c>
      <c r="D22" s="12">
        <f>VLOOKUP(B22,'ER Contributions'!A:D,3,FALSE)</f>
        <v>8.0239999999999999E-4</v>
      </c>
      <c r="E22" s="11">
        <f>VLOOKUP(B22,'75 - Summary Exhibit'!A:N,3,FALSE)</f>
        <v>-49043</v>
      </c>
      <c r="F22" s="14">
        <f>VLOOKUP(B22,'75 - Summary Exhibit'!A:N,4,FALSE)</f>
        <v>13447</v>
      </c>
      <c r="G22" s="14">
        <f>VLOOKUP(B22,'75 - Summary Exhibit'!A:N,5,FALSE)</f>
        <v>10750</v>
      </c>
      <c r="H22" s="14">
        <f>VLOOKUP(B22,'75 - Summary Exhibit'!A:N,6,FALSE)</f>
        <v>0</v>
      </c>
      <c r="I22" s="11">
        <f>VLOOKUP(B22,'75 - Summary Exhibit'!A:N,7,FALSE)</f>
        <v>0</v>
      </c>
      <c r="J22" s="11">
        <f>VLOOKUP(B22,'75 - Summary Exhibit'!A:N,8,FALSE)</f>
        <v>0</v>
      </c>
      <c r="K22" s="11">
        <f>VLOOKUP(B22,'75 - Summary Exhibit'!A:N,9,FALSE)</f>
        <v>0</v>
      </c>
      <c r="L22" s="11">
        <f>VLOOKUP(B22,'75 - Summary Exhibit'!A:N,10,FALSE)</f>
        <v>0</v>
      </c>
      <c r="M22" s="11">
        <f>VLOOKUP(B22,'75 - Summary Exhibit'!A:N,11,FALSE)</f>
        <v>609</v>
      </c>
      <c r="N22" s="11">
        <f>VLOOKUP(B22,'75 - Summary Exhibit'!A:N,12,FALSE)</f>
        <v>26056</v>
      </c>
      <c r="O22" s="11">
        <f>VLOOKUP(B22,'75 - Summary Exhibit'!A:N,13,FALSE)</f>
        <v>-203</v>
      </c>
      <c r="P22" s="11">
        <f t="shared" si="0"/>
        <v>25853</v>
      </c>
      <c r="Q22" s="11">
        <f>VLOOKUP(B22,'75- Deferred Amortization'!A:G,3,FALSE)</f>
        <v>6968</v>
      </c>
      <c r="R22" s="11">
        <f>VLOOKUP(B22,'75- Deferred Amortization'!A:G,4,FALSE)</f>
        <v>6968</v>
      </c>
      <c r="S22" s="11">
        <f>VLOOKUP(B22,'75- Deferred Amortization'!A:G,5,FALSE)</f>
        <v>6966</v>
      </c>
      <c r="T22" s="11">
        <f>VLOOKUP(B22,'75- Deferred Amortization'!A:G,6,FALSE)</f>
        <v>2686</v>
      </c>
      <c r="U22" s="11">
        <f>VLOOKUP(B22,'75- Deferred Amortization'!A:G,7,FALSE)</f>
        <v>0</v>
      </c>
      <c r="V22" s="11">
        <f t="shared" si="9"/>
        <v>1</v>
      </c>
      <c r="W22" s="11">
        <f t="shared" si="1"/>
        <v>0</v>
      </c>
      <c r="X22">
        <v>2</v>
      </c>
      <c r="AC22" s="11">
        <f t="shared" si="2"/>
        <v>-46227</v>
      </c>
      <c r="AD22" s="14"/>
      <c r="AE22" s="14"/>
      <c r="AF22" s="14"/>
      <c r="AG22" s="11"/>
      <c r="AH22" s="11"/>
      <c r="AI22" s="11"/>
      <c r="AJ22" s="11"/>
      <c r="AK22" s="11"/>
      <c r="AM22" s="11">
        <f t="shared" si="3"/>
        <v>0</v>
      </c>
      <c r="AN22" s="11">
        <f t="shared" si="4"/>
        <v>609</v>
      </c>
      <c r="AO22" s="14">
        <f t="shared" si="5"/>
        <v>13447</v>
      </c>
      <c r="AP22" s="11">
        <f t="shared" si="6"/>
        <v>0</v>
      </c>
      <c r="AQ22" s="14">
        <f t="shared" si="7"/>
        <v>0</v>
      </c>
      <c r="AR22" s="11">
        <f t="shared" si="8"/>
        <v>0</v>
      </c>
      <c r="AS22" s="11">
        <f t="shared" si="10"/>
        <v>-2816</v>
      </c>
      <c r="AU22" s="12">
        <f>VLOOKUP(B22,'Allocation Exhibit 2016-06-30'!A:D,4,FALSE)</f>
        <v>7.4439999999999999E-4</v>
      </c>
    </row>
    <row r="23" spans="1:47">
      <c r="A23" t="s">
        <v>59</v>
      </c>
      <c r="B23">
        <v>31105</v>
      </c>
      <c r="C23" s="11">
        <f>VLOOKUP(B23,'ER Contributions'!A:D,4,FALSE)</f>
        <v>89794</v>
      </c>
      <c r="D23" s="12">
        <f>VLOOKUP(B23,'ER Contributions'!A:D,3,FALSE)</f>
        <v>1.3917999999999999E-3</v>
      </c>
      <c r="E23" s="11">
        <f>VLOOKUP(B23,'75 - Summary Exhibit'!A:N,3,FALSE)</f>
        <v>-85067</v>
      </c>
      <c r="F23" s="14">
        <f>VLOOKUP(B23,'75 - Summary Exhibit'!A:N,4,FALSE)</f>
        <v>23324</v>
      </c>
      <c r="G23" s="14">
        <f>VLOOKUP(B23,'75 - Summary Exhibit'!A:N,5,FALSE)</f>
        <v>18646</v>
      </c>
      <c r="H23" s="14">
        <f>VLOOKUP(B23,'75 - Summary Exhibit'!A:N,6,FALSE)</f>
        <v>0</v>
      </c>
      <c r="I23" s="11">
        <f>VLOOKUP(B23,'75 - Summary Exhibit'!A:N,7,FALSE)</f>
        <v>1564</v>
      </c>
      <c r="J23" s="11">
        <f>VLOOKUP(B23,'75 - Summary Exhibit'!A:N,8,FALSE)</f>
        <v>0</v>
      </c>
      <c r="K23" s="11">
        <f>VLOOKUP(B23,'75 - Summary Exhibit'!A:N,9,FALSE)</f>
        <v>0</v>
      </c>
      <c r="L23" s="11">
        <f>VLOOKUP(B23,'75 - Summary Exhibit'!A:N,10,FALSE)</f>
        <v>0</v>
      </c>
      <c r="M23" s="11">
        <f>VLOOKUP(B23,'75 - Summary Exhibit'!A:N,11,FALSE)</f>
        <v>0</v>
      </c>
      <c r="N23" s="11">
        <f>VLOOKUP(B23,'75 - Summary Exhibit'!A:N,12,FALSE)</f>
        <v>45196</v>
      </c>
      <c r="O23" s="11">
        <f>VLOOKUP(B23,'75 - Summary Exhibit'!A:N,13,FALSE)</f>
        <v>521</v>
      </c>
      <c r="P23" s="11">
        <f t="shared" si="0"/>
        <v>45717</v>
      </c>
      <c r="Q23" s="11">
        <f>VLOOKUP(B23,'75- Deferred Amortization'!A:G,3,FALSE)</f>
        <v>12960</v>
      </c>
      <c r="R23" s="11">
        <f>VLOOKUP(B23,'75- Deferred Amortization'!A:G,4,FALSE)</f>
        <v>12960</v>
      </c>
      <c r="S23" s="11">
        <f>VLOOKUP(B23,'75- Deferred Amortization'!A:G,5,FALSE)</f>
        <v>12956</v>
      </c>
      <c r="T23" s="11">
        <f>VLOOKUP(B23,'75- Deferred Amortization'!A:G,6,FALSE)</f>
        <v>4658</v>
      </c>
      <c r="U23" s="11">
        <f>VLOOKUP(B23,'75- Deferred Amortization'!A:G,7,FALSE)</f>
        <v>0</v>
      </c>
      <c r="V23" s="11">
        <f t="shared" si="9"/>
        <v>0</v>
      </c>
      <c r="W23" s="11">
        <f t="shared" si="1"/>
        <v>0</v>
      </c>
      <c r="X23">
        <v>2</v>
      </c>
      <c r="AC23" s="11">
        <f t="shared" si="2"/>
        <v>-84524</v>
      </c>
      <c r="AD23" s="14"/>
      <c r="AE23" s="14"/>
      <c r="AF23" s="14"/>
      <c r="AG23" s="11"/>
      <c r="AH23" s="11"/>
      <c r="AI23" s="11"/>
      <c r="AJ23" s="11"/>
      <c r="AK23" s="11"/>
      <c r="AM23" s="11">
        <f t="shared" si="3"/>
        <v>1564</v>
      </c>
      <c r="AN23" s="11">
        <f t="shared" si="4"/>
        <v>0</v>
      </c>
      <c r="AO23" s="14">
        <f t="shared" si="5"/>
        <v>23324</v>
      </c>
      <c r="AP23" s="11">
        <f t="shared" si="6"/>
        <v>0</v>
      </c>
      <c r="AQ23" s="14">
        <f t="shared" si="7"/>
        <v>0</v>
      </c>
      <c r="AR23" s="11">
        <f t="shared" si="8"/>
        <v>0</v>
      </c>
      <c r="AS23" s="11">
        <f t="shared" si="10"/>
        <v>-543</v>
      </c>
      <c r="AU23" s="12">
        <f>VLOOKUP(B23,'Allocation Exhibit 2016-06-30'!A:D,4,FALSE)</f>
        <v>1.3611000000000001E-3</v>
      </c>
    </row>
    <row r="24" spans="1:47">
      <c r="A24" t="s">
        <v>56</v>
      </c>
      <c r="B24">
        <v>30705</v>
      </c>
      <c r="C24" s="11">
        <f>VLOOKUP(B24,'ER Contributions'!A:D,4,FALSE)</f>
        <v>27587</v>
      </c>
      <c r="D24" s="12">
        <f>VLOOKUP(B24,'ER Contributions'!A:D,3,FALSE)</f>
        <v>4.283E-4</v>
      </c>
      <c r="E24" s="11">
        <f>VLOOKUP(B24,'75 - Summary Exhibit'!A:N,3,FALSE)</f>
        <v>-26178</v>
      </c>
      <c r="F24" s="14">
        <f>VLOOKUP(B24,'75 - Summary Exhibit'!A:N,4,FALSE)</f>
        <v>7177</v>
      </c>
      <c r="G24" s="14">
        <f>VLOOKUP(B24,'75 - Summary Exhibit'!A:N,5,FALSE)</f>
        <v>5738</v>
      </c>
      <c r="H24" s="14">
        <f>VLOOKUP(B24,'75 - Summary Exhibit'!A:N,6,FALSE)</f>
        <v>0</v>
      </c>
      <c r="I24" s="11">
        <f>VLOOKUP(B24,'75 - Summary Exhibit'!A:N,7,FALSE)</f>
        <v>2894</v>
      </c>
      <c r="J24" s="11">
        <f>VLOOKUP(B24,'75 - Summary Exhibit'!A:N,8,FALSE)</f>
        <v>0</v>
      </c>
      <c r="K24" s="11">
        <f>VLOOKUP(B24,'75 - Summary Exhibit'!A:N,9,FALSE)</f>
        <v>0</v>
      </c>
      <c r="L24" s="11">
        <f>VLOOKUP(B24,'75 - Summary Exhibit'!A:N,10,FALSE)</f>
        <v>0</v>
      </c>
      <c r="M24" s="11">
        <f>VLOOKUP(B24,'75 - Summary Exhibit'!A:N,11,FALSE)</f>
        <v>0</v>
      </c>
      <c r="N24" s="11">
        <f>VLOOKUP(B24,'75 - Summary Exhibit'!A:N,12,FALSE)</f>
        <v>13908</v>
      </c>
      <c r="O24" s="11">
        <f>VLOOKUP(B24,'75 - Summary Exhibit'!A:N,13,FALSE)</f>
        <v>965</v>
      </c>
      <c r="P24" s="11">
        <f t="shared" si="0"/>
        <v>14873</v>
      </c>
      <c r="Q24" s="11">
        <f>VLOOKUP(B24,'75- Deferred Amortization'!A:G,3,FALSE)</f>
        <v>4793</v>
      </c>
      <c r="R24" s="11">
        <f>VLOOKUP(B24,'75- Deferred Amortization'!A:G,4,FALSE)</f>
        <v>4793</v>
      </c>
      <c r="S24" s="11">
        <f>VLOOKUP(B24,'75- Deferred Amortization'!A:G,5,FALSE)</f>
        <v>4791</v>
      </c>
      <c r="T24" s="11">
        <f>VLOOKUP(B24,'75- Deferred Amortization'!A:G,6,FALSE)</f>
        <v>1434</v>
      </c>
      <c r="U24" s="11">
        <f>VLOOKUP(B24,'75- Deferred Amortization'!A:G,7,FALSE)</f>
        <v>0</v>
      </c>
      <c r="V24" s="11">
        <f>ROUND(((F24-AD24)+(G24-AE24)+(H24-AF24)+(I24-AG24)+(AI24-K24)+P24-(E24-AC24)-(J24-AH24)-(M24-AK24)-C24),0)</f>
        <v>-1</v>
      </c>
      <c r="W24" s="11">
        <f t="shared" si="1"/>
        <v>-2</v>
      </c>
      <c r="X24">
        <v>2</v>
      </c>
      <c r="AC24" s="11">
        <f t="shared" si="2"/>
        <v>-29274</v>
      </c>
      <c r="AD24" s="14"/>
      <c r="AE24" s="14"/>
      <c r="AF24" s="14"/>
      <c r="AG24" s="11"/>
      <c r="AH24" s="11"/>
      <c r="AI24" s="11"/>
      <c r="AJ24" s="11"/>
      <c r="AK24" s="11"/>
      <c r="AM24" s="11">
        <f t="shared" si="3"/>
        <v>2894</v>
      </c>
      <c r="AN24" s="11">
        <f t="shared" si="4"/>
        <v>0</v>
      </c>
      <c r="AO24" s="14">
        <f t="shared" si="5"/>
        <v>7177</v>
      </c>
      <c r="AP24" s="11">
        <f t="shared" si="6"/>
        <v>0</v>
      </c>
      <c r="AQ24" s="14">
        <f t="shared" si="7"/>
        <v>0</v>
      </c>
      <c r="AR24" s="11">
        <f t="shared" si="8"/>
        <v>0</v>
      </c>
      <c r="AS24" s="11">
        <f t="shared" si="10"/>
        <v>3096</v>
      </c>
      <c r="AU24" s="12">
        <f>VLOOKUP(B24,'Allocation Exhibit 2016-06-30'!A:D,4,FALSE)</f>
        <v>4.7140000000000002E-4</v>
      </c>
    </row>
    <row r="25" spans="1:47">
      <c r="A25" t="s">
        <v>57</v>
      </c>
      <c r="B25">
        <v>30905</v>
      </c>
      <c r="C25" s="11">
        <f>VLOOKUP(B25,'ER Contributions'!A:D,4,FALSE)</f>
        <v>22516</v>
      </c>
      <c r="D25" s="12">
        <f>VLOOKUP(B25,'ER Contributions'!A:D,3,FALSE)</f>
        <v>2.8459999999999998E-4</v>
      </c>
      <c r="E25" s="11">
        <f>VLOOKUP(B25,'75 - Summary Exhibit'!A:N,3,FALSE)</f>
        <v>-17395</v>
      </c>
      <c r="F25" s="14">
        <f>VLOOKUP(B25,'75 - Summary Exhibit'!A:N,4,FALSE)</f>
        <v>4769</v>
      </c>
      <c r="G25" s="14">
        <f>VLOOKUP(B25,'75 - Summary Exhibit'!A:N,5,FALSE)</f>
        <v>3813</v>
      </c>
      <c r="H25" s="14">
        <f>VLOOKUP(B25,'75 - Summary Exhibit'!A:N,6,FALSE)</f>
        <v>0</v>
      </c>
      <c r="I25" s="11">
        <f>VLOOKUP(B25,'75 - Summary Exhibit'!A:N,7,FALSE)</f>
        <v>4525</v>
      </c>
      <c r="J25" s="11">
        <f>VLOOKUP(B25,'75 - Summary Exhibit'!A:N,8,FALSE)</f>
        <v>0</v>
      </c>
      <c r="K25" s="11">
        <f>VLOOKUP(B25,'75 - Summary Exhibit'!A:N,9,FALSE)</f>
        <v>0</v>
      </c>
      <c r="L25" s="11">
        <f>VLOOKUP(B25,'75 - Summary Exhibit'!A:N,10,FALSE)</f>
        <v>0</v>
      </c>
      <c r="M25" s="11">
        <f>VLOOKUP(B25,'75 - Summary Exhibit'!A:N,11,FALSE)</f>
        <v>0</v>
      </c>
      <c r="N25" s="11">
        <f>VLOOKUP(B25,'75 - Summary Exhibit'!A:N,12,FALSE)</f>
        <v>9242</v>
      </c>
      <c r="O25" s="11">
        <f>VLOOKUP(B25,'75 - Summary Exhibit'!A:N,13,FALSE)</f>
        <v>1508</v>
      </c>
      <c r="P25" s="11">
        <f t="shared" si="0"/>
        <v>10750</v>
      </c>
      <c r="Q25" s="11">
        <f>VLOOKUP(B25,'75- Deferred Amortization'!A:G,3,FALSE)</f>
        <v>4052</v>
      </c>
      <c r="R25" s="11">
        <f>VLOOKUP(B25,'75- Deferred Amortization'!A:G,4,FALSE)</f>
        <v>4052</v>
      </c>
      <c r="S25" s="11">
        <f>VLOOKUP(B25,'75- Deferred Amortization'!A:G,5,FALSE)</f>
        <v>4051</v>
      </c>
      <c r="T25" s="11">
        <f>VLOOKUP(B25,'75- Deferred Amortization'!A:G,6,FALSE)</f>
        <v>953</v>
      </c>
      <c r="U25" s="11">
        <f>VLOOKUP(B25,'75- Deferred Amortization'!A:G,7,FALSE)</f>
        <v>0</v>
      </c>
      <c r="V25" s="11">
        <f>ROUND(((F25-AD25)+(G25-AE25)+(H25-AF25)+(I25-AG25)+(AI25-K25)+P25-(E25-AC25)-(J25-AH25)-(M25-AK25)-C25),0)</f>
        <v>0</v>
      </c>
      <c r="W25" s="11">
        <f t="shared" si="1"/>
        <v>-1</v>
      </c>
      <c r="X25">
        <v>2</v>
      </c>
      <c r="AC25" s="11">
        <f t="shared" si="2"/>
        <v>-18736</v>
      </c>
      <c r="AD25" s="14"/>
      <c r="AE25" s="14"/>
      <c r="AF25" s="14"/>
      <c r="AG25" s="11"/>
      <c r="AH25" s="11"/>
      <c r="AI25" s="11"/>
      <c r="AJ25" s="11"/>
      <c r="AK25" s="11"/>
      <c r="AM25" s="11">
        <f t="shared" si="3"/>
        <v>4525</v>
      </c>
      <c r="AN25" s="11">
        <f t="shared" si="4"/>
        <v>0</v>
      </c>
      <c r="AO25" s="14">
        <f t="shared" si="5"/>
        <v>4769</v>
      </c>
      <c r="AP25" s="11">
        <f t="shared" si="6"/>
        <v>0</v>
      </c>
      <c r="AQ25" s="14">
        <f t="shared" si="7"/>
        <v>0</v>
      </c>
      <c r="AR25" s="11">
        <f t="shared" si="8"/>
        <v>0</v>
      </c>
      <c r="AS25" s="11">
        <f t="shared" si="10"/>
        <v>1341</v>
      </c>
      <c r="AU25" s="12">
        <f>VLOOKUP(B25,'Allocation Exhibit 2016-06-30'!A:D,4,FALSE)</f>
        <v>3.0170000000000002E-4</v>
      </c>
    </row>
    <row r="26" spans="1:47">
      <c r="A26" t="s">
        <v>78</v>
      </c>
      <c r="B26">
        <v>34505</v>
      </c>
      <c r="C26" s="11">
        <f>VLOOKUP(B26,'ER Contributions'!A:D,4,FALSE)</f>
        <v>39360</v>
      </c>
      <c r="D26" s="12">
        <f>VLOOKUP(B26,'ER Contributions'!A:D,3,FALSE)</f>
        <v>5.7729999999999999E-4</v>
      </c>
      <c r="E26" s="11">
        <f>VLOOKUP(B26,'75 - Summary Exhibit'!A:N,3,FALSE)</f>
        <v>-35285</v>
      </c>
      <c r="F26" s="14">
        <f>VLOOKUP(B26,'75 - Summary Exhibit'!A:N,4,FALSE)</f>
        <v>9674</v>
      </c>
      <c r="G26" s="14">
        <f>VLOOKUP(B26,'75 - Summary Exhibit'!A:N,5,FALSE)</f>
        <v>7734</v>
      </c>
      <c r="H26" s="14">
        <f>VLOOKUP(B26,'75 - Summary Exhibit'!A:N,6,FALSE)</f>
        <v>0</v>
      </c>
      <c r="I26" s="11">
        <f>VLOOKUP(B26,'75 - Summary Exhibit'!A:N,7,FALSE)</f>
        <v>1715</v>
      </c>
      <c r="J26" s="11">
        <f>VLOOKUP(B26,'75 - Summary Exhibit'!A:N,8,FALSE)</f>
        <v>0</v>
      </c>
      <c r="K26" s="11">
        <f>VLOOKUP(B26,'75 - Summary Exhibit'!A:N,9,FALSE)</f>
        <v>0</v>
      </c>
      <c r="L26" s="11">
        <f>VLOOKUP(B26,'75 - Summary Exhibit'!A:N,10,FALSE)</f>
        <v>0</v>
      </c>
      <c r="M26" s="11">
        <f>VLOOKUP(B26,'75 - Summary Exhibit'!A:N,11,FALSE)</f>
        <v>0</v>
      </c>
      <c r="N26" s="11">
        <f>VLOOKUP(B26,'75 - Summary Exhibit'!A:N,12,FALSE)</f>
        <v>18747</v>
      </c>
      <c r="O26" s="11">
        <f>VLOOKUP(B26,'75 - Summary Exhibit'!A:N,13,FALSE)</f>
        <v>572</v>
      </c>
      <c r="P26" s="11">
        <f t="shared" si="0"/>
        <v>19319</v>
      </c>
      <c r="Q26" s="11">
        <f>VLOOKUP(B26,'75- Deferred Amortization'!A:G,3,FALSE)</f>
        <v>5731</v>
      </c>
      <c r="R26" s="11">
        <f>VLOOKUP(B26,'75- Deferred Amortization'!A:G,4,FALSE)</f>
        <v>5731</v>
      </c>
      <c r="S26" s="11">
        <f>VLOOKUP(B26,'75- Deferred Amortization'!A:G,5,FALSE)</f>
        <v>5729</v>
      </c>
      <c r="T26" s="11">
        <f>VLOOKUP(B26,'75- Deferred Amortization'!A:G,6,FALSE)</f>
        <v>1932</v>
      </c>
      <c r="U26" s="11">
        <f>VLOOKUP(B26,'75- Deferred Amortization'!A:G,7,FALSE)</f>
        <v>0</v>
      </c>
      <c r="V26" s="11">
        <f t="shared" ref="V26:V35" si="11">ROUND(((F26-AD26)+(G26-AE26)+(H26-AF26)+(I26-AG26)+(AI26-K26)+P26-(E26-AC26)-(J26-AH26)-(M26-AK26)-C26),0)</f>
        <v>1</v>
      </c>
      <c r="W26" s="11">
        <f t="shared" si="1"/>
        <v>0</v>
      </c>
      <c r="X26">
        <v>2</v>
      </c>
      <c r="AC26" s="11">
        <f t="shared" si="2"/>
        <v>-34366</v>
      </c>
      <c r="AD26" s="14"/>
      <c r="AE26" s="14"/>
      <c r="AF26" s="14"/>
      <c r="AG26" s="11"/>
      <c r="AH26" s="11"/>
      <c r="AI26" s="11"/>
      <c r="AJ26" s="11"/>
      <c r="AK26" s="11"/>
      <c r="AM26" s="11">
        <f t="shared" si="3"/>
        <v>1715</v>
      </c>
      <c r="AN26" s="11">
        <f t="shared" si="4"/>
        <v>0</v>
      </c>
      <c r="AO26" s="14">
        <f t="shared" si="5"/>
        <v>9674</v>
      </c>
      <c r="AP26" s="11">
        <f t="shared" si="6"/>
        <v>0</v>
      </c>
      <c r="AQ26" s="14">
        <f t="shared" si="7"/>
        <v>0</v>
      </c>
      <c r="AR26" s="11">
        <f t="shared" si="8"/>
        <v>0</v>
      </c>
      <c r="AS26" s="11">
        <f t="shared" si="10"/>
        <v>-919</v>
      </c>
      <c r="AU26" s="12">
        <f>VLOOKUP(B26,'Allocation Exhibit 2016-06-30'!A:D,4,FALSE)</f>
        <v>5.5340000000000001E-4</v>
      </c>
    </row>
    <row r="27" spans="1:47">
      <c r="A27" t="s">
        <v>58</v>
      </c>
      <c r="B27">
        <v>31005</v>
      </c>
      <c r="C27" s="11">
        <f>VLOOKUP(B27,'ER Contributions'!A:D,4,FALSE)</f>
        <v>28728</v>
      </c>
      <c r="D27" s="12">
        <f>VLOOKUP(B27,'ER Contributions'!A:D,3,FALSE)</f>
        <v>4.0259999999999997E-4</v>
      </c>
      <c r="E27" s="11">
        <f>VLOOKUP(B27,'75 - Summary Exhibit'!A:N,3,FALSE)</f>
        <v>-24607</v>
      </c>
      <c r="F27" s="14">
        <f>VLOOKUP(B27,'75 - Summary Exhibit'!A:N,4,FALSE)</f>
        <v>6747</v>
      </c>
      <c r="G27" s="14">
        <f>VLOOKUP(B27,'75 - Summary Exhibit'!A:N,5,FALSE)</f>
        <v>5394</v>
      </c>
      <c r="H27" s="14">
        <f>VLOOKUP(B27,'75 - Summary Exhibit'!A:N,6,FALSE)</f>
        <v>0</v>
      </c>
      <c r="I27" s="11">
        <f>VLOOKUP(B27,'75 - Summary Exhibit'!A:N,7,FALSE)</f>
        <v>3923</v>
      </c>
      <c r="J27" s="11">
        <f>VLOOKUP(B27,'75 - Summary Exhibit'!A:N,8,FALSE)</f>
        <v>0</v>
      </c>
      <c r="K27" s="11">
        <f>VLOOKUP(B27,'75 - Summary Exhibit'!A:N,9,FALSE)</f>
        <v>0</v>
      </c>
      <c r="L27" s="11">
        <f>VLOOKUP(B27,'75 - Summary Exhibit'!A:N,10,FALSE)</f>
        <v>0</v>
      </c>
      <c r="M27" s="11">
        <f>VLOOKUP(B27,'75 - Summary Exhibit'!A:N,11,FALSE)</f>
        <v>0</v>
      </c>
      <c r="N27" s="11">
        <f>VLOOKUP(B27,'75 - Summary Exhibit'!A:N,12,FALSE)</f>
        <v>13074</v>
      </c>
      <c r="O27" s="11">
        <f>VLOOKUP(B27,'75 - Summary Exhibit'!A:N,13,FALSE)</f>
        <v>1308</v>
      </c>
      <c r="P27" s="11">
        <f t="shared" si="0"/>
        <v>14382</v>
      </c>
      <c r="Q27" s="11">
        <f>VLOOKUP(B27,'75- Deferred Amortization'!A:G,3,FALSE)</f>
        <v>4906</v>
      </c>
      <c r="R27" s="11">
        <f>VLOOKUP(B27,'75- Deferred Amortization'!A:G,4,FALSE)</f>
        <v>4906</v>
      </c>
      <c r="S27" s="11">
        <f>VLOOKUP(B27,'75- Deferred Amortization'!A:G,5,FALSE)</f>
        <v>4905</v>
      </c>
      <c r="T27" s="11">
        <f>VLOOKUP(B27,'75- Deferred Amortization'!A:G,6,FALSE)</f>
        <v>1348</v>
      </c>
      <c r="U27" s="11">
        <f>VLOOKUP(B27,'75- Deferred Amortization'!A:G,7,FALSE)</f>
        <v>0</v>
      </c>
      <c r="V27" s="11">
        <f t="shared" si="11"/>
        <v>1</v>
      </c>
      <c r="W27" s="11">
        <f t="shared" si="1"/>
        <v>-1</v>
      </c>
      <c r="X27">
        <v>2</v>
      </c>
      <c r="AC27" s="11">
        <f t="shared" si="2"/>
        <v>-26324</v>
      </c>
      <c r="AD27" s="14"/>
      <c r="AE27" s="14"/>
      <c r="AF27" s="14"/>
      <c r="AG27" s="11"/>
      <c r="AH27" s="11"/>
      <c r="AI27" s="11"/>
      <c r="AJ27" s="11"/>
      <c r="AK27" s="11"/>
      <c r="AM27" s="11">
        <f t="shared" si="3"/>
        <v>3923</v>
      </c>
      <c r="AN27" s="11">
        <f t="shared" si="4"/>
        <v>0</v>
      </c>
      <c r="AO27" s="14">
        <f t="shared" si="5"/>
        <v>6747</v>
      </c>
      <c r="AP27" s="11">
        <f t="shared" si="6"/>
        <v>0</v>
      </c>
      <c r="AQ27" s="14">
        <f t="shared" si="7"/>
        <v>0</v>
      </c>
      <c r="AR27" s="11">
        <f t="shared" si="8"/>
        <v>0</v>
      </c>
      <c r="AS27" s="11">
        <f t="shared" si="10"/>
        <v>1717</v>
      </c>
      <c r="AU27" s="12">
        <f>VLOOKUP(B27,'Allocation Exhibit 2016-06-30'!A:D,4,FALSE)</f>
        <v>4.239E-4</v>
      </c>
    </row>
    <row r="28" spans="1:47">
      <c r="A28" t="s">
        <v>61</v>
      </c>
      <c r="B28">
        <v>31405</v>
      </c>
      <c r="C28" s="11">
        <f>VLOOKUP(B28,'ER Contributions'!A:D,4,FALSE)</f>
        <v>56872</v>
      </c>
      <c r="D28" s="12">
        <f>VLOOKUP(B28,'ER Contributions'!A:D,3,FALSE)</f>
        <v>7.8370000000000002E-4</v>
      </c>
      <c r="E28" s="11">
        <f>VLOOKUP(B28,'75 - Summary Exhibit'!A:N,3,FALSE)</f>
        <v>-47900</v>
      </c>
      <c r="F28" s="14">
        <f>VLOOKUP(B28,'75 - Summary Exhibit'!A:N,4,FALSE)</f>
        <v>13133</v>
      </c>
      <c r="G28" s="14">
        <f>VLOOKUP(B28,'75 - Summary Exhibit'!A:N,5,FALSE)</f>
        <v>10499</v>
      </c>
      <c r="H28" s="14">
        <f>VLOOKUP(B28,'75 - Summary Exhibit'!A:N,6,FALSE)</f>
        <v>0</v>
      </c>
      <c r="I28" s="11">
        <f>VLOOKUP(B28,'75 - Summary Exhibit'!A:N,7,FALSE)</f>
        <v>8011</v>
      </c>
      <c r="J28" s="11">
        <f>VLOOKUP(B28,'75 - Summary Exhibit'!A:N,8,FALSE)</f>
        <v>0</v>
      </c>
      <c r="K28" s="11">
        <f>VLOOKUP(B28,'75 - Summary Exhibit'!A:N,9,FALSE)</f>
        <v>0</v>
      </c>
      <c r="L28" s="11">
        <f>VLOOKUP(B28,'75 - Summary Exhibit'!A:N,10,FALSE)</f>
        <v>0</v>
      </c>
      <c r="M28" s="11">
        <f>VLOOKUP(B28,'75 - Summary Exhibit'!A:N,11,FALSE)</f>
        <v>0</v>
      </c>
      <c r="N28" s="11">
        <f>VLOOKUP(B28,'75 - Summary Exhibit'!A:N,12,FALSE)</f>
        <v>25449</v>
      </c>
      <c r="O28" s="11">
        <f>VLOOKUP(B28,'75 - Summary Exhibit'!A:N,13,FALSE)</f>
        <v>2670</v>
      </c>
      <c r="P28" s="11">
        <f t="shared" si="0"/>
        <v>28119</v>
      </c>
      <c r="Q28" s="11">
        <f>VLOOKUP(B28,'75- Deferred Amortization'!A:G,3,FALSE)</f>
        <v>9674</v>
      </c>
      <c r="R28" s="11">
        <f>VLOOKUP(B28,'75- Deferred Amortization'!A:G,4,FALSE)</f>
        <v>9674</v>
      </c>
      <c r="S28" s="11">
        <f>VLOOKUP(B28,'75- Deferred Amortization'!A:G,5,FALSE)</f>
        <v>9672</v>
      </c>
      <c r="T28" s="11">
        <f>VLOOKUP(B28,'75- Deferred Amortization'!A:G,6,FALSE)</f>
        <v>2623</v>
      </c>
      <c r="U28" s="11">
        <f>VLOOKUP(B28,'75- Deferred Amortization'!A:G,7,FALSE)</f>
        <v>0</v>
      </c>
      <c r="V28" s="11">
        <f t="shared" si="11"/>
        <v>-2</v>
      </c>
      <c r="W28" s="11">
        <f t="shared" si="1"/>
        <v>0</v>
      </c>
      <c r="X28">
        <v>2</v>
      </c>
      <c r="AC28" s="11">
        <f t="shared" si="2"/>
        <v>-50792</v>
      </c>
      <c r="AD28" s="14"/>
      <c r="AE28" s="14"/>
      <c r="AF28" s="14"/>
      <c r="AG28" s="11"/>
      <c r="AH28" s="11"/>
      <c r="AI28" s="11"/>
      <c r="AJ28" s="11"/>
      <c r="AK28" s="11"/>
      <c r="AM28" s="11">
        <f t="shared" si="3"/>
        <v>8011</v>
      </c>
      <c r="AN28" s="11">
        <f t="shared" si="4"/>
        <v>0</v>
      </c>
      <c r="AO28" s="14">
        <f t="shared" si="5"/>
        <v>13133</v>
      </c>
      <c r="AP28" s="11">
        <f t="shared" si="6"/>
        <v>0</v>
      </c>
      <c r="AQ28" s="14">
        <f t="shared" si="7"/>
        <v>0</v>
      </c>
      <c r="AR28" s="11">
        <f t="shared" si="8"/>
        <v>0</v>
      </c>
      <c r="AS28" s="11">
        <f t="shared" si="10"/>
        <v>2892</v>
      </c>
      <c r="AU28" s="12">
        <f>VLOOKUP(B28,'Allocation Exhibit 2016-06-30'!A:D,4,FALSE)</f>
        <v>8.1789999999999999E-4</v>
      </c>
    </row>
    <row r="29" spans="1:47">
      <c r="A29" t="s">
        <v>92</v>
      </c>
      <c r="B29">
        <v>36505</v>
      </c>
      <c r="C29" s="11">
        <f>VLOOKUP(B29,'ER Contributions'!A:D,4,FALSE)</f>
        <v>123302</v>
      </c>
      <c r="D29" s="12">
        <f>VLOOKUP(B29,'ER Contributions'!A:D,3,FALSE)</f>
        <v>1.9540999999999998E-3</v>
      </c>
      <c r="E29" s="11">
        <f>VLOOKUP(B29,'75 - Summary Exhibit'!A:N,3,FALSE)</f>
        <v>-119435</v>
      </c>
      <c r="F29" s="14">
        <f>VLOOKUP(B29,'75 - Summary Exhibit'!A:N,4,FALSE)</f>
        <v>32747</v>
      </c>
      <c r="G29" s="14">
        <f>VLOOKUP(B29,'75 - Summary Exhibit'!A:N,5,FALSE)</f>
        <v>26179</v>
      </c>
      <c r="H29" s="14">
        <f>VLOOKUP(B29,'75 - Summary Exhibit'!A:N,6,FALSE)</f>
        <v>0</v>
      </c>
      <c r="I29" s="11">
        <f>VLOOKUP(B29,'75 - Summary Exhibit'!A:N,7,FALSE)</f>
        <v>0</v>
      </c>
      <c r="J29" s="11">
        <f>VLOOKUP(B29,'75 - Summary Exhibit'!A:N,8,FALSE)</f>
        <v>0</v>
      </c>
      <c r="K29" s="11">
        <f>VLOOKUP(B29,'75 - Summary Exhibit'!A:N,9,FALSE)</f>
        <v>0</v>
      </c>
      <c r="L29" s="11">
        <f>VLOOKUP(B29,'75 - Summary Exhibit'!A:N,10,FALSE)</f>
        <v>0</v>
      </c>
      <c r="M29" s="11">
        <f>VLOOKUP(B29,'75 - Summary Exhibit'!A:N,11,FALSE)</f>
        <v>496</v>
      </c>
      <c r="N29" s="11">
        <f>VLOOKUP(B29,'75 - Summary Exhibit'!A:N,12,FALSE)</f>
        <v>63455</v>
      </c>
      <c r="O29" s="11">
        <f>VLOOKUP(B29,'75 - Summary Exhibit'!A:N,13,FALSE)</f>
        <v>-165</v>
      </c>
      <c r="P29" s="11">
        <f t="shared" si="0"/>
        <v>63290</v>
      </c>
      <c r="Q29" s="11">
        <f>VLOOKUP(B29,'75- Deferred Amortization'!A:G,3,FALSE)</f>
        <v>17299</v>
      </c>
      <c r="R29" s="11">
        <f>VLOOKUP(B29,'75- Deferred Amortization'!A:G,4,FALSE)</f>
        <v>17299</v>
      </c>
      <c r="S29" s="11">
        <f>VLOOKUP(B29,'75- Deferred Amortization'!A:G,5,FALSE)</f>
        <v>17293</v>
      </c>
      <c r="T29" s="11">
        <f>VLOOKUP(B29,'75- Deferred Amortization'!A:G,6,FALSE)</f>
        <v>6540</v>
      </c>
      <c r="U29" s="11">
        <f>VLOOKUP(B29,'75- Deferred Amortization'!A:G,7,FALSE)</f>
        <v>0</v>
      </c>
      <c r="V29" s="11">
        <f t="shared" si="11"/>
        <v>0</v>
      </c>
      <c r="W29" s="11">
        <f t="shared" si="1"/>
        <v>-1</v>
      </c>
      <c r="X29">
        <v>2</v>
      </c>
      <c r="AC29" s="11">
        <f t="shared" si="2"/>
        <v>-117853</v>
      </c>
      <c r="AD29" s="14"/>
      <c r="AE29" s="14"/>
      <c r="AF29" s="14"/>
      <c r="AG29" s="11"/>
      <c r="AH29" s="11"/>
      <c r="AI29" s="11"/>
      <c r="AJ29" s="11"/>
      <c r="AK29" s="11"/>
      <c r="AM29" s="11">
        <f t="shared" si="3"/>
        <v>0</v>
      </c>
      <c r="AN29" s="11">
        <f t="shared" si="4"/>
        <v>496</v>
      </c>
      <c r="AO29" s="14">
        <f t="shared" si="5"/>
        <v>32747</v>
      </c>
      <c r="AP29" s="11">
        <f t="shared" si="6"/>
        <v>0</v>
      </c>
      <c r="AQ29" s="14">
        <f t="shared" si="7"/>
        <v>0</v>
      </c>
      <c r="AR29" s="11">
        <f t="shared" si="8"/>
        <v>0</v>
      </c>
      <c r="AS29" s="11">
        <f t="shared" si="10"/>
        <v>-1582</v>
      </c>
      <c r="AU29" s="12">
        <f>VLOOKUP(B29,'Allocation Exhibit 2016-06-30'!A:D,4,FALSE)</f>
        <v>1.8978000000000001E-3</v>
      </c>
    </row>
    <row r="30" spans="1:47">
      <c r="A30" t="s">
        <v>62</v>
      </c>
      <c r="B30">
        <v>31605</v>
      </c>
      <c r="C30" s="11">
        <f>VLOOKUP(B30,'ER Contributions'!A:D,4,FALSE)</f>
        <v>28878</v>
      </c>
      <c r="D30" s="12">
        <f>VLOOKUP(B30,'ER Contributions'!A:D,3,FALSE)</f>
        <v>4.2200000000000001E-4</v>
      </c>
      <c r="E30" s="11">
        <f>VLOOKUP(B30,'75 - Summary Exhibit'!A:N,3,FALSE)</f>
        <v>-25793</v>
      </c>
      <c r="F30" s="14">
        <f>VLOOKUP(B30,'75 - Summary Exhibit'!A:N,4,FALSE)</f>
        <v>7072</v>
      </c>
      <c r="G30" s="14">
        <f>VLOOKUP(B30,'75 - Summary Exhibit'!A:N,5,FALSE)</f>
        <v>5654</v>
      </c>
      <c r="H30" s="14">
        <f>VLOOKUP(B30,'75 - Summary Exhibit'!A:N,6,FALSE)</f>
        <v>0</v>
      </c>
      <c r="I30" s="11">
        <f>VLOOKUP(B30,'75 - Summary Exhibit'!A:N,7,FALSE)</f>
        <v>1574</v>
      </c>
      <c r="J30" s="11">
        <f>VLOOKUP(B30,'75 - Summary Exhibit'!A:N,8,FALSE)</f>
        <v>0</v>
      </c>
      <c r="K30" s="11">
        <f>VLOOKUP(B30,'75 - Summary Exhibit'!A:N,9,FALSE)</f>
        <v>0</v>
      </c>
      <c r="L30" s="11">
        <f>VLOOKUP(B30,'75 - Summary Exhibit'!A:N,10,FALSE)</f>
        <v>0</v>
      </c>
      <c r="M30" s="11">
        <f>VLOOKUP(B30,'75 - Summary Exhibit'!A:N,11,FALSE)</f>
        <v>0</v>
      </c>
      <c r="N30" s="11">
        <f>VLOOKUP(B30,'75 - Summary Exhibit'!A:N,12,FALSE)</f>
        <v>13704</v>
      </c>
      <c r="O30" s="11">
        <f>VLOOKUP(B30,'75 - Summary Exhibit'!A:N,13,FALSE)</f>
        <v>525</v>
      </c>
      <c r="P30" s="11">
        <f t="shared" si="0"/>
        <v>14229</v>
      </c>
      <c r="Q30" s="11">
        <f>VLOOKUP(B30,'75- Deferred Amortization'!A:G,3,FALSE)</f>
        <v>4296</v>
      </c>
      <c r="R30" s="11">
        <f>VLOOKUP(B30,'75- Deferred Amortization'!A:G,4,FALSE)</f>
        <v>4296</v>
      </c>
      <c r="S30" s="11">
        <f>VLOOKUP(B30,'75- Deferred Amortization'!A:G,5,FALSE)</f>
        <v>4295</v>
      </c>
      <c r="T30" s="11">
        <f>VLOOKUP(B30,'75- Deferred Amortization'!A:G,6,FALSE)</f>
        <v>1412</v>
      </c>
      <c r="U30" s="11">
        <f>VLOOKUP(B30,'75- Deferred Amortization'!A:G,7,FALSE)</f>
        <v>0</v>
      </c>
      <c r="V30" s="11">
        <f t="shared" si="11"/>
        <v>2</v>
      </c>
      <c r="W30" s="11">
        <f t="shared" si="1"/>
        <v>1</v>
      </c>
      <c r="X30">
        <v>2</v>
      </c>
      <c r="AC30" s="11">
        <f t="shared" si="2"/>
        <v>-25442</v>
      </c>
      <c r="AD30" s="14"/>
      <c r="AE30" s="14"/>
      <c r="AF30" s="14"/>
      <c r="AG30" s="11"/>
      <c r="AH30" s="11"/>
      <c r="AI30" s="11"/>
      <c r="AJ30" s="11"/>
      <c r="AK30" s="11"/>
      <c r="AM30" s="11">
        <f t="shared" si="3"/>
        <v>1574</v>
      </c>
      <c r="AN30" s="11">
        <f t="shared" si="4"/>
        <v>0</v>
      </c>
      <c r="AO30" s="14">
        <f t="shared" si="5"/>
        <v>7072</v>
      </c>
      <c r="AP30" s="11">
        <f t="shared" si="6"/>
        <v>0</v>
      </c>
      <c r="AQ30" s="14">
        <f t="shared" si="7"/>
        <v>0</v>
      </c>
      <c r="AR30" s="11">
        <f t="shared" si="8"/>
        <v>0</v>
      </c>
      <c r="AS30" s="11">
        <f t="shared" si="10"/>
        <v>-351</v>
      </c>
      <c r="AU30" s="12">
        <f>VLOOKUP(B30,'Allocation Exhibit 2016-06-30'!A:D,4,FALSE)</f>
        <v>4.0969999999999998E-4</v>
      </c>
    </row>
    <row r="31" spans="1:47">
      <c r="A31" t="s">
        <v>63</v>
      </c>
      <c r="B31">
        <v>31805</v>
      </c>
      <c r="C31" s="11">
        <f>VLOOKUP(B31,'ER Contributions'!A:D,4,FALSE)</f>
        <v>67964</v>
      </c>
      <c r="D31" s="12">
        <f>VLOOKUP(B31,'ER Contributions'!A:D,3,FALSE)</f>
        <v>9.9879999999999999E-4</v>
      </c>
      <c r="E31" s="11">
        <f>VLOOKUP(B31,'75 - Summary Exhibit'!A:N,3,FALSE)</f>
        <v>-61047</v>
      </c>
      <c r="F31" s="14">
        <f>VLOOKUP(B31,'75 - Summary Exhibit'!A:N,4,FALSE)</f>
        <v>16738</v>
      </c>
      <c r="G31" s="14">
        <f>VLOOKUP(B31,'75 - Summary Exhibit'!A:N,5,FALSE)</f>
        <v>13381</v>
      </c>
      <c r="H31" s="14">
        <f>VLOOKUP(B31,'75 - Summary Exhibit'!A:N,6,FALSE)</f>
        <v>0</v>
      </c>
      <c r="I31" s="11">
        <f>VLOOKUP(B31,'75 - Summary Exhibit'!A:N,7,FALSE)</f>
        <v>5482</v>
      </c>
      <c r="J31" s="11">
        <f>VLOOKUP(B31,'75 - Summary Exhibit'!A:N,8,FALSE)</f>
        <v>0</v>
      </c>
      <c r="K31" s="11">
        <f>VLOOKUP(B31,'75 - Summary Exhibit'!A:N,9,FALSE)</f>
        <v>0</v>
      </c>
      <c r="L31" s="11">
        <f>VLOOKUP(B31,'75 - Summary Exhibit'!A:N,10,FALSE)</f>
        <v>0</v>
      </c>
      <c r="M31" s="11">
        <f>VLOOKUP(B31,'75 - Summary Exhibit'!A:N,11,FALSE)</f>
        <v>0</v>
      </c>
      <c r="N31" s="11">
        <f>VLOOKUP(B31,'75 - Summary Exhibit'!A:N,12,FALSE)</f>
        <v>32434</v>
      </c>
      <c r="O31" s="11">
        <f>VLOOKUP(B31,'75 - Summary Exhibit'!A:N,13,FALSE)</f>
        <v>1827</v>
      </c>
      <c r="P31" s="11">
        <f t="shared" si="0"/>
        <v>34261</v>
      </c>
      <c r="Q31" s="11">
        <f>VLOOKUP(B31,'75- Deferred Amortization'!A:G,3,FALSE)</f>
        <v>10754</v>
      </c>
      <c r="R31" s="11">
        <f>VLOOKUP(B31,'75- Deferred Amortization'!A:G,4,FALSE)</f>
        <v>10754</v>
      </c>
      <c r="S31" s="11">
        <f>VLOOKUP(B31,'75- Deferred Amortization'!A:G,5,FALSE)</f>
        <v>10751</v>
      </c>
      <c r="T31" s="11">
        <f>VLOOKUP(B31,'75- Deferred Amortization'!A:G,6,FALSE)</f>
        <v>3343</v>
      </c>
      <c r="U31" s="11">
        <f>VLOOKUP(B31,'75- Deferred Amortization'!A:G,7,FALSE)</f>
        <v>0</v>
      </c>
      <c r="V31" s="11">
        <f t="shared" si="11"/>
        <v>0</v>
      </c>
      <c r="W31" s="11">
        <f t="shared" si="1"/>
        <v>-1</v>
      </c>
      <c r="X31">
        <v>2</v>
      </c>
      <c r="AC31" s="11">
        <f t="shared" si="2"/>
        <v>-62945</v>
      </c>
      <c r="AD31" s="14"/>
      <c r="AE31" s="14"/>
      <c r="AF31" s="14"/>
      <c r="AG31" s="11"/>
      <c r="AH31" s="11"/>
      <c r="AI31" s="11"/>
      <c r="AJ31" s="11"/>
      <c r="AK31" s="11"/>
      <c r="AM31" s="11">
        <f>I31-AG31</f>
        <v>5482</v>
      </c>
      <c r="AN31" s="11">
        <f>M31-AK31</f>
        <v>0</v>
      </c>
      <c r="AO31" s="14">
        <f t="shared" si="5"/>
        <v>16738</v>
      </c>
      <c r="AP31" s="11">
        <f t="shared" si="6"/>
        <v>0</v>
      </c>
      <c r="AQ31" s="14">
        <f t="shared" si="7"/>
        <v>0</v>
      </c>
      <c r="AR31" s="11">
        <f t="shared" si="8"/>
        <v>0</v>
      </c>
      <c r="AS31" s="11">
        <f t="shared" si="10"/>
        <v>1898</v>
      </c>
      <c r="AU31" s="12">
        <f>VLOOKUP(B31,'Allocation Exhibit 2016-06-30'!A:D,4,FALSE)</f>
        <v>1.0135999999999999E-3</v>
      </c>
    </row>
    <row r="32" spans="1:47">
      <c r="A32" t="s">
        <v>83</v>
      </c>
      <c r="B32">
        <v>35305</v>
      </c>
      <c r="C32" s="11">
        <f>VLOOKUP(B32,'ER Contributions'!A:D,4,FALSE)</f>
        <v>78815</v>
      </c>
      <c r="D32" s="12">
        <f>VLOOKUP(B32,'ER Contributions'!A:D,3,FALSE)</f>
        <v>1.2482000000000001E-3</v>
      </c>
      <c r="E32" s="11">
        <f>VLOOKUP(B32,'75 - Summary Exhibit'!A:N,3,FALSE)</f>
        <v>-76290</v>
      </c>
      <c r="F32" s="14">
        <f>VLOOKUP(B32,'75 - Summary Exhibit'!A:N,4,FALSE)</f>
        <v>20917</v>
      </c>
      <c r="G32" s="14">
        <f>VLOOKUP(B32,'75 - Summary Exhibit'!A:N,5,FALSE)</f>
        <v>16722</v>
      </c>
      <c r="H32" s="14">
        <f>VLOOKUP(B32,'75 - Summary Exhibit'!A:N,6,FALSE)</f>
        <v>0</v>
      </c>
      <c r="I32" s="11">
        <f>VLOOKUP(B32,'75 - Summary Exhibit'!A:N,7,FALSE)</f>
        <v>2452</v>
      </c>
      <c r="J32" s="11">
        <f>VLOOKUP(B32,'75 - Summary Exhibit'!A:N,8,FALSE)</f>
        <v>0</v>
      </c>
      <c r="K32" s="11">
        <f>VLOOKUP(B32,'75 - Summary Exhibit'!A:N,9,FALSE)</f>
        <v>0</v>
      </c>
      <c r="L32" s="11">
        <f>VLOOKUP(B32,'75 - Summary Exhibit'!A:N,10,FALSE)</f>
        <v>0</v>
      </c>
      <c r="M32" s="11">
        <f>VLOOKUP(B32,'75 - Summary Exhibit'!A:N,11,FALSE)</f>
        <v>0</v>
      </c>
      <c r="N32" s="11">
        <f>VLOOKUP(B32,'75 - Summary Exhibit'!A:N,12,FALSE)</f>
        <v>40533</v>
      </c>
      <c r="O32" s="11">
        <f>VLOOKUP(B32,'75 - Summary Exhibit'!A:N,13,FALSE)</f>
        <v>817</v>
      </c>
      <c r="P32" s="11">
        <f t="shared" si="0"/>
        <v>41350</v>
      </c>
      <c r="Q32" s="11">
        <f>VLOOKUP(B32,'75- Deferred Amortization'!A:G,3,FALSE)</f>
        <v>11972</v>
      </c>
      <c r="R32" s="11">
        <f>VLOOKUP(B32,'75- Deferred Amortization'!A:G,4,FALSE)</f>
        <v>11972</v>
      </c>
      <c r="S32" s="11">
        <f>VLOOKUP(B32,'75- Deferred Amortization'!A:G,5,FALSE)</f>
        <v>11969</v>
      </c>
      <c r="T32" s="11">
        <f>VLOOKUP(B32,'75- Deferred Amortization'!A:G,6,FALSE)</f>
        <v>4178</v>
      </c>
      <c r="U32" s="11">
        <f>VLOOKUP(B32,'75- Deferred Amortization'!A:G,7,FALSE)</f>
        <v>0</v>
      </c>
      <c r="V32" s="11">
        <f t="shared" si="11"/>
        <v>-1</v>
      </c>
      <c r="W32" s="11">
        <f t="shared" si="1"/>
        <v>0</v>
      </c>
      <c r="X32">
        <v>2</v>
      </c>
      <c r="AC32" s="11">
        <f t="shared" si="2"/>
        <v>-78917</v>
      </c>
      <c r="AD32" s="14"/>
      <c r="AE32" s="14"/>
      <c r="AF32" s="14"/>
      <c r="AG32" s="11"/>
      <c r="AH32" s="11"/>
      <c r="AI32" s="11"/>
      <c r="AJ32" s="11"/>
      <c r="AK32" s="11"/>
      <c r="AM32" s="11">
        <f t="shared" ref="AM32:AM55" si="12">I32-AG32</f>
        <v>2452</v>
      </c>
      <c r="AN32" s="11">
        <f t="shared" ref="AN32:AN55" si="13">M32-AK32</f>
        <v>0</v>
      </c>
      <c r="AO32" s="14">
        <f t="shared" si="5"/>
        <v>20917</v>
      </c>
      <c r="AP32" s="11">
        <f t="shared" si="6"/>
        <v>0</v>
      </c>
      <c r="AQ32" s="14">
        <f t="shared" si="7"/>
        <v>0</v>
      </c>
      <c r="AR32" s="11">
        <f t="shared" si="8"/>
        <v>0</v>
      </c>
      <c r="AS32" s="11">
        <f t="shared" si="10"/>
        <v>2627</v>
      </c>
      <c r="AU32" s="12">
        <f>VLOOKUP(B32,'Allocation Exhibit 2016-06-30'!A:D,4,FALSE)</f>
        <v>1.2708000000000001E-3</v>
      </c>
    </row>
    <row r="33" spans="1:47">
      <c r="A33" t="s">
        <v>87</v>
      </c>
      <c r="B33">
        <v>36005</v>
      </c>
      <c r="C33" s="11">
        <f>VLOOKUP(B33,'ER Contributions'!A:D,4,FALSE)</f>
        <v>278100</v>
      </c>
      <c r="D33" s="12">
        <f>VLOOKUP(B33,'ER Contributions'!A:D,3,FALSE)</f>
        <v>4.4781999999999999E-3</v>
      </c>
      <c r="E33" s="11">
        <f>VLOOKUP(B33,'75 - Summary Exhibit'!A:N,3,FALSE)</f>
        <v>-273708</v>
      </c>
      <c r="F33" s="14">
        <f>VLOOKUP(B33,'75 - Summary Exhibit'!A:N,4,FALSE)</f>
        <v>75046</v>
      </c>
      <c r="G33" s="14">
        <f>VLOOKUP(B33,'75 - Summary Exhibit'!A:N,5,FALSE)</f>
        <v>59994</v>
      </c>
      <c r="H33" s="14">
        <f>VLOOKUP(B33,'75 - Summary Exhibit'!A:N,6,FALSE)</f>
        <v>0</v>
      </c>
      <c r="I33" s="11">
        <f>VLOOKUP(B33,'75 - Summary Exhibit'!A:N,7,FALSE)</f>
        <v>2527</v>
      </c>
      <c r="J33" s="11">
        <f>VLOOKUP(B33,'75 - Summary Exhibit'!A:N,8,FALSE)</f>
        <v>0</v>
      </c>
      <c r="K33" s="11">
        <f>VLOOKUP(B33,'75 - Summary Exhibit'!A:N,9,FALSE)</f>
        <v>0</v>
      </c>
      <c r="L33" s="11">
        <f>VLOOKUP(B33,'75 - Summary Exhibit'!A:N,10,FALSE)</f>
        <v>0</v>
      </c>
      <c r="M33" s="11">
        <f>VLOOKUP(B33,'75 - Summary Exhibit'!A:N,11,FALSE)</f>
        <v>0</v>
      </c>
      <c r="N33" s="11">
        <f>VLOOKUP(B33,'75 - Summary Exhibit'!A:N,12,FALSE)</f>
        <v>145421</v>
      </c>
      <c r="O33" s="11">
        <f>VLOOKUP(B33,'75 - Summary Exhibit'!A:N,13,FALSE)</f>
        <v>842</v>
      </c>
      <c r="P33" s="11">
        <f t="shared" si="0"/>
        <v>146263</v>
      </c>
      <c r="Q33" s="11">
        <f>VLOOKUP(B33,'75- Deferred Amortization'!A:G,3,FALSE)</f>
        <v>40864</v>
      </c>
      <c r="R33" s="11">
        <f>VLOOKUP(B33,'75- Deferred Amortization'!A:G,4,FALSE)</f>
        <v>40864</v>
      </c>
      <c r="S33" s="11">
        <f>VLOOKUP(B33,'75- Deferred Amortization'!A:G,5,FALSE)</f>
        <v>40851</v>
      </c>
      <c r="T33" s="11">
        <f>VLOOKUP(B33,'75- Deferred Amortization'!A:G,6,FALSE)</f>
        <v>14989</v>
      </c>
      <c r="U33" s="11">
        <f>VLOOKUP(B33,'75- Deferred Amortization'!A:G,7,FALSE)</f>
        <v>0</v>
      </c>
      <c r="V33" s="11">
        <f t="shared" si="11"/>
        <v>0</v>
      </c>
      <c r="W33" s="11">
        <f t="shared" si="1"/>
        <v>-1</v>
      </c>
      <c r="X33">
        <v>2</v>
      </c>
      <c r="AC33" s="11">
        <f t="shared" si="2"/>
        <v>-279438</v>
      </c>
      <c r="AD33" s="14"/>
      <c r="AE33" s="14"/>
      <c r="AF33" s="14"/>
      <c r="AG33" s="11"/>
      <c r="AH33" s="11"/>
      <c r="AI33" s="11"/>
      <c r="AJ33" s="11"/>
      <c r="AK33" s="11"/>
      <c r="AM33" s="11">
        <f t="shared" si="12"/>
        <v>2527</v>
      </c>
      <c r="AN33" s="11">
        <f t="shared" si="13"/>
        <v>0</v>
      </c>
      <c r="AO33" s="14">
        <f t="shared" si="5"/>
        <v>75046</v>
      </c>
      <c r="AP33" s="11">
        <f t="shared" si="6"/>
        <v>0</v>
      </c>
      <c r="AQ33" s="14">
        <f t="shared" si="7"/>
        <v>0</v>
      </c>
      <c r="AR33" s="11">
        <f t="shared" si="8"/>
        <v>0</v>
      </c>
      <c r="AS33" s="11">
        <f t="shared" si="10"/>
        <v>5730</v>
      </c>
      <c r="AU33" s="12">
        <f>VLOOKUP(B33,'Allocation Exhibit 2016-06-30'!A:D,4,FALSE)</f>
        <v>4.4998E-3</v>
      </c>
    </row>
    <row r="34" spans="1:47">
      <c r="A34" t="s">
        <v>65</v>
      </c>
      <c r="B34">
        <v>32305</v>
      </c>
      <c r="C34" s="11">
        <f>VLOOKUP(B34,'ER Contributions'!A:D,4,FALSE)</f>
        <v>37930</v>
      </c>
      <c r="D34" s="12">
        <f>VLOOKUP(B34,'ER Contributions'!A:D,3,FALSE)</f>
        <v>5.5900000000000004E-4</v>
      </c>
      <c r="E34" s="11">
        <f>VLOOKUP(B34,'75 - Summary Exhibit'!A:N,3,FALSE)</f>
        <v>-34166</v>
      </c>
      <c r="F34" s="14">
        <f>VLOOKUP(B34,'75 - Summary Exhibit'!A:N,4,FALSE)</f>
        <v>9368</v>
      </c>
      <c r="G34" s="14">
        <f>VLOOKUP(B34,'75 - Summary Exhibit'!A:N,5,FALSE)</f>
        <v>7489</v>
      </c>
      <c r="H34" s="14">
        <f>VLOOKUP(B34,'75 - Summary Exhibit'!A:N,6,FALSE)</f>
        <v>0</v>
      </c>
      <c r="I34" s="11">
        <f>VLOOKUP(B34,'75 - Summary Exhibit'!A:N,7,FALSE)</f>
        <v>2765</v>
      </c>
      <c r="J34" s="11">
        <f>VLOOKUP(B34,'75 - Summary Exhibit'!A:N,8,FALSE)</f>
        <v>0</v>
      </c>
      <c r="K34" s="11">
        <f>VLOOKUP(B34,'75 - Summary Exhibit'!A:N,9,FALSE)</f>
        <v>0</v>
      </c>
      <c r="L34" s="11">
        <f>VLOOKUP(B34,'75 - Summary Exhibit'!A:N,10,FALSE)</f>
        <v>0</v>
      </c>
      <c r="M34" s="11">
        <f>VLOOKUP(B34,'75 - Summary Exhibit'!A:N,11,FALSE)</f>
        <v>0</v>
      </c>
      <c r="N34" s="11">
        <f>VLOOKUP(B34,'75 - Summary Exhibit'!A:N,12,FALSE)</f>
        <v>18152</v>
      </c>
      <c r="O34" s="11">
        <f>VLOOKUP(B34,'75 - Summary Exhibit'!A:N,13,FALSE)</f>
        <v>922</v>
      </c>
      <c r="P34" s="11">
        <f t="shared" si="0"/>
        <v>19074</v>
      </c>
      <c r="Q34" s="11">
        <f>VLOOKUP(B34,'75- Deferred Amortization'!A:G,3,FALSE)</f>
        <v>5917</v>
      </c>
      <c r="R34" s="11">
        <f>VLOOKUP(B34,'75- Deferred Amortization'!A:G,4,FALSE)</f>
        <v>5917</v>
      </c>
      <c r="S34" s="11">
        <f>VLOOKUP(B34,'75- Deferred Amortization'!A:G,5,FALSE)</f>
        <v>5916</v>
      </c>
      <c r="T34" s="11">
        <f>VLOOKUP(B34,'75- Deferred Amortization'!A:G,6,FALSE)</f>
        <v>1871</v>
      </c>
      <c r="U34" s="11">
        <f>VLOOKUP(B34,'75- Deferred Amortization'!A:G,7,FALSE)</f>
        <v>0</v>
      </c>
      <c r="V34" s="11">
        <f t="shared" si="11"/>
        <v>1</v>
      </c>
      <c r="W34" s="11">
        <f t="shared" si="1"/>
        <v>1</v>
      </c>
      <c r="X34">
        <v>2</v>
      </c>
      <c r="AC34" s="11">
        <f t="shared" si="2"/>
        <v>-34931</v>
      </c>
      <c r="AD34" s="14"/>
      <c r="AE34" s="14"/>
      <c r="AF34" s="14"/>
      <c r="AG34" s="11"/>
      <c r="AH34" s="11"/>
      <c r="AI34" s="11"/>
      <c r="AJ34" s="11"/>
      <c r="AK34" s="11"/>
      <c r="AM34" s="11">
        <f t="shared" si="12"/>
        <v>2765</v>
      </c>
      <c r="AN34" s="11">
        <f t="shared" si="13"/>
        <v>0</v>
      </c>
      <c r="AO34" s="14">
        <f t="shared" si="5"/>
        <v>9368</v>
      </c>
      <c r="AP34" s="11">
        <f t="shared" si="6"/>
        <v>0</v>
      </c>
      <c r="AQ34" s="14">
        <f t="shared" si="7"/>
        <v>0</v>
      </c>
      <c r="AR34" s="11">
        <f t="shared" si="8"/>
        <v>0</v>
      </c>
      <c r="AS34" s="11">
        <f t="shared" si="10"/>
        <v>765</v>
      </c>
      <c r="AU34" s="12">
        <f>VLOOKUP(B34,'Allocation Exhibit 2016-06-30'!A:D,4,FALSE)</f>
        <v>5.6249999999999996E-4</v>
      </c>
    </row>
    <row r="35" spans="1:47">
      <c r="A35" t="s">
        <v>93</v>
      </c>
      <c r="B35">
        <v>36705</v>
      </c>
      <c r="C35" s="11">
        <f>VLOOKUP(B35,'ER Contributions'!A:D,4,FALSE)</f>
        <v>60358</v>
      </c>
      <c r="D35" s="12">
        <f>VLOOKUP(B35,'ER Contributions'!A:D,3,FALSE)</f>
        <v>9.6460000000000003E-4</v>
      </c>
      <c r="E35" s="11">
        <f>VLOOKUP(B35,'75 - Summary Exhibit'!A:N,3,FALSE)</f>
        <v>-58956</v>
      </c>
      <c r="F35" s="14">
        <f>VLOOKUP(B35,'75 - Summary Exhibit'!A:N,4,FALSE)</f>
        <v>16165</v>
      </c>
      <c r="G35" s="14">
        <f>VLOOKUP(B35,'75 - Summary Exhibit'!A:N,5,FALSE)</f>
        <v>12923</v>
      </c>
      <c r="H35" s="14">
        <f>VLOOKUP(B35,'75 - Summary Exhibit'!A:N,6,FALSE)</f>
        <v>0</v>
      </c>
      <c r="I35" s="11">
        <f>VLOOKUP(B35,'75 - Summary Exhibit'!A:N,7,FALSE)</f>
        <v>0</v>
      </c>
      <c r="J35" s="11">
        <f>VLOOKUP(B35,'75 - Summary Exhibit'!A:N,8,FALSE)</f>
        <v>0</v>
      </c>
      <c r="K35" s="11">
        <f>VLOOKUP(B35,'75 - Summary Exhibit'!A:N,9,FALSE)</f>
        <v>0</v>
      </c>
      <c r="L35" s="11">
        <f>VLOOKUP(B35,'75 - Summary Exhibit'!A:N,10,FALSE)</f>
        <v>0</v>
      </c>
      <c r="M35" s="11">
        <f>VLOOKUP(B35,'75 - Summary Exhibit'!A:N,11,FALSE)</f>
        <v>803</v>
      </c>
      <c r="N35" s="11">
        <f>VLOOKUP(B35,'75 - Summary Exhibit'!A:N,12,FALSE)</f>
        <v>31323</v>
      </c>
      <c r="O35" s="11">
        <f>VLOOKUP(B35,'75 - Summary Exhibit'!A:N,13,FALSE)</f>
        <v>-268</v>
      </c>
      <c r="P35" s="11">
        <f t="shared" ref="P35:P66" si="14">N35+O35</f>
        <v>31055</v>
      </c>
      <c r="Q35" s="11">
        <f>VLOOKUP(B35,'75- Deferred Amortization'!A:G,3,FALSE)</f>
        <v>8353</v>
      </c>
      <c r="R35" s="11">
        <f>VLOOKUP(B35,'75- Deferred Amortization'!A:G,4,FALSE)</f>
        <v>8353</v>
      </c>
      <c r="S35" s="11">
        <f>VLOOKUP(B35,'75- Deferred Amortization'!A:G,5,FALSE)</f>
        <v>8350</v>
      </c>
      <c r="T35" s="11">
        <f>VLOOKUP(B35,'75- Deferred Amortization'!A:G,6,FALSE)</f>
        <v>3229</v>
      </c>
      <c r="U35" s="11">
        <f>VLOOKUP(B35,'75- Deferred Amortization'!A:G,7,FALSE)</f>
        <v>0</v>
      </c>
      <c r="V35" s="11">
        <f t="shared" si="11"/>
        <v>-1</v>
      </c>
      <c r="W35" s="11">
        <f t="shared" si="1"/>
        <v>0</v>
      </c>
      <c r="X35">
        <v>2</v>
      </c>
      <c r="AC35" s="11">
        <f t="shared" si="2"/>
        <v>-57939</v>
      </c>
      <c r="AD35" s="14"/>
      <c r="AE35" s="14"/>
      <c r="AF35" s="14"/>
      <c r="AG35" s="11"/>
      <c r="AH35" s="11"/>
      <c r="AI35" s="11"/>
      <c r="AJ35" s="11"/>
      <c r="AK35" s="11"/>
      <c r="AM35" s="11">
        <f t="shared" si="12"/>
        <v>0</v>
      </c>
      <c r="AN35" s="11">
        <f t="shared" si="13"/>
        <v>803</v>
      </c>
      <c r="AO35" s="14">
        <f t="shared" si="5"/>
        <v>16165</v>
      </c>
      <c r="AP35" s="11">
        <f t="shared" si="6"/>
        <v>0</v>
      </c>
      <c r="AQ35" s="14">
        <f t="shared" si="7"/>
        <v>0</v>
      </c>
      <c r="AR35" s="11">
        <f t="shared" si="8"/>
        <v>0</v>
      </c>
      <c r="AS35" s="11">
        <f t="shared" si="10"/>
        <v>-1017</v>
      </c>
      <c r="AU35" s="12">
        <f>VLOOKUP(B35,'Allocation Exhibit 2016-06-30'!A:D,4,FALSE)</f>
        <v>9.3300000000000002E-4</v>
      </c>
    </row>
    <row r="36" spans="1:47">
      <c r="A36" t="s">
        <v>95</v>
      </c>
      <c r="B36">
        <v>37005</v>
      </c>
      <c r="C36" s="11">
        <f>VLOOKUP(B36,'ER Contributions'!A:D,4,FALSE)</f>
        <v>32154</v>
      </c>
      <c r="D36" s="12">
        <f>VLOOKUP(B36,'ER Contributions'!A:D,3,FALSE)</f>
        <v>4.572E-4</v>
      </c>
      <c r="E36" s="11">
        <f>VLOOKUP(B36,'75 - Summary Exhibit'!A:N,3,FALSE)</f>
        <v>-27944</v>
      </c>
      <c r="F36" s="14">
        <f>VLOOKUP(B36,'75 - Summary Exhibit'!A:N,4,FALSE)</f>
        <v>7662</v>
      </c>
      <c r="G36" s="14">
        <f>VLOOKUP(B36,'75 - Summary Exhibit'!A:N,5,FALSE)</f>
        <v>6125</v>
      </c>
      <c r="H36" s="14">
        <f>VLOOKUP(B36,'75 - Summary Exhibit'!A:N,6,FALSE)</f>
        <v>0</v>
      </c>
      <c r="I36" s="11">
        <f>VLOOKUP(B36,'75 - Summary Exhibit'!A:N,7,FALSE)</f>
        <v>3605</v>
      </c>
      <c r="J36" s="11">
        <f>VLOOKUP(B36,'75 - Summary Exhibit'!A:N,8,FALSE)</f>
        <v>0</v>
      </c>
      <c r="K36" s="11">
        <f>VLOOKUP(B36,'75 - Summary Exhibit'!A:N,9,FALSE)</f>
        <v>0</v>
      </c>
      <c r="L36" s="11">
        <f>VLOOKUP(B36,'75 - Summary Exhibit'!A:N,10,FALSE)</f>
        <v>0</v>
      </c>
      <c r="M36" s="11">
        <f>VLOOKUP(B36,'75 - Summary Exhibit'!A:N,11,FALSE)</f>
        <v>0</v>
      </c>
      <c r="N36" s="11">
        <f>VLOOKUP(B36,'75 - Summary Exhibit'!A:N,12,FALSE)</f>
        <v>14847</v>
      </c>
      <c r="O36" s="11">
        <f>VLOOKUP(B36,'75 - Summary Exhibit'!A:N,13,FALSE)</f>
        <v>1202</v>
      </c>
      <c r="P36" s="11">
        <f t="shared" si="14"/>
        <v>16049</v>
      </c>
      <c r="Q36" s="11">
        <f>VLOOKUP(B36,'75- Deferred Amortization'!A:G,3,FALSE)</f>
        <v>5288</v>
      </c>
      <c r="R36" s="11">
        <f>VLOOKUP(B36,'75- Deferred Amortization'!A:G,4,FALSE)</f>
        <v>5288</v>
      </c>
      <c r="S36" s="11">
        <f>VLOOKUP(B36,'75- Deferred Amortization'!A:G,5,FALSE)</f>
        <v>5286</v>
      </c>
      <c r="T36" s="11">
        <f>VLOOKUP(B36,'75- Deferred Amortization'!A:G,6,FALSE)</f>
        <v>1530</v>
      </c>
      <c r="U36" s="11">
        <f>VLOOKUP(B36,'75- Deferred Amortization'!A:G,7,FALSE)</f>
        <v>0</v>
      </c>
      <c r="V36" s="11">
        <f>ROUND(((F36-AD36)+(G36-AE36)+(H36-AF36)+(I36-AG36)+(AI36-K36)+P36-(E36-AC36)-(J36-AH36)-(M36-AK36)-C36),0)</f>
        <v>1</v>
      </c>
      <c r="W36" s="11">
        <f t="shared" ref="W36:W67" si="15">ROUND((F36+G36+H36+I36-J36-K36-L36-M36-Q36-R36-S36-T36-U36),0)</f>
        <v>0</v>
      </c>
      <c r="X36">
        <v>2</v>
      </c>
      <c r="AC36" s="11">
        <f t="shared" si="2"/>
        <v>-29230</v>
      </c>
      <c r="AD36" s="14"/>
      <c r="AE36" s="14"/>
      <c r="AF36" s="14"/>
      <c r="AG36" s="11"/>
      <c r="AH36" s="11"/>
      <c r="AI36" s="11"/>
      <c r="AJ36" s="11"/>
      <c r="AK36" s="11"/>
      <c r="AM36" s="11">
        <f t="shared" si="12"/>
        <v>3605</v>
      </c>
      <c r="AN36" s="11">
        <f t="shared" si="13"/>
        <v>0</v>
      </c>
      <c r="AO36" s="14">
        <f t="shared" si="5"/>
        <v>7662</v>
      </c>
      <c r="AP36" s="11">
        <f t="shared" si="6"/>
        <v>0</v>
      </c>
      <c r="AQ36" s="14">
        <f t="shared" si="7"/>
        <v>0</v>
      </c>
      <c r="AR36" s="11">
        <f t="shared" si="8"/>
        <v>0</v>
      </c>
      <c r="AS36" s="11">
        <f t="shared" si="10"/>
        <v>1286</v>
      </c>
      <c r="AU36" s="12">
        <f>VLOOKUP(B36,'Allocation Exhibit 2016-06-30'!A:D,4,FALSE)</f>
        <v>4.707E-4</v>
      </c>
    </row>
    <row r="37" spans="1:47">
      <c r="A37" t="s">
        <v>67</v>
      </c>
      <c r="B37">
        <v>32505</v>
      </c>
      <c r="C37" s="11">
        <f>VLOOKUP(B37,'ER Contributions'!A:D,4,FALSE)</f>
        <v>42186</v>
      </c>
      <c r="D37" s="12">
        <f>VLOOKUP(B37,'ER Contributions'!A:D,3,FALSE)</f>
        <v>6.581E-4</v>
      </c>
      <c r="E37" s="11">
        <f>VLOOKUP(B37,'75 - Summary Exhibit'!A:N,3,FALSE)</f>
        <v>-40223</v>
      </c>
      <c r="F37" s="14">
        <f>VLOOKUP(B37,'75 - Summary Exhibit'!A:N,4,FALSE)</f>
        <v>11028</v>
      </c>
      <c r="G37" s="14">
        <f>VLOOKUP(B37,'75 - Summary Exhibit'!A:N,5,FALSE)</f>
        <v>8817</v>
      </c>
      <c r="H37" s="14">
        <f>VLOOKUP(B37,'75 - Summary Exhibit'!A:N,6,FALSE)</f>
        <v>0</v>
      </c>
      <c r="I37" s="11">
        <f>VLOOKUP(B37,'75 - Summary Exhibit'!A:N,7,FALSE)</f>
        <v>350</v>
      </c>
      <c r="J37" s="11">
        <f>VLOOKUP(B37,'75 - Summary Exhibit'!A:N,8,FALSE)</f>
        <v>0</v>
      </c>
      <c r="K37" s="11">
        <f>VLOOKUP(B37,'75 - Summary Exhibit'!A:N,9,FALSE)</f>
        <v>0</v>
      </c>
      <c r="L37" s="11">
        <f>VLOOKUP(B37,'75 - Summary Exhibit'!A:N,10,FALSE)</f>
        <v>0</v>
      </c>
      <c r="M37" s="11">
        <f>VLOOKUP(B37,'75 - Summary Exhibit'!A:N,11,FALSE)</f>
        <v>0</v>
      </c>
      <c r="N37" s="11">
        <f>VLOOKUP(B37,'75 - Summary Exhibit'!A:N,12,FALSE)</f>
        <v>21370</v>
      </c>
      <c r="O37" s="11">
        <f>VLOOKUP(B37,'75 - Summary Exhibit'!A:N,13,FALSE)</f>
        <v>117</v>
      </c>
      <c r="P37" s="11">
        <f t="shared" si="14"/>
        <v>21487</v>
      </c>
      <c r="Q37" s="11">
        <f>VLOOKUP(B37,'75- Deferred Amortization'!A:G,3,FALSE)</f>
        <v>5998</v>
      </c>
      <c r="R37" s="11">
        <f>VLOOKUP(B37,'75- Deferred Amortization'!A:G,4,FALSE)</f>
        <v>5998</v>
      </c>
      <c r="S37" s="11">
        <f>VLOOKUP(B37,'75- Deferred Amortization'!A:G,5,FALSE)</f>
        <v>5996</v>
      </c>
      <c r="T37" s="11">
        <f>VLOOKUP(B37,'75- Deferred Amortization'!A:G,6,FALSE)</f>
        <v>2203</v>
      </c>
      <c r="U37" s="11">
        <f>VLOOKUP(B37,'75- Deferred Amortization'!A:G,7,FALSE)</f>
        <v>0</v>
      </c>
      <c r="V37" s="11">
        <f>ROUND(((F37-AD37)+(G37-AE37)+(H37-AF37)+(I37-AG37)+(AI37-K37)+P37-(E37-AC37)-(J37-AH37)-(M37-AK37)-C37),0)</f>
        <v>0</v>
      </c>
      <c r="W37" s="11">
        <f t="shared" si="15"/>
        <v>0</v>
      </c>
      <c r="X37">
        <v>2</v>
      </c>
      <c r="AC37" s="11">
        <f t="shared" si="2"/>
        <v>-39719</v>
      </c>
      <c r="AD37" s="14"/>
      <c r="AE37" s="14"/>
      <c r="AF37" s="14"/>
      <c r="AG37" s="11"/>
      <c r="AH37" s="11"/>
      <c r="AI37" s="11"/>
      <c r="AJ37" s="11"/>
      <c r="AK37" s="11"/>
      <c r="AM37" s="11">
        <f t="shared" si="12"/>
        <v>350</v>
      </c>
      <c r="AN37" s="11">
        <f t="shared" si="13"/>
        <v>0</v>
      </c>
      <c r="AO37" s="14">
        <f t="shared" si="5"/>
        <v>11028</v>
      </c>
      <c r="AP37" s="11">
        <f t="shared" si="6"/>
        <v>0</v>
      </c>
      <c r="AQ37" s="14">
        <f t="shared" si="7"/>
        <v>0</v>
      </c>
      <c r="AR37" s="11">
        <f t="shared" si="8"/>
        <v>0</v>
      </c>
      <c r="AS37" s="11">
        <f t="shared" si="10"/>
        <v>-504</v>
      </c>
      <c r="AU37" s="12">
        <f>VLOOKUP(B37,'Allocation Exhibit 2016-06-30'!A:D,4,FALSE)</f>
        <v>6.3960000000000004E-4</v>
      </c>
    </row>
    <row r="38" spans="1:47">
      <c r="A38" t="s">
        <v>69</v>
      </c>
      <c r="B38">
        <v>32905</v>
      </c>
      <c r="C38" s="11">
        <f>VLOOKUP(B38,'ER Contributions'!A:D,4,FALSE)</f>
        <v>55441</v>
      </c>
      <c r="D38" s="12">
        <f>VLOOKUP(B38,'ER Contributions'!A:D,3,FALSE)</f>
        <v>8.4650000000000003E-4</v>
      </c>
      <c r="E38" s="11">
        <f>VLOOKUP(B38,'75 - Summary Exhibit'!A:N,3,FALSE)</f>
        <v>-51738</v>
      </c>
      <c r="F38" s="14">
        <f>VLOOKUP(B38,'75 - Summary Exhibit'!A:N,4,FALSE)</f>
        <v>14186</v>
      </c>
      <c r="G38" s="14">
        <f>VLOOKUP(B38,'75 - Summary Exhibit'!A:N,5,FALSE)</f>
        <v>11341</v>
      </c>
      <c r="H38" s="14">
        <f>VLOOKUP(B38,'75 - Summary Exhibit'!A:N,6,FALSE)</f>
        <v>0</v>
      </c>
      <c r="I38" s="11">
        <f>VLOOKUP(B38,'75 - Summary Exhibit'!A:N,7,FALSE)</f>
        <v>1832</v>
      </c>
      <c r="J38" s="11">
        <f>VLOOKUP(B38,'75 - Summary Exhibit'!A:N,8,FALSE)</f>
        <v>0</v>
      </c>
      <c r="K38" s="11">
        <f>VLOOKUP(B38,'75 - Summary Exhibit'!A:N,9,FALSE)</f>
        <v>0</v>
      </c>
      <c r="L38" s="11">
        <f>VLOOKUP(B38,'75 - Summary Exhibit'!A:N,10,FALSE)</f>
        <v>0</v>
      </c>
      <c r="M38" s="11">
        <f>VLOOKUP(B38,'75 - Summary Exhibit'!A:N,11,FALSE)</f>
        <v>0</v>
      </c>
      <c r="N38" s="11">
        <f>VLOOKUP(B38,'75 - Summary Exhibit'!A:N,12,FALSE)</f>
        <v>27488</v>
      </c>
      <c r="O38" s="11">
        <f>VLOOKUP(B38,'75 - Summary Exhibit'!A:N,13,FALSE)</f>
        <v>611</v>
      </c>
      <c r="P38" s="11">
        <f t="shared" si="14"/>
        <v>28099</v>
      </c>
      <c r="Q38" s="11">
        <f>VLOOKUP(B38,'75- Deferred Amortization'!A:G,3,FALSE)</f>
        <v>8176</v>
      </c>
      <c r="R38" s="11">
        <f>VLOOKUP(B38,'75- Deferred Amortization'!A:G,4,FALSE)</f>
        <v>8176</v>
      </c>
      <c r="S38" s="11">
        <f>VLOOKUP(B38,'75- Deferred Amortization'!A:G,5,FALSE)</f>
        <v>8173</v>
      </c>
      <c r="T38" s="11">
        <f>VLOOKUP(B38,'75- Deferred Amortization'!A:G,6,FALSE)</f>
        <v>2833</v>
      </c>
      <c r="U38" s="11">
        <f>VLOOKUP(B38,'75- Deferred Amortization'!A:G,7,FALSE)</f>
        <v>0</v>
      </c>
      <c r="V38" s="11">
        <f t="shared" ref="V38:V53" si="16">ROUND(((F38-AD38)+(G38-AE38)+(H38-AF38)+(I38-AG38)+(AI38-K38)+P38-(E38-AC38)-(J38-AH38)-(M38-AK38)-C38),0)</f>
        <v>1</v>
      </c>
      <c r="W38" s="11">
        <f t="shared" si="15"/>
        <v>1</v>
      </c>
      <c r="X38">
        <v>2</v>
      </c>
      <c r="AC38" s="11">
        <f t="shared" si="2"/>
        <v>-51754</v>
      </c>
      <c r="AD38" s="14"/>
      <c r="AE38" s="14"/>
      <c r="AF38" s="14"/>
      <c r="AG38" s="11"/>
      <c r="AH38" s="11"/>
      <c r="AI38" s="11"/>
      <c r="AJ38" s="11"/>
      <c r="AK38" s="11"/>
      <c r="AM38" s="11">
        <f t="shared" si="12"/>
        <v>1832</v>
      </c>
      <c r="AN38" s="11">
        <f t="shared" si="13"/>
        <v>0</v>
      </c>
      <c r="AO38" s="14">
        <f t="shared" si="5"/>
        <v>14186</v>
      </c>
      <c r="AP38" s="11">
        <f t="shared" si="6"/>
        <v>0</v>
      </c>
      <c r="AQ38" s="14">
        <f t="shared" si="7"/>
        <v>0</v>
      </c>
      <c r="AR38" s="11">
        <f t="shared" si="8"/>
        <v>0</v>
      </c>
      <c r="AS38" s="11">
        <f t="shared" si="10"/>
        <v>16</v>
      </c>
      <c r="AU38" s="12">
        <f>VLOOKUP(B38,'Allocation Exhibit 2016-06-30'!A:D,4,FALSE)</f>
        <v>8.3339999999999998E-4</v>
      </c>
    </row>
    <row r="39" spans="1:47">
      <c r="A39" t="s">
        <v>71</v>
      </c>
      <c r="B39">
        <v>33205</v>
      </c>
      <c r="C39" s="11">
        <f>VLOOKUP(B39,'ER Contributions'!A:D,4,FALSE)</f>
        <v>73872</v>
      </c>
      <c r="D39" s="12">
        <f>VLOOKUP(B39,'ER Contributions'!A:D,3,FALSE)</f>
        <v>1.1609999999999999E-3</v>
      </c>
      <c r="E39" s="11">
        <f>VLOOKUP(B39,'75 - Summary Exhibit'!A:N,3,FALSE)</f>
        <v>-70960</v>
      </c>
      <c r="F39" s="14">
        <f>VLOOKUP(B39,'75 - Summary Exhibit'!A:N,4,FALSE)</f>
        <v>19456</v>
      </c>
      <c r="G39" s="14">
        <f>VLOOKUP(B39,'75 - Summary Exhibit'!A:N,5,FALSE)</f>
        <v>15554</v>
      </c>
      <c r="H39" s="14">
        <f>VLOOKUP(B39,'75 - Summary Exhibit'!A:N,6,FALSE)</f>
        <v>0</v>
      </c>
      <c r="I39" s="11">
        <f>VLOOKUP(B39,'75 - Summary Exhibit'!A:N,7,FALSE)</f>
        <v>714</v>
      </c>
      <c r="J39" s="11">
        <f>VLOOKUP(B39,'75 - Summary Exhibit'!A:N,8,FALSE)</f>
        <v>0</v>
      </c>
      <c r="K39" s="11">
        <f>VLOOKUP(B39,'75 - Summary Exhibit'!A:N,9,FALSE)</f>
        <v>0</v>
      </c>
      <c r="L39" s="11">
        <f>VLOOKUP(B39,'75 - Summary Exhibit'!A:N,10,FALSE)</f>
        <v>0</v>
      </c>
      <c r="M39" s="11">
        <f>VLOOKUP(B39,'75 - Summary Exhibit'!A:N,11,FALSE)</f>
        <v>0</v>
      </c>
      <c r="N39" s="11">
        <f>VLOOKUP(B39,'75 - Summary Exhibit'!A:N,12,FALSE)</f>
        <v>37701</v>
      </c>
      <c r="O39" s="11">
        <f>VLOOKUP(B39,'75 - Summary Exhibit'!A:N,13,FALSE)</f>
        <v>238</v>
      </c>
      <c r="P39" s="11">
        <f t="shared" si="14"/>
        <v>37939</v>
      </c>
      <c r="Q39" s="11">
        <f>VLOOKUP(B39,'75- Deferred Amortization'!A:G,3,FALSE)</f>
        <v>10614</v>
      </c>
      <c r="R39" s="11">
        <f>VLOOKUP(B39,'75- Deferred Amortization'!A:G,4,FALSE)</f>
        <v>10614</v>
      </c>
      <c r="S39" s="11">
        <f>VLOOKUP(B39,'75- Deferred Amortization'!A:G,5,FALSE)</f>
        <v>10610</v>
      </c>
      <c r="T39" s="11">
        <f>VLOOKUP(B39,'75- Deferred Amortization'!A:G,6,FALSE)</f>
        <v>3886</v>
      </c>
      <c r="U39" s="11">
        <f>VLOOKUP(B39,'75- Deferred Amortization'!A:G,7,FALSE)</f>
        <v>0</v>
      </c>
      <c r="V39" s="11">
        <f t="shared" si="16"/>
        <v>0</v>
      </c>
      <c r="W39" s="11">
        <f t="shared" si="15"/>
        <v>0</v>
      </c>
      <c r="X39">
        <v>2</v>
      </c>
      <c r="AC39" s="11">
        <f t="shared" si="2"/>
        <v>-70751</v>
      </c>
      <c r="AD39" s="14"/>
      <c r="AE39" s="14"/>
      <c r="AF39" s="14"/>
      <c r="AG39" s="11"/>
      <c r="AH39" s="11"/>
      <c r="AI39" s="11"/>
      <c r="AJ39" s="11"/>
      <c r="AK39" s="11"/>
      <c r="AM39" s="11">
        <f t="shared" si="12"/>
        <v>714</v>
      </c>
      <c r="AN39" s="11">
        <f t="shared" si="13"/>
        <v>0</v>
      </c>
      <c r="AO39" s="14">
        <f t="shared" si="5"/>
        <v>19456</v>
      </c>
      <c r="AP39" s="11">
        <f t="shared" si="6"/>
        <v>0</v>
      </c>
      <c r="AQ39" s="14">
        <f t="shared" si="7"/>
        <v>0</v>
      </c>
      <c r="AR39" s="11">
        <f t="shared" si="8"/>
        <v>0</v>
      </c>
      <c r="AS39" s="11">
        <f t="shared" si="10"/>
        <v>-209</v>
      </c>
      <c r="AU39" s="12">
        <f>VLOOKUP(B39,'Allocation Exhibit 2016-06-30'!A:D,4,FALSE)</f>
        <v>1.1393E-3</v>
      </c>
    </row>
    <row r="40" spans="1:47">
      <c r="A40" t="s">
        <v>72</v>
      </c>
      <c r="B40">
        <v>33305</v>
      </c>
      <c r="C40" s="11">
        <f>VLOOKUP(B40,'ER Contributions'!A:D,4,FALSE)</f>
        <v>36425</v>
      </c>
      <c r="D40" s="12">
        <f>VLOOKUP(B40,'ER Contributions'!A:D,3,FALSE)</f>
        <v>4.8710000000000002E-4</v>
      </c>
      <c r="E40" s="11">
        <f>VLOOKUP(B40,'75 - Summary Exhibit'!A:N,3,FALSE)</f>
        <v>-29772</v>
      </c>
      <c r="F40" s="14">
        <f>VLOOKUP(B40,'75 - Summary Exhibit'!A:N,4,FALSE)</f>
        <v>8163</v>
      </c>
      <c r="G40" s="14">
        <f>VLOOKUP(B40,'75 - Summary Exhibit'!A:N,5,FALSE)</f>
        <v>6526</v>
      </c>
      <c r="H40" s="14">
        <f>VLOOKUP(B40,'75 - Summary Exhibit'!A:N,6,FALSE)</f>
        <v>0</v>
      </c>
      <c r="I40" s="11">
        <f>VLOOKUP(B40,'75 - Summary Exhibit'!A:N,7,FALSE)</f>
        <v>6637</v>
      </c>
      <c r="J40" s="11">
        <f>VLOOKUP(B40,'75 - Summary Exhibit'!A:N,8,FALSE)</f>
        <v>0</v>
      </c>
      <c r="K40" s="11">
        <f>VLOOKUP(B40,'75 - Summary Exhibit'!A:N,9,FALSE)</f>
        <v>0</v>
      </c>
      <c r="L40" s="11">
        <f>VLOOKUP(B40,'75 - Summary Exhibit'!A:N,10,FALSE)</f>
        <v>0</v>
      </c>
      <c r="M40" s="11">
        <f>VLOOKUP(B40,'75 - Summary Exhibit'!A:N,11,FALSE)</f>
        <v>0</v>
      </c>
      <c r="N40" s="11">
        <f>VLOOKUP(B40,'75 - Summary Exhibit'!A:N,12,FALSE)</f>
        <v>15818</v>
      </c>
      <c r="O40" s="11">
        <f>VLOOKUP(B40,'75 - Summary Exhibit'!A:N,13,FALSE)</f>
        <v>2212</v>
      </c>
      <c r="P40" s="11">
        <f t="shared" si="14"/>
        <v>18030</v>
      </c>
      <c r="Q40" s="11">
        <f>VLOOKUP(B40,'75- Deferred Amortization'!A:G,3,FALSE)</f>
        <v>6565</v>
      </c>
      <c r="R40" s="11">
        <f>VLOOKUP(B40,'75- Deferred Amortization'!A:G,4,FALSE)</f>
        <v>6565</v>
      </c>
      <c r="S40" s="11">
        <f>VLOOKUP(B40,'75- Deferred Amortization'!A:G,5,FALSE)</f>
        <v>6564</v>
      </c>
      <c r="T40" s="11">
        <f>VLOOKUP(B40,'75- Deferred Amortization'!A:G,6,FALSE)</f>
        <v>1630</v>
      </c>
      <c r="U40" s="11">
        <f>VLOOKUP(B40,'75- Deferred Amortization'!A:G,7,FALSE)</f>
        <v>0</v>
      </c>
      <c r="V40" s="11">
        <f t="shared" si="16"/>
        <v>1</v>
      </c>
      <c r="W40" s="11">
        <f t="shared" si="15"/>
        <v>2</v>
      </c>
      <c r="X40">
        <v>2</v>
      </c>
      <c r="AC40" s="11">
        <f t="shared" si="2"/>
        <v>-32702</v>
      </c>
      <c r="AD40" s="14"/>
      <c r="AE40" s="14"/>
      <c r="AF40" s="14"/>
      <c r="AG40" s="11"/>
      <c r="AH40" s="11"/>
      <c r="AI40" s="11"/>
      <c r="AJ40" s="11"/>
      <c r="AK40" s="11"/>
      <c r="AM40" s="11">
        <f t="shared" si="12"/>
        <v>6637</v>
      </c>
      <c r="AN40" s="11">
        <f t="shared" si="13"/>
        <v>0</v>
      </c>
      <c r="AO40" s="14">
        <f t="shared" si="5"/>
        <v>8163</v>
      </c>
      <c r="AP40" s="11">
        <f t="shared" si="6"/>
        <v>0</v>
      </c>
      <c r="AQ40" s="14">
        <f t="shared" si="7"/>
        <v>0</v>
      </c>
      <c r="AR40" s="11">
        <f t="shared" si="8"/>
        <v>0</v>
      </c>
      <c r="AS40" s="11">
        <f t="shared" si="10"/>
        <v>2930</v>
      </c>
      <c r="AU40" s="12">
        <f>VLOOKUP(B40,'Allocation Exhibit 2016-06-30'!A:D,4,FALSE)</f>
        <v>5.2660000000000001E-4</v>
      </c>
    </row>
    <row r="41" spans="1:47">
      <c r="A41" t="s">
        <v>68</v>
      </c>
      <c r="B41">
        <v>32605</v>
      </c>
      <c r="C41" s="11">
        <f>VLOOKUP(B41,'ER Contributions'!A:D,4,FALSE)</f>
        <v>148756</v>
      </c>
      <c r="D41" s="12">
        <f>VLOOKUP(B41,'ER Contributions'!A:D,3,FALSE)</f>
        <v>2.2406000000000001E-3</v>
      </c>
      <c r="E41" s="11">
        <f>VLOOKUP(B41,'75 - Summary Exhibit'!A:N,3,FALSE)</f>
        <v>-136945</v>
      </c>
      <c r="F41" s="14">
        <f>VLOOKUP(B41,'75 - Summary Exhibit'!A:N,4,FALSE)</f>
        <v>37548</v>
      </c>
      <c r="G41" s="14">
        <f>VLOOKUP(B41,'75 - Summary Exhibit'!A:N,5,FALSE)</f>
        <v>30017</v>
      </c>
      <c r="H41" s="14">
        <f>VLOOKUP(B41,'75 - Summary Exhibit'!A:N,6,FALSE)</f>
        <v>0</v>
      </c>
      <c r="I41" s="11">
        <f>VLOOKUP(B41,'75 - Summary Exhibit'!A:N,7,FALSE)</f>
        <v>8804</v>
      </c>
      <c r="J41" s="11">
        <f>VLOOKUP(B41,'75 - Summary Exhibit'!A:N,8,FALSE)</f>
        <v>0</v>
      </c>
      <c r="K41" s="11">
        <f>VLOOKUP(B41,'75 - Summary Exhibit'!A:N,9,FALSE)</f>
        <v>0</v>
      </c>
      <c r="L41" s="11">
        <f>VLOOKUP(B41,'75 - Summary Exhibit'!A:N,10,FALSE)</f>
        <v>0</v>
      </c>
      <c r="M41" s="11">
        <f>VLOOKUP(B41,'75 - Summary Exhibit'!A:N,11,FALSE)</f>
        <v>0</v>
      </c>
      <c r="N41" s="11">
        <f>VLOOKUP(B41,'75 - Summary Exhibit'!A:N,12,FALSE)</f>
        <v>72759</v>
      </c>
      <c r="O41" s="11">
        <f>VLOOKUP(B41,'75 - Summary Exhibit'!A:N,13,FALSE)</f>
        <v>2935</v>
      </c>
      <c r="P41" s="11">
        <f t="shared" si="14"/>
        <v>75694</v>
      </c>
      <c r="Q41" s="11">
        <f>VLOOKUP(B41,'75- Deferred Amortization'!A:G,3,FALSE)</f>
        <v>22959</v>
      </c>
      <c r="R41" s="11">
        <f>VLOOKUP(B41,'75- Deferred Amortization'!A:G,4,FALSE)</f>
        <v>22959</v>
      </c>
      <c r="S41" s="11">
        <f>VLOOKUP(B41,'75- Deferred Amortization'!A:G,5,FALSE)</f>
        <v>22952</v>
      </c>
      <c r="T41" s="11">
        <f>VLOOKUP(B41,'75- Deferred Amortization'!A:G,6,FALSE)</f>
        <v>7499</v>
      </c>
      <c r="U41" s="11">
        <f>VLOOKUP(B41,'75- Deferred Amortization'!A:G,7,FALSE)</f>
        <v>0</v>
      </c>
      <c r="V41" s="11">
        <f t="shared" si="16"/>
        <v>-1</v>
      </c>
      <c r="W41" s="11">
        <f t="shared" si="15"/>
        <v>0</v>
      </c>
      <c r="X41">
        <v>2</v>
      </c>
      <c r="AC41" s="11">
        <f t="shared" si="2"/>
        <v>-140253</v>
      </c>
      <c r="AD41" s="14"/>
      <c r="AE41" s="14"/>
      <c r="AF41" s="14"/>
      <c r="AG41" s="11"/>
      <c r="AH41" s="11"/>
      <c r="AI41" s="11"/>
      <c r="AJ41" s="11"/>
      <c r="AK41" s="11"/>
      <c r="AM41" s="11">
        <f t="shared" si="12"/>
        <v>8804</v>
      </c>
      <c r="AN41" s="11">
        <f t="shared" si="13"/>
        <v>0</v>
      </c>
      <c r="AO41" s="14">
        <f t="shared" si="5"/>
        <v>37548</v>
      </c>
      <c r="AP41" s="11">
        <f t="shared" si="6"/>
        <v>0</v>
      </c>
      <c r="AQ41" s="14">
        <f t="shared" si="7"/>
        <v>0</v>
      </c>
      <c r="AR41" s="11">
        <f t="shared" si="8"/>
        <v>0</v>
      </c>
      <c r="AS41" s="11">
        <f t="shared" si="10"/>
        <v>3308</v>
      </c>
      <c r="AU41" s="12">
        <f>VLOOKUP(B41,'Allocation Exhibit 2016-06-30'!A:D,4,FALSE)</f>
        <v>2.2585000000000001E-3</v>
      </c>
    </row>
    <row r="42" spans="1:47">
      <c r="A42" t="s">
        <v>73</v>
      </c>
      <c r="B42">
        <v>33405</v>
      </c>
      <c r="C42" s="11">
        <f>VLOOKUP(B42,'ER Contributions'!A:D,4,FALSE)</f>
        <v>115509</v>
      </c>
      <c r="D42" s="12">
        <f>VLOOKUP(B42,'ER Contributions'!A:D,3,FALSE)</f>
        <v>1.7166E-3</v>
      </c>
      <c r="E42" s="11">
        <f>VLOOKUP(B42,'75 - Summary Exhibit'!A:N,3,FALSE)</f>
        <v>-104919</v>
      </c>
      <c r="F42" s="14">
        <f>VLOOKUP(B42,'75 - Summary Exhibit'!A:N,4,FALSE)</f>
        <v>28767</v>
      </c>
      <c r="G42" s="14">
        <f>VLOOKUP(B42,'75 - Summary Exhibit'!A:N,5,FALSE)</f>
        <v>22997</v>
      </c>
      <c r="H42" s="14">
        <f>VLOOKUP(B42,'75 - Summary Exhibit'!A:N,6,FALSE)</f>
        <v>0</v>
      </c>
      <c r="I42" s="11">
        <f>VLOOKUP(B42,'75 - Summary Exhibit'!A:N,7,FALSE)</f>
        <v>10868</v>
      </c>
      <c r="J42" s="11">
        <f>VLOOKUP(B42,'75 - Summary Exhibit'!A:N,8,FALSE)</f>
        <v>0</v>
      </c>
      <c r="K42" s="11">
        <f>VLOOKUP(B42,'75 - Summary Exhibit'!A:N,9,FALSE)</f>
        <v>0</v>
      </c>
      <c r="L42" s="11">
        <f>VLOOKUP(B42,'75 - Summary Exhibit'!A:N,10,FALSE)</f>
        <v>0</v>
      </c>
      <c r="M42" s="11">
        <f>VLOOKUP(B42,'75 - Summary Exhibit'!A:N,11,FALSE)</f>
        <v>0</v>
      </c>
      <c r="N42" s="11">
        <f>VLOOKUP(B42,'75 - Summary Exhibit'!A:N,12,FALSE)</f>
        <v>55743</v>
      </c>
      <c r="O42" s="11">
        <f>VLOOKUP(B42,'75 - Summary Exhibit'!A:N,13,FALSE)</f>
        <v>3623</v>
      </c>
      <c r="P42" s="11">
        <f t="shared" si="14"/>
        <v>59366</v>
      </c>
      <c r="Q42" s="11">
        <f>VLOOKUP(B42,'75- Deferred Amortization'!A:G,3,FALSE)</f>
        <v>18964</v>
      </c>
      <c r="R42" s="11">
        <f>VLOOKUP(B42,'75- Deferred Amortization'!A:G,4,FALSE)</f>
        <v>18964</v>
      </c>
      <c r="S42" s="11">
        <f>VLOOKUP(B42,'75- Deferred Amortization'!A:G,5,FALSE)</f>
        <v>18959</v>
      </c>
      <c r="T42" s="11">
        <f>VLOOKUP(B42,'75- Deferred Amortization'!A:G,6,FALSE)</f>
        <v>5745</v>
      </c>
      <c r="U42" s="11">
        <f>VLOOKUP(B42,'75- Deferred Amortization'!A:G,7,FALSE)</f>
        <v>0</v>
      </c>
      <c r="V42" s="11">
        <f t="shared" si="16"/>
        <v>1</v>
      </c>
      <c r="W42" s="11">
        <f t="shared" si="15"/>
        <v>0</v>
      </c>
      <c r="X42">
        <v>2</v>
      </c>
      <c r="AC42" s="11">
        <f t="shared" si="2"/>
        <v>-111407</v>
      </c>
      <c r="AD42" s="14"/>
      <c r="AE42" s="14"/>
      <c r="AF42" s="14"/>
      <c r="AG42" s="11"/>
      <c r="AH42" s="11"/>
      <c r="AI42" s="11"/>
      <c r="AJ42" s="11"/>
      <c r="AK42" s="11"/>
      <c r="AM42" s="11">
        <f t="shared" si="12"/>
        <v>10868</v>
      </c>
      <c r="AN42" s="11">
        <f t="shared" si="13"/>
        <v>0</v>
      </c>
      <c r="AO42" s="14">
        <f t="shared" si="5"/>
        <v>28767</v>
      </c>
      <c r="AP42" s="11">
        <f t="shared" si="6"/>
        <v>0</v>
      </c>
      <c r="AQ42" s="14">
        <f t="shared" si="7"/>
        <v>0</v>
      </c>
      <c r="AR42" s="11">
        <f t="shared" si="8"/>
        <v>0</v>
      </c>
      <c r="AS42" s="11">
        <f t="shared" si="10"/>
        <v>6488</v>
      </c>
      <c r="AU42" s="12">
        <f>VLOOKUP(B42,'Allocation Exhibit 2016-06-30'!A:D,4,FALSE)</f>
        <v>1.794E-3</v>
      </c>
    </row>
    <row r="43" spans="1:47">
      <c r="A43" t="s">
        <v>74</v>
      </c>
      <c r="B43">
        <v>33605</v>
      </c>
      <c r="C43" s="11">
        <f>VLOOKUP(B43,'ER Contributions'!A:D,4,FALSE)</f>
        <v>87643</v>
      </c>
      <c r="D43" s="12">
        <f>VLOOKUP(B43,'ER Contributions'!A:D,3,FALSE)</f>
        <v>1.2463999999999999E-3</v>
      </c>
      <c r="E43" s="11">
        <f>VLOOKUP(B43,'75 - Summary Exhibit'!A:N,3,FALSE)</f>
        <v>-76180</v>
      </c>
      <c r="F43" s="14">
        <f>VLOOKUP(B43,'75 - Summary Exhibit'!A:N,4,FALSE)</f>
        <v>20887</v>
      </c>
      <c r="G43" s="14">
        <f>VLOOKUP(B43,'75 - Summary Exhibit'!A:N,5,FALSE)</f>
        <v>16698</v>
      </c>
      <c r="H43" s="14">
        <f>VLOOKUP(B43,'75 - Summary Exhibit'!A:N,6,FALSE)</f>
        <v>0</v>
      </c>
      <c r="I43" s="11">
        <f>VLOOKUP(B43,'75 - Summary Exhibit'!A:N,7,FALSE)</f>
        <v>10656</v>
      </c>
      <c r="J43" s="11">
        <f>VLOOKUP(B43,'75 - Summary Exhibit'!A:N,8,FALSE)</f>
        <v>0</v>
      </c>
      <c r="K43" s="11">
        <f>VLOOKUP(B43,'75 - Summary Exhibit'!A:N,9,FALSE)</f>
        <v>0</v>
      </c>
      <c r="L43" s="11">
        <f>VLOOKUP(B43,'75 - Summary Exhibit'!A:N,10,FALSE)</f>
        <v>0</v>
      </c>
      <c r="M43" s="11">
        <f>VLOOKUP(B43,'75 - Summary Exhibit'!A:N,11,FALSE)</f>
        <v>0</v>
      </c>
      <c r="N43" s="11">
        <f>VLOOKUP(B43,'75 - Summary Exhibit'!A:N,12,FALSE)</f>
        <v>40474</v>
      </c>
      <c r="O43" s="11">
        <f>VLOOKUP(B43,'75 - Summary Exhibit'!A:N,13,FALSE)</f>
        <v>3552</v>
      </c>
      <c r="P43" s="11">
        <f t="shared" si="14"/>
        <v>44026</v>
      </c>
      <c r="Q43" s="11">
        <f>VLOOKUP(B43,'75- Deferred Amortization'!A:G,3,FALSE)</f>
        <v>14691</v>
      </c>
      <c r="R43" s="11">
        <f>VLOOKUP(B43,'75- Deferred Amortization'!A:G,4,FALSE)</f>
        <v>14691</v>
      </c>
      <c r="S43" s="11">
        <f>VLOOKUP(B43,'75- Deferred Amortization'!A:G,5,FALSE)</f>
        <v>14687</v>
      </c>
      <c r="T43" s="11">
        <f>VLOOKUP(B43,'75- Deferred Amortization'!A:G,6,FALSE)</f>
        <v>4172</v>
      </c>
      <c r="U43" s="11">
        <f>VLOOKUP(B43,'75- Deferred Amortization'!A:G,7,FALSE)</f>
        <v>0</v>
      </c>
      <c r="V43" s="11">
        <f t="shared" si="16"/>
        <v>-1</v>
      </c>
      <c r="W43" s="11">
        <f t="shared" si="15"/>
        <v>0</v>
      </c>
      <c r="X43">
        <v>2</v>
      </c>
      <c r="AC43" s="11">
        <f t="shared" si="2"/>
        <v>-80805</v>
      </c>
      <c r="AD43" s="14"/>
      <c r="AE43" s="14"/>
      <c r="AF43" s="14"/>
      <c r="AG43" s="11"/>
      <c r="AH43" s="11"/>
      <c r="AI43" s="11"/>
      <c r="AJ43" s="11"/>
      <c r="AK43" s="11"/>
      <c r="AM43" s="11">
        <f t="shared" si="12"/>
        <v>10656</v>
      </c>
      <c r="AN43" s="11">
        <f t="shared" si="13"/>
        <v>0</v>
      </c>
      <c r="AO43" s="14">
        <f t="shared" si="5"/>
        <v>20887</v>
      </c>
      <c r="AP43" s="11">
        <f t="shared" si="6"/>
        <v>0</v>
      </c>
      <c r="AQ43" s="14">
        <f t="shared" si="7"/>
        <v>0</v>
      </c>
      <c r="AR43" s="11">
        <f t="shared" si="8"/>
        <v>0</v>
      </c>
      <c r="AS43" s="11">
        <f t="shared" si="10"/>
        <v>4625</v>
      </c>
      <c r="AU43" s="12">
        <f>VLOOKUP(B43,'Allocation Exhibit 2016-06-30'!A:D,4,FALSE)</f>
        <v>1.3012E-3</v>
      </c>
    </row>
    <row r="44" spans="1:47">
      <c r="A44" t="s">
        <v>75</v>
      </c>
      <c r="B44">
        <v>34105</v>
      </c>
      <c r="C44" s="11">
        <f>VLOOKUP(B44,'ER Contributions'!A:D,4,FALSE)</f>
        <v>147116</v>
      </c>
      <c r="D44" s="12">
        <f>VLOOKUP(B44,'ER Contributions'!A:D,3,FALSE)</f>
        <v>2.2208000000000002E-3</v>
      </c>
      <c r="E44" s="11">
        <f>VLOOKUP(B44,'75 - Summary Exhibit'!A:N,3,FALSE)</f>
        <v>-135735</v>
      </c>
      <c r="F44" s="14">
        <f>VLOOKUP(B44,'75 - Summary Exhibit'!A:N,4,FALSE)</f>
        <v>37216</v>
      </c>
      <c r="G44" s="14">
        <f>VLOOKUP(B44,'75 - Summary Exhibit'!A:N,5,FALSE)</f>
        <v>29752</v>
      </c>
      <c r="H44" s="14">
        <f>VLOOKUP(B44,'75 - Summary Exhibit'!A:N,6,FALSE)</f>
        <v>0</v>
      </c>
      <c r="I44" s="11">
        <f>VLOOKUP(B44,'75 - Summary Exhibit'!A:N,7,FALSE)</f>
        <v>7004</v>
      </c>
      <c r="J44" s="11">
        <f>VLOOKUP(B44,'75 - Summary Exhibit'!A:N,8,FALSE)</f>
        <v>0</v>
      </c>
      <c r="K44" s="11">
        <f>VLOOKUP(B44,'75 - Summary Exhibit'!A:N,9,FALSE)</f>
        <v>0</v>
      </c>
      <c r="L44" s="11">
        <f>VLOOKUP(B44,'75 - Summary Exhibit'!A:N,10,FALSE)</f>
        <v>0</v>
      </c>
      <c r="M44" s="11">
        <f>VLOOKUP(B44,'75 - Summary Exhibit'!A:N,11,FALSE)</f>
        <v>0</v>
      </c>
      <c r="N44" s="11">
        <f>VLOOKUP(B44,'75 - Summary Exhibit'!A:N,12,FALSE)</f>
        <v>72116</v>
      </c>
      <c r="O44" s="11">
        <f>VLOOKUP(B44,'75 - Summary Exhibit'!A:N,13,FALSE)</f>
        <v>2335</v>
      </c>
      <c r="P44" s="11">
        <f t="shared" si="14"/>
        <v>74451</v>
      </c>
      <c r="Q44" s="11">
        <f>VLOOKUP(B44,'75- Deferred Amortization'!A:G,3,FALSE)</f>
        <v>22182</v>
      </c>
      <c r="R44" s="11">
        <f>VLOOKUP(B44,'75- Deferred Amortization'!A:G,4,FALSE)</f>
        <v>22182</v>
      </c>
      <c r="S44" s="11">
        <f>VLOOKUP(B44,'75- Deferred Amortization'!A:G,5,FALSE)</f>
        <v>22175</v>
      </c>
      <c r="T44" s="11">
        <f>VLOOKUP(B44,'75- Deferred Amortization'!A:G,6,FALSE)</f>
        <v>7433</v>
      </c>
      <c r="U44" s="11">
        <f>VLOOKUP(B44,'75- Deferred Amortization'!A:G,7,FALSE)</f>
        <v>0</v>
      </c>
      <c r="V44" s="11">
        <f t="shared" si="16"/>
        <v>0</v>
      </c>
      <c r="W44" s="11">
        <f t="shared" si="15"/>
        <v>0</v>
      </c>
      <c r="X44">
        <v>2</v>
      </c>
      <c r="AC44" s="11">
        <f t="shared" si="2"/>
        <v>-137042</v>
      </c>
      <c r="AD44" s="14"/>
      <c r="AE44" s="14"/>
      <c r="AF44" s="14"/>
      <c r="AG44" s="11"/>
      <c r="AH44" s="11"/>
      <c r="AI44" s="11"/>
      <c r="AJ44" s="11"/>
      <c r="AK44" s="11"/>
      <c r="AM44" s="11">
        <f t="shared" si="12"/>
        <v>7004</v>
      </c>
      <c r="AN44" s="11">
        <f t="shared" si="13"/>
        <v>0</v>
      </c>
      <c r="AO44" s="14">
        <f t="shared" si="5"/>
        <v>37216</v>
      </c>
      <c r="AP44" s="11">
        <f t="shared" si="6"/>
        <v>0</v>
      </c>
      <c r="AQ44" s="14">
        <f t="shared" si="7"/>
        <v>0</v>
      </c>
      <c r="AR44" s="11">
        <f t="shared" si="8"/>
        <v>0</v>
      </c>
      <c r="AS44" s="11">
        <f t="shared" si="10"/>
        <v>1307</v>
      </c>
      <c r="AU44" s="12">
        <f>VLOOKUP(B44,'Allocation Exhibit 2016-06-30'!A:D,4,FALSE)</f>
        <v>2.2068000000000001E-3</v>
      </c>
    </row>
    <row r="45" spans="1:47">
      <c r="A45" t="s">
        <v>76</v>
      </c>
      <c r="B45">
        <v>34205</v>
      </c>
      <c r="C45" s="11">
        <f>VLOOKUP(B45,'ER Contributions'!A:D,4,FALSE)</f>
        <v>27731</v>
      </c>
      <c r="D45" s="12">
        <f>VLOOKUP(B45,'ER Contributions'!A:D,3,FALSE)</f>
        <v>4.0170000000000001E-4</v>
      </c>
      <c r="E45" s="11">
        <f>VLOOKUP(B45,'75 - Summary Exhibit'!A:N,3,FALSE)</f>
        <v>-24552</v>
      </c>
      <c r="F45" s="14">
        <f>VLOOKUP(B45,'75 - Summary Exhibit'!A:N,4,FALSE)</f>
        <v>6732</v>
      </c>
      <c r="G45" s="14">
        <f>VLOOKUP(B45,'75 - Summary Exhibit'!A:N,5,FALSE)</f>
        <v>5382</v>
      </c>
      <c r="H45" s="14">
        <f>VLOOKUP(B45,'75 - Summary Exhibit'!A:N,6,FALSE)</f>
        <v>0</v>
      </c>
      <c r="I45" s="11">
        <f>VLOOKUP(B45,'75 - Summary Exhibit'!A:N,7,FALSE)</f>
        <v>1848</v>
      </c>
      <c r="J45" s="11">
        <f>VLOOKUP(B45,'75 - Summary Exhibit'!A:N,8,FALSE)</f>
        <v>0</v>
      </c>
      <c r="K45" s="11">
        <f>VLOOKUP(B45,'75 - Summary Exhibit'!A:N,9,FALSE)</f>
        <v>0</v>
      </c>
      <c r="L45" s="11">
        <f>VLOOKUP(B45,'75 - Summary Exhibit'!A:N,10,FALSE)</f>
        <v>0</v>
      </c>
      <c r="M45" s="11">
        <f>VLOOKUP(B45,'75 - Summary Exhibit'!A:N,11,FALSE)</f>
        <v>0</v>
      </c>
      <c r="N45" s="11">
        <f>VLOOKUP(B45,'75 - Summary Exhibit'!A:N,12,FALSE)</f>
        <v>13044</v>
      </c>
      <c r="O45" s="11">
        <f>VLOOKUP(B45,'75 - Summary Exhibit'!A:N,13,FALSE)</f>
        <v>616</v>
      </c>
      <c r="P45" s="11">
        <f t="shared" si="14"/>
        <v>13660</v>
      </c>
      <c r="Q45" s="11">
        <f>VLOOKUP(B45,'75- Deferred Amortization'!A:G,3,FALSE)</f>
        <v>4206</v>
      </c>
      <c r="R45" s="11">
        <f>VLOOKUP(B45,'75- Deferred Amortization'!A:G,4,FALSE)</f>
        <v>4206</v>
      </c>
      <c r="S45" s="11">
        <f>VLOOKUP(B45,'75- Deferred Amortization'!A:G,5,FALSE)</f>
        <v>4205</v>
      </c>
      <c r="T45" s="11">
        <f>VLOOKUP(B45,'75- Deferred Amortization'!A:G,6,FALSE)</f>
        <v>1344</v>
      </c>
      <c r="U45" s="11">
        <f>VLOOKUP(B45,'75- Deferred Amortization'!A:G,7,FALSE)</f>
        <v>0</v>
      </c>
      <c r="V45" s="11">
        <f t="shared" si="16"/>
        <v>0</v>
      </c>
      <c r="W45" s="11">
        <f t="shared" si="15"/>
        <v>1</v>
      </c>
      <c r="X45">
        <v>2</v>
      </c>
      <c r="AC45" s="11">
        <f t="shared" si="2"/>
        <v>-24443</v>
      </c>
      <c r="AD45" s="14"/>
      <c r="AE45" s="14"/>
      <c r="AF45" s="14"/>
      <c r="AG45" s="11"/>
      <c r="AH45" s="11"/>
      <c r="AI45" s="11"/>
      <c r="AJ45" s="11"/>
      <c r="AK45" s="11"/>
      <c r="AM45" s="11">
        <f t="shared" si="12"/>
        <v>1848</v>
      </c>
      <c r="AN45" s="11">
        <f t="shared" si="13"/>
        <v>0</v>
      </c>
      <c r="AO45" s="14">
        <f t="shared" si="5"/>
        <v>6732</v>
      </c>
      <c r="AP45" s="11">
        <f t="shared" si="6"/>
        <v>0</v>
      </c>
      <c r="AQ45" s="14">
        <f t="shared" si="7"/>
        <v>0</v>
      </c>
      <c r="AR45" s="11">
        <f t="shared" si="8"/>
        <v>0</v>
      </c>
      <c r="AS45" s="11">
        <f t="shared" si="10"/>
        <v>-109</v>
      </c>
      <c r="AU45" s="12">
        <f>VLOOKUP(B45,'Allocation Exhibit 2016-06-30'!A:D,4,FALSE)</f>
        <v>3.9360000000000003E-4</v>
      </c>
    </row>
    <row r="46" spans="1:47">
      <c r="A46" t="s">
        <v>77</v>
      </c>
      <c r="B46">
        <v>34405</v>
      </c>
      <c r="C46" s="11">
        <f>VLOOKUP(B46,'ER Contributions'!A:D,4,FALSE)</f>
        <v>31269</v>
      </c>
      <c r="D46" s="12">
        <f>VLOOKUP(B46,'ER Contributions'!A:D,3,FALSE)</f>
        <v>4.9669999999999998E-4</v>
      </c>
      <c r="E46" s="11">
        <f>VLOOKUP(B46,'75 - Summary Exhibit'!A:N,3,FALSE)</f>
        <v>-30358</v>
      </c>
      <c r="F46" s="14">
        <f>VLOOKUP(B46,'75 - Summary Exhibit'!A:N,4,FALSE)</f>
        <v>8324</v>
      </c>
      <c r="G46" s="14">
        <f>VLOOKUP(B46,'75 - Summary Exhibit'!A:N,5,FALSE)</f>
        <v>6654</v>
      </c>
      <c r="H46" s="14">
        <f>VLOOKUP(B46,'75 - Summary Exhibit'!A:N,6,FALSE)</f>
        <v>0</v>
      </c>
      <c r="I46" s="11">
        <f>VLOOKUP(B46,'75 - Summary Exhibit'!A:N,7,FALSE)</f>
        <v>2126</v>
      </c>
      <c r="J46" s="11">
        <f>VLOOKUP(B46,'75 - Summary Exhibit'!A:N,8,FALSE)</f>
        <v>0</v>
      </c>
      <c r="K46" s="11">
        <f>VLOOKUP(B46,'75 - Summary Exhibit'!A:N,9,FALSE)</f>
        <v>0</v>
      </c>
      <c r="L46" s="11">
        <f>VLOOKUP(B46,'75 - Summary Exhibit'!A:N,10,FALSE)</f>
        <v>0</v>
      </c>
      <c r="M46" s="11">
        <f>VLOOKUP(B46,'75 - Summary Exhibit'!A:N,11,FALSE)</f>
        <v>0</v>
      </c>
      <c r="N46" s="11">
        <f>VLOOKUP(B46,'75 - Summary Exhibit'!A:N,12,FALSE)</f>
        <v>16129</v>
      </c>
      <c r="O46" s="11">
        <f>VLOOKUP(B46,'75 - Summary Exhibit'!A:N,13,FALSE)</f>
        <v>709</v>
      </c>
      <c r="P46" s="11">
        <f t="shared" si="14"/>
        <v>16838</v>
      </c>
      <c r="Q46" s="11">
        <f>VLOOKUP(B46,'75- Deferred Amortization'!A:G,3,FALSE)</f>
        <v>5148</v>
      </c>
      <c r="R46" s="11">
        <f>VLOOKUP(B46,'75- Deferred Amortization'!A:G,4,FALSE)</f>
        <v>5148</v>
      </c>
      <c r="S46" s="11">
        <f>VLOOKUP(B46,'75- Deferred Amortization'!A:G,5,FALSE)</f>
        <v>5146</v>
      </c>
      <c r="T46" s="11">
        <f>VLOOKUP(B46,'75- Deferred Amortization'!A:G,6,FALSE)</f>
        <v>1662</v>
      </c>
      <c r="U46" s="11">
        <f>VLOOKUP(B46,'75- Deferred Amortization'!A:G,7,FALSE)</f>
        <v>0</v>
      </c>
      <c r="V46" s="11">
        <f t="shared" si="16"/>
        <v>0</v>
      </c>
      <c r="W46" s="11">
        <f t="shared" si="15"/>
        <v>0</v>
      </c>
      <c r="X46">
        <v>2</v>
      </c>
      <c r="AC46" s="11">
        <f t="shared" si="2"/>
        <v>-33031</v>
      </c>
      <c r="AD46" s="14"/>
      <c r="AE46" s="14"/>
      <c r="AF46" s="14"/>
      <c r="AG46" s="11"/>
      <c r="AH46" s="11"/>
      <c r="AI46" s="11"/>
      <c r="AJ46" s="11"/>
      <c r="AK46" s="11"/>
      <c r="AM46" s="11">
        <f t="shared" si="12"/>
        <v>2126</v>
      </c>
      <c r="AN46" s="11">
        <f t="shared" si="13"/>
        <v>0</v>
      </c>
      <c r="AO46" s="14">
        <f t="shared" si="5"/>
        <v>8324</v>
      </c>
      <c r="AP46" s="11">
        <f t="shared" si="6"/>
        <v>0</v>
      </c>
      <c r="AQ46" s="14">
        <f t="shared" si="7"/>
        <v>0</v>
      </c>
      <c r="AR46" s="11">
        <f t="shared" si="8"/>
        <v>0</v>
      </c>
      <c r="AS46" s="11">
        <f t="shared" si="10"/>
        <v>2673</v>
      </c>
      <c r="AU46" s="12">
        <f>VLOOKUP(B46,'Allocation Exhibit 2016-06-30'!A:D,4,FALSE)</f>
        <v>5.3189999999999997E-4</v>
      </c>
    </row>
    <row r="47" spans="1:47">
      <c r="A47" t="s">
        <v>103</v>
      </c>
      <c r="B47">
        <v>38105</v>
      </c>
      <c r="C47" s="11">
        <f>VLOOKUP(B47,'ER Contributions'!A:D,4,FALSE)</f>
        <v>35939</v>
      </c>
      <c r="D47" s="12">
        <f>VLOOKUP(B47,'ER Contributions'!A:D,3,FALSE)</f>
        <v>5.7609999999999996E-4</v>
      </c>
      <c r="E47" s="11">
        <f>VLOOKUP(B47,'75 - Summary Exhibit'!A:N,3,FALSE)</f>
        <v>-35211</v>
      </c>
      <c r="F47" s="14">
        <f>VLOOKUP(B47,'75 - Summary Exhibit'!A:N,4,FALSE)</f>
        <v>9654</v>
      </c>
      <c r="G47" s="14">
        <f>VLOOKUP(B47,'75 - Summary Exhibit'!A:N,5,FALSE)</f>
        <v>7718</v>
      </c>
      <c r="H47" s="14">
        <f>VLOOKUP(B47,'75 - Summary Exhibit'!A:N,6,FALSE)</f>
        <v>0</v>
      </c>
      <c r="I47" s="11">
        <f>VLOOKUP(B47,'75 - Summary Exhibit'!A:N,7,FALSE)</f>
        <v>1408</v>
      </c>
      <c r="J47" s="11">
        <f>VLOOKUP(B47,'75 - Summary Exhibit'!A:N,8,FALSE)</f>
        <v>0</v>
      </c>
      <c r="K47" s="11">
        <f>VLOOKUP(B47,'75 - Summary Exhibit'!A:N,9,FALSE)</f>
        <v>0</v>
      </c>
      <c r="L47" s="11">
        <f>VLOOKUP(B47,'75 - Summary Exhibit'!A:N,10,FALSE)</f>
        <v>0</v>
      </c>
      <c r="M47" s="11">
        <f>VLOOKUP(B47,'75 - Summary Exhibit'!A:N,11,FALSE)</f>
        <v>0</v>
      </c>
      <c r="N47" s="11">
        <f>VLOOKUP(B47,'75 - Summary Exhibit'!A:N,12,FALSE)</f>
        <v>18708</v>
      </c>
      <c r="O47" s="11">
        <f>VLOOKUP(B47,'75 - Summary Exhibit'!A:N,13,FALSE)</f>
        <v>469</v>
      </c>
      <c r="P47" s="11">
        <f t="shared" si="14"/>
        <v>19177</v>
      </c>
      <c r="Q47" s="11">
        <f>VLOOKUP(B47,'75- Deferred Amortization'!A:G,3,FALSE)</f>
        <v>5618</v>
      </c>
      <c r="R47" s="11">
        <f>VLOOKUP(B47,'75- Deferred Amortization'!A:G,4,FALSE)</f>
        <v>5618</v>
      </c>
      <c r="S47" s="11">
        <f>VLOOKUP(B47,'75- Deferred Amortization'!A:G,5,FALSE)</f>
        <v>5616</v>
      </c>
      <c r="T47" s="11">
        <f>VLOOKUP(B47,'75- Deferred Amortization'!A:G,6,FALSE)</f>
        <v>1928</v>
      </c>
      <c r="U47" s="11">
        <f>VLOOKUP(B47,'75- Deferred Amortization'!A:G,7,FALSE)</f>
        <v>0</v>
      </c>
      <c r="V47" s="11">
        <f t="shared" si="16"/>
        <v>0</v>
      </c>
      <c r="W47" s="11">
        <f t="shared" si="15"/>
        <v>0</v>
      </c>
      <c r="X47">
        <v>2</v>
      </c>
      <c r="AC47" s="11">
        <f t="shared" si="2"/>
        <v>-37229</v>
      </c>
      <c r="AD47" s="14"/>
      <c r="AE47" s="14"/>
      <c r="AF47" s="14"/>
      <c r="AG47" s="11"/>
      <c r="AH47" s="11"/>
      <c r="AI47" s="11"/>
      <c r="AJ47" s="11"/>
      <c r="AK47" s="11"/>
      <c r="AM47" s="11">
        <f t="shared" si="12"/>
        <v>1408</v>
      </c>
      <c r="AN47" s="11">
        <f t="shared" si="13"/>
        <v>0</v>
      </c>
      <c r="AO47" s="14">
        <f t="shared" si="5"/>
        <v>9654</v>
      </c>
      <c r="AP47" s="11">
        <f t="shared" si="6"/>
        <v>0</v>
      </c>
      <c r="AQ47" s="14">
        <f t="shared" si="7"/>
        <v>0</v>
      </c>
      <c r="AR47" s="11">
        <f t="shared" si="8"/>
        <v>0</v>
      </c>
      <c r="AS47" s="11">
        <f t="shared" si="10"/>
        <v>2018</v>
      </c>
      <c r="AU47" s="12">
        <f>VLOOKUP(B47,'Allocation Exhibit 2016-06-30'!A:D,4,FALSE)</f>
        <v>5.9949999999999999E-4</v>
      </c>
    </row>
    <row r="48" spans="1:47">
      <c r="A48" t="s">
        <v>70</v>
      </c>
      <c r="B48">
        <v>33105</v>
      </c>
      <c r="C48" s="11">
        <f>VLOOKUP(B48,'ER Contributions'!A:D,4,FALSE)</f>
        <v>22846</v>
      </c>
      <c r="D48" s="12">
        <f>VLOOKUP(B48,'ER Contributions'!A:D,3,FALSE)</f>
        <v>3.4890000000000002E-4</v>
      </c>
      <c r="E48" s="11">
        <f>VLOOKUP(B48,'75 - Summary Exhibit'!A:N,3,FALSE)</f>
        <v>-21325</v>
      </c>
      <c r="F48" s="14">
        <f>VLOOKUP(B48,'75 - Summary Exhibit'!A:N,4,FALSE)</f>
        <v>5847</v>
      </c>
      <c r="G48" s="14">
        <f>VLOOKUP(B48,'75 - Summary Exhibit'!A:N,5,FALSE)</f>
        <v>4674</v>
      </c>
      <c r="H48" s="14">
        <f>VLOOKUP(B48,'75 - Summary Exhibit'!A:N,6,FALSE)</f>
        <v>0</v>
      </c>
      <c r="I48" s="11">
        <f>VLOOKUP(B48,'75 - Summary Exhibit'!A:N,7,FALSE)</f>
        <v>863</v>
      </c>
      <c r="J48" s="11">
        <f>VLOOKUP(B48,'75 - Summary Exhibit'!A:N,8,FALSE)</f>
        <v>0</v>
      </c>
      <c r="K48" s="11">
        <f>VLOOKUP(B48,'75 - Summary Exhibit'!A:N,9,FALSE)</f>
        <v>0</v>
      </c>
      <c r="L48" s="11">
        <f>VLOOKUP(B48,'75 - Summary Exhibit'!A:N,10,FALSE)</f>
        <v>0</v>
      </c>
      <c r="M48" s="11">
        <f>VLOOKUP(B48,'75 - Summary Exhibit'!A:N,11,FALSE)</f>
        <v>0</v>
      </c>
      <c r="N48" s="11">
        <f>VLOOKUP(B48,'75 - Summary Exhibit'!A:N,12,FALSE)</f>
        <v>11330</v>
      </c>
      <c r="O48" s="11">
        <f>VLOOKUP(B48,'75 - Summary Exhibit'!A:N,13,FALSE)</f>
        <v>288</v>
      </c>
      <c r="P48" s="11">
        <f t="shared" si="14"/>
        <v>11618</v>
      </c>
      <c r="Q48" s="11">
        <f>VLOOKUP(B48,'75- Deferred Amortization'!A:G,3,FALSE)</f>
        <v>3406</v>
      </c>
      <c r="R48" s="11">
        <f>VLOOKUP(B48,'75- Deferred Amortization'!A:G,4,FALSE)</f>
        <v>3406</v>
      </c>
      <c r="S48" s="11">
        <f>VLOOKUP(B48,'75- Deferred Amortization'!A:G,5,FALSE)</f>
        <v>3405</v>
      </c>
      <c r="T48" s="11">
        <f>VLOOKUP(B48,'75- Deferred Amortization'!A:G,6,FALSE)</f>
        <v>1168</v>
      </c>
      <c r="U48" s="11">
        <f>VLOOKUP(B48,'75- Deferred Amortization'!A:G,7,FALSE)</f>
        <v>0</v>
      </c>
      <c r="V48" s="11">
        <f t="shared" si="16"/>
        <v>1</v>
      </c>
      <c r="W48" s="11">
        <f t="shared" si="15"/>
        <v>-1</v>
      </c>
      <c r="X48">
        <v>2</v>
      </c>
      <c r="AC48" s="11">
        <f t="shared" si="2"/>
        <v>-21480</v>
      </c>
      <c r="AD48" s="14"/>
      <c r="AE48" s="14"/>
      <c r="AF48" s="14"/>
      <c r="AG48" s="11"/>
      <c r="AH48" s="11"/>
      <c r="AI48" s="11"/>
      <c r="AJ48" s="11"/>
      <c r="AK48" s="11"/>
      <c r="AM48" s="11">
        <f t="shared" si="12"/>
        <v>863</v>
      </c>
      <c r="AN48" s="11">
        <f t="shared" si="13"/>
        <v>0</v>
      </c>
      <c r="AO48" s="14">
        <f t="shared" si="5"/>
        <v>5847</v>
      </c>
      <c r="AP48" s="11">
        <f t="shared" si="6"/>
        <v>0</v>
      </c>
      <c r="AQ48" s="14">
        <f t="shared" si="7"/>
        <v>0</v>
      </c>
      <c r="AR48" s="11">
        <f t="shared" si="8"/>
        <v>0</v>
      </c>
      <c r="AS48" s="11">
        <f t="shared" si="10"/>
        <v>155</v>
      </c>
      <c r="AU48" s="12">
        <f>VLOOKUP(B48,'Allocation Exhibit 2016-06-30'!A:D,4,FALSE)</f>
        <v>3.4590000000000001E-4</v>
      </c>
    </row>
    <row r="49" spans="1:47">
      <c r="A49" t="s">
        <v>82</v>
      </c>
      <c r="B49">
        <v>35105</v>
      </c>
      <c r="C49" s="11">
        <f>VLOOKUP(B49,'ER Contributions'!A:D,4,FALSE)</f>
        <v>61205</v>
      </c>
      <c r="D49" s="12">
        <f>VLOOKUP(B49,'ER Contributions'!A:D,3,FALSE)</f>
        <v>1.0185000000000001E-3</v>
      </c>
      <c r="E49" s="11">
        <f>VLOOKUP(B49,'75 - Summary Exhibit'!A:N,3,FALSE)</f>
        <v>-62251</v>
      </c>
      <c r="F49" s="14">
        <f>VLOOKUP(B49,'75 - Summary Exhibit'!A:N,4,FALSE)</f>
        <v>17068</v>
      </c>
      <c r="G49" s="14">
        <f>VLOOKUP(B49,'75 - Summary Exhibit'!A:N,5,FALSE)</f>
        <v>13645</v>
      </c>
      <c r="H49" s="14">
        <f>VLOOKUP(B49,'75 - Summary Exhibit'!A:N,6,FALSE)</f>
        <v>0</v>
      </c>
      <c r="I49" s="11">
        <f>VLOOKUP(B49,'75 - Summary Exhibit'!A:N,7,FALSE)</f>
        <v>0</v>
      </c>
      <c r="J49" s="11">
        <f>VLOOKUP(B49,'75 - Summary Exhibit'!A:N,8,FALSE)</f>
        <v>0</v>
      </c>
      <c r="K49" s="11">
        <f>VLOOKUP(B49,'75 - Summary Exhibit'!A:N,9,FALSE)</f>
        <v>0</v>
      </c>
      <c r="L49" s="11">
        <f>VLOOKUP(B49,'75 - Summary Exhibit'!A:N,10,FALSE)</f>
        <v>0</v>
      </c>
      <c r="M49" s="11">
        <f>VLOOKUP(B49,'75 - Summary Exhibit'!A:N,11,FALSE)</f>
        <v>23</v>
      </c>
      <c r="N49" s="11">
        <f>VLOOKUP(B49,'75 - Summary Exhibit'!A:N,12,FALSE)</f>
        <v>33074</v>
      </c>
      <c r="O49" s="11">
        <f>VLOOKUP(B49,'75 - Summary Exhibit'!A:N,13,FALSE)</f>
        <v>-8</v>
      </c>
      <c r="P49" s="11">
        <f t="shared" si="14"/>
        <v>33066</v>
      </c>
      <c r="Q49" s="11">
        <f>VLOOKUP(B49,'75- Deferred Amortization'!A:G,3,FALSE)</f>
        <v>9095</v>
      </c>
      <c r="R49" s="11">
        <f>VLOOKUP(B49,'75- Deferred Amortization'!A:G,4,FALSE)</f>
        <v>9095</v>
      </c>
      <c r="S49" s="11">
        <f>VLOOKUP(B49,'75- Deferred Amortization'!A:G,5,FALSE)</f>
        <v>9092</v>
      </c>
      <c r="T49" s="11">
        <f>VLOOKUP(B49,'75- Deferred Amortization'!A:G,6,FALSE)</f>
        <v>3409</v>
      </c>
      <c r="U49" s="11">
        <f>VLOOKUP(B49,'75- Deferred Amortization'!A:G,7,FALSE)</f>
        <v>0</v>
      </c>
      <c r="V49" s="11">
        <f t="shared" si="16"/>
        <v>1</v>
      </c>
      <c r="W49" s="11">
        <f t="shared" si="15"/>
        <v>-1</v>
      </c>
      <c r="X49">
        <v>2</v>
      </c>
      <c r="AC49" s="11">
        <f t="shared" si="2"/>
        <v>-64801</v>
      </c>
      <c r="AD49" s="14"/>
      <c r="AE49" s="14"/>
      <c r="AF49" s="14"/>
      <c r="AG49" s="11"/>
      <c r="AH49" s="11"/>
      <c r="AI49" s="11"/>
      <c r="AJ49" s="11"/>
      <c r="AK49" s="11"/>
      <c r="AM49" s="11">
        <f t="shared" si="12"/>
        <v>0</v>
      </c>
      <c r="AN49" s="11">
        <f t="shared" si="13"/>
        <v>23</v>
      </c>
      <c r="AO49" s="14">
        <f t="shared" si="5"/>
        <v>17068</v>
      </c>
      <c r="AP49" s="11">
        <f t="shared" si="6"/>
        <v>0</v>
      </c>
      <c r="AQ49" s="14">
        <f t="shared" si="7"/>
        <v>0</v>
      </c>
      <c r="AR49" s="11">
        <f t="shared" si="8"/>
        <v>0</v>
      </c>
      <c r="AS49" s="11">
        <f t="shared" si="10"/>
        <v>2550</v>
      </c>
      <c r="AU49" s="12">
        <f>VLOOKUP(B49,'Allocation Exhibit 2016-06-30'!A:D,4,FALSE)</f>
        <v>1.0434999999999999E-3</v>
      </c>
    </row>
    <row r="50" spans="1:47">
      <c r="A50" t="s">
        <v>84</v>
      </c>
      <c r="B50">
        <v>35405</v>
      </c>
      <c r="C50" s="11">
        <f>VLOOKUP(B50,'ER Contributions'!A:D,4,FALSE)</f>
        <v>55186</v>
      </c>
      <c r="D50" s="12">
        <f>VLOOKUP(B50,'ER Contributions'!A:D,3,FALSE)</f>
        <v>9.1980000000000002E-4</v>
      </c>
      <c r="E50" s="11">
        <f>VLOOKUP(B50,'75 - Summary Exhibit'!A:N,3,FALSE)</f>
        <v>-56218</v>
      </c>
      <c r="F50" s="14">
        <f>VLOOKUP(B50,'75 - Summary Exhibit'!A:N,4,FALSE)</f>
        <v>15414</v>
      </c>
      <c r="G50" s="14">
        <f>VLOOKUP(B50,'75 - Summary Exhibit'!A:N,5,FALSE)</f>
        <v>12323</v>
      </c>
      <c r="H50" s="14">
        <f>VLOOKUP(B50,'75 - Summary Exhibit'!A:N,6,FALSE)</f>
        <v>0</v>
      </c>
      <c r="I50" s="11">
        <f>VLOOKUP(B50,'75 - Summary Exhibit'!A:N,7,FALSE)</f>
        <v>739</v>
      </c>
      <c r="J50" s="11">
        <f>VLOOKUP(B50,'75 - Summary Exhibit'!A:N,8,FALSE)</f>
        <v>0</v>
      </c>
      <c r="K50" s="11">
        <f>VLOOKUP(B50,'75 - Summary Exhibit'!A:N,9,FALSE)</f>
        <v>0</v>
      </c>
      <c r="L50" s="11">
        <f>VLOOKUP(B50,'75 - Summary Exhibit'!A:N,10,FALSE)</f>
        <v>0</v>
      </c>
      <c r="M50" s="11">
        <f>VLOOKUP(B50,'75 - Summary Exhibit'!A:N,11,FALSE)</f>
        <v>0</v>
      </c>
      <c r="N50" s="11">
        <f>VLOOKUP(B50,'75 - Summary Exhibit'!A:N,12,FALSE)</f>
        <v>29869</v>
      </c>
      <c r="O50" s="11">
        <f>VLOOKUP(B50,'75 - Summary Exhibit'!A:N,13,FALSE)</f>
        <v>246</v>
      </c>
      <c r="P50" s="11">
        <f t="shared" si="14"/>
        <v>30115</v>
      </c>
      <c r="Q50" s="11">
        <f>VLOOKUP(B50,'75- Deferred Amortization'!A:G,3,FALSE)</f>
        <v>8466</v>
      </c>
      <c r="R50" s="11">
        <f>VLOOKUP(B50,'75- Deferred Amortization'!A:G,4,FALSE)</f>
        <v>8466</v>
      </c>
      <c r="S50" s="11">
        <f>VLOOKUP(B50,'75- Deferred Amortization'!A:G,5,FALSE)</f>
        <v>8464</v>
      </c>
      <c r="T50" s="11">
        <f>VLOOKUP(B50,'75- Deferred Amortization'!A:G,6,FALSE)</f>
        <v>3079</v>
      </c>
      <c r="U50" s="11">
        <f>VLOOKUP(B50,'75- Deferred Amortization'!A:G,7,FALSE)</f>
        <v>0</v>
      </c>
      <c r="V50" s="11">
        <f t="shared" si="16"/>
        <v>1</v>
      </c>
      <c r="W50" s="11">
        <f t="shared" si="15"/>
        <v>1</v>
      </c>
      <c r="X50">
        <v>2</v>
      </c>
      <c r="AC50" s="11">
        <f t="shared" si="2"/>
        <v>-59622</v>
      </c>
      <c r="AD50" s="14"/>
      <c r="AE50" s="14"/>
      <c r="AF50" s="14"/>
      <c r="AG50" s="11"/>
      <c r="AH50" s="11"/>
      <c r="AI50" s="11"/>
      <c r="AJ50" s="11"/>
      <c r="AK50" s="11"/>
      <c r="AM50" s="11">
        <f t="shared" si="12"/>
        <v>739</v>
      </c>
      <c r="AN50" s="11">
        <f t="shared" si="13"/>
        <v>0</v>
      </c>
      <c r="AO50" s="14">
        <f t="shared" si="5"/>
        <v>15414</v>
      </c>
      <c r="AP50" s="11">
        <f t="shared" si="6"/>
        <v>0</v>
      </c>
      <c r="AQ50" s="14">
        <f t="shared" si="7"/>
        <v>0</v>
      </c>
      <c r="AR50" s="11">
        <f t="shared" si="8"/>
        <v>0</v>
      </c>
      <c r="AS50" s="11">
        <f t="shared" si="10"/>
        <v>3404</v>
      </c>
      <c r="AU50" s="12">
        <f>VLOOKUP(B50,'Allocation Exhibit 2016-06-30'!A:D,4,FALSE)</f>
        <v>9.6009999999999997E-4</v>
      </c>
    </row>
    <row r="51" spans="1:47">
      <c r="A51" t="s">
        <v>85</v>
      </c>
      <c r="B51">
        <v>35805</v>
      </c>
      <c r="C51" s="11">
        <f>VLOOKUP(B51,'ER Contributions'!A:D,4,FALSE)</f>
        <v>15158</v>
      </c>
      <c r="D51" s="12">
        <f>VLOOKUP(B51,'ER Contributions'!A:D,3,FALSE)</f>
        <v>2.107E-4</v>
      </c>
      <c r="E51" s="11">
        <f>VLOOKUP(B51,'75 - Summary Exhibit'!A:N,3,FALSE)</f>
        <v>-12878</v>
      </c>
      <c r="F51" s="14">
        <f>VLOOKUP(B51,'75 - Summary Exhibit'!A:N,4,FALSE)</f>
        <v>3531</v>
      </c>
      <c r="G51" s="14">
        <f>VLOOKUP(B51,'75 - Summary Exhibit'!A:N,5,FALSE)</f>
        <v>2823</v>
      </c>
      <c r="H51" s="14">
        <f>VLOOKUP(B51,'75 - Summary Exhibit'!A:N,6,FALSE)</f>
        <v>0</v>
      </c>
      <c r="I51" s="11">
        <f>VLOOKUP(B51,'75 - Summary Exhibit'!A:N,7,FALSE)</f>
        <v>1105</v>
      </c>
      <c r="J51" s="11">
        <f>VLOOKUP(B51,'75 - Summary Exhibit'!A:N,8,FALSE)</f>
        <v>0</v>
      </c>
      <c r="K51" s="11">
        <f>VLOOKUP(B51,'75 - Summary Exhibit'!A:N,9,FALSE)</f>
        <v>0</v>
      </c>
      <c r="L51" s="11">
        <f>VLOOKUP(B51,'75 - Summary Exhibit'!A:N,10,FALSE)</f>
        <v>0</v>
      </c>
      <c r="M51" s="11">
        <f>VLOOKUP(B51,'75 - Summary Exhibit'!A:N,11,FALSE)</f>
        <v>0</v>
      </c>
      <c r="N51" s="11">
        <f>VLOOKUP(B51,'75 - Summary Exhibit'!A:N,12,FALSE)</f>
        <v>6842</v>
      </c>
      <c r="O51" s="11">
        <f>VLOOKUP(B51,'75 - Summary Exhibit'!A:N,13,FALSE)</f>
        <v>368</v>
      </c>
      <c r="P51" s="11">
        <f t="shared" si="14"/>
        <v>7210</v>
      </c>
      <c r="Q51" s="11">
        <f>VLOOKUP(B51,'75- Deferred Amortization'!A:G,3,FALSE)</f>
        <v>2251</v>
      </c>
      <c r="R51" s="11">
        <f>VLOOKUP(B51,'75- Deferred Amortization'!A:G,4,FALSE)</f>
        <v>2251</v>
      </c>
      <c r="S51" s="11">
        <f>VLOOKUP(B51,'75- Deferred Amortization'!A:G,5,FALSE)</f>
        <v>2251</v>
      </c>
      <c r="T51" s="11">
        <f>VLOOKUP(B51,'75- Deferred Amortization'!A:G,6,FALSE)</f>
        <v>705</v>
      </c>
      <c r="U51" s="11">
        <f>VLOOKUP(B51,'75- Deferred Amortization'!A:G,7,FALSE)</f>
        <v>0</v>
      </c>
      <c r="V51" s="11">
        <f t="shared" si="16"/>
        <v>0</v>
      </c>
      <c r="W51" s="11">
        <f t="shared" si="15"/>
        <v>1</v>
      </c>
      <c r="X51">
        <v>2</v>
      </c>
      <c r="AC51" s="11">
        <f t="shared" si="2"/>
        <v>-12389</v>
      </c>
      <c r="AD51" s="14"/>
      <c r="AE51" s="14"/>
      <c r="AF51" s="14"/>
      <c r="AG51" s="11"/>
      <c r="AH51" s="11"/>
      <c r="AI51" s="11"/>
      <c r="AJ51" s="11"/>
      <c r="AK51" s="11"/>
      <c r="AM51" s="11">
        <f t="shared" si="12"/>
        <v>1105</v>
      </c>
      <c r="AN51" s="11">
        <f t="shared" si="13"/>
        <v>0</v>
      </c>
      <c r="AO51" s="14">
        <f t="shared" si="5"/>
        <v>3531</v>
      </c>
      <c r="AP51" s="11">
        <f t="shared" si="6"/>
        <v>0</v>
      </c>
      <c r="AQ51" s="14">
        <f t="shared" si="7"/>
        <v>0</v>
      </c>
      <c r="AR51" s="11">
        <f t="shared" si="8"/>
        <v>0</v>
      </c>
      <c r="AS51" s="11">
        <f t="shared" si="10"/>
        <v>-489</v>
      </c>
      <c r="AU51" s="12">
        <f>VLOOKUP(B51,'Allocation Exhibit 2016-06-30'!A:D,4,FALSE)</f>
        <v>1.995E-4</v>
      </c>
    </row>
    <row r="52" spans="1:47">
      <c r="A52" t="s">
        <v>88</v>
      </c>
      <c r="B52">
        <v>36105</v>
      </c>
      <c r="C52" s="11">
        <f>VLOOKUP(B52,'ER Contributions'!A:D,4,FALSE)</f>
        <v>24021</v>
      </c>
      <c r="D52" s="12">
        <f>VLOOKUP(B52,'ER Contributions'!A:D,3,FALSE)</f>
        <v>3.5750000000000002E-4</v>
      </c>
      <c r="E52" s="11">
        <f>VLOOKUP(B52,'75 - Summary Exhibit'!A:N,3,FALSE)</f>
        <v>-21850</v>
      </c>
      <c r="F52" s="14">
        <f>VLOOKUP(B52,'75 - Summary Exhibit'!A:N,4,FALSE)</f>
        <v>5991</v>
      </c>
      <c r="G52" s="14">
        <f>VLOOKUP(B52,'75 - Summary Exhibit'!A:N,5,FALSE)</f>
        <v>4789</v>
      </c>
      <c r="H52" s="14">
        <f>VLOOKUP(B52,'75 - Summary Exhibit'!A:N,6,FALSE)</f>
        <v>0</v>
      </c>
      <c r="I52" s="11">
        <f>VLOOKUP(B52,'75 - Summary Exhibit'!A:N,7,FALSE)</f>
        <v>1384</v>
      </c>
      <c r="J52" s="11">
        <f>VLOOKUP(B52,'75 - Summary Exhibit'!A:N,8,FALSE)</f>
        <v>0</v>
      </c>
      <c r="K52" s="11">
        <f>VLOOKUP(B52,'75 - Summary Exhibit'!A:N,9,FALSE)</f>
        <v>0</v>
      </c>
      <c r="L52" s="11">
        <f>VLOOKUP(B52,'75 - Summary Exhibit'!A:N,10,FALSE)</f>
        <v>0</v>
      </c>
      <c r="M52" s="11">
        <f>VLOOKUP(B52,'75 - Summary Exhibit'!A:N,11,FALSE)</f>
        <v>0</v>
      </c>
      <c r="N52" s="11">
        <f>VLOOKUP(B52,'75 - Summary Exhibit'!A:N,12,FALSE)</f>
        <v>11609</v>
      </c>
      <c r="O52" s="11">
        <f>VLOOKUP(B52,'75 - Summary Exhibit'!A:N,13,FALSE)</f>
        <v>461</v>
      </c>
      <c r="P52" s="11">
        <f t="shared" si="14"/>
        <v>12070</v>
      </c>
      <c r="Q52" s="11">
        <f>VLOOKUP(B52,'75- Deferred Amortization'!A:G,3,FALSE)</f>
        <v>3656</v>
      </c>
      <c r="R52" s="11">
        <f>VLOOKUP(B52,'75- Deferred Amortization'!A:G,4,FALSE)</f>
        <v>3656</v>
      </c>
      <c r="S52" s="11">
        <f>VLOOKUP(B52,'75- Deferred Amortization'!A:G,5,FALSE)</f>
        <v>3655</v>
      </c>
      <c r="T52" s="11">
        <f>VLOOKUP(B52,'75- Deferred Amortization'!A:G,6,FALSE)</f>
        <v>1197</v>
      </c>
      <c r="U52" s="11">
        <f>VLOOKUP(B52,'75- Deferred Amortization'!A:G,7,FALSE)</f>
        <v>0</v>
      </c>
      <c r="V52" s="11">
        <f t="shared" si="16"/>
        <v>-1</v>
      </c>
      <c r="W52" s="11">
        <f t="shared" si="15"/>
        <v>0</v>
      </c>
      <c r="X52">
        <v>2</v>
      </c>
      <c r="AC52" s="11">
        <f t="shared" si="2"/>
        <v>-22064</v>
      </c>
      <c r="AD52" s="14"/>
      <c r="AE52" s="14"/>
      <c r="AF52" s="14"/>
      <c r="AG52" s="11"/>
      <c r="AH52" s="11"/>
      <c r="AI52" s="11"/>
      <c r="AJ52" s="11"/>
      <c r="AK52" s="11"/>
      <c r="AM52" s="11">
        <f t="shared" si="12"/>
        <v>1384</v>
      </c>
      <c r="AN52" s="11">
        <f t="shared" si="13"/>
        <v>0</v>
      </c>
      <c r="AO52" s="14">
        <f t="shared" si="5"/>
        <v>5991</v>
      </c>
      <c r="AP52" s="11">
        <f t="shared" si="6"/>
        <v>0</v>
      </c>
      <c r="AQ52" s="14">
        <f t="shared" si="7"/>
        <v>0</v>
      </c>
      <c r="AR52" s="11">
        <f t="shared" si="8"/>
        <v>0</v>
      </c>
      <c r="AS52" s="11">
        <f t="shared" si="10"/>
        <v>214</v>
      </c>
      <c r="AU52" s="12">
        <f>VLOOKUP(B52,'Allocation Exhibit 2016-06-30'!A:D,4,FALSE)</f>
        <v>3.5530000000000002E-4</v>
      </c>
    </row>
    <row r="53" spans="1:47">
      <c r="A53" t="s">
        <v>86</v>
      </c>
      <c r="B53">
        <v>35905</v>
      </c>
      <c r="C53" s="11">
        <f>VLOOKUP(B53,'ER Contributions'!A:D,4,FALSE)</f>
        <v>22532</v>
      </c>
      <c r="D53" s="12">
        <f>VLOOKUP(B53,'ER Contributions'!A:D,3,FALSE)</f>
        <v>3.009E-4</v>
      </c>
      <c r="E53" s="11">
        <f>VLOOKUP(B53,'75 - Summary Exhibit'!A:N,3,FALSE)</f>
        <v>-18391</v>
      </c>
      <c r="F53" s="14">
        <f>VLOOKUP(B53,'75 - Summary Exhibit'!A:N,4,FALSE)</f>
        <v>5042</v>
      </c>
      <c r="G53" s="14">
        <f>VLOOKUP(B53,'75 - Summary Exhibit'!A:N,5,FALSE)</f>
        <v>4031</v>
      </c>
      <c r="H53" s="14">
        <f>VLOOKUP(B53,'75 - Summary Exhibit'!A:N,6,FALSE)</f>
        <v>0</v>
      </c>
      <c r="I53" s="11">
        <f>VLOOKUP(B53,'75 - Summary Exhibit'!A:N,7,FALSE)</f>
        <v>3186</v>
      </c>
      <c r="J53" s="11">
        <f>VLOOKUP(B53,'75 - Summary Exhibit'!A:N,8,FALSE)</f>
        <v>0</v>
      </c>
      <c r="K53" s="11">
        <f>VLOOKUP(B53,'75 - Summary Exhibit'!A:N,9,FALSE)</f>
        <v>0</v>
      </c>
      <c r="L53" s="11">
        <f>VLOOKUP(B53,'75 - Summary Exhibit'!A:N,10,FALSE)</f>
        <v>0</v>
      </c>
      <c r="M53" s="11">
        <f>VLOOKUP(B53,'75 - Summary Exhibit'!A:N,11,FALSE)</f>
        <v>0</v>
      </c>
      <c r="N53" s="11">
        <f>VLOOKUP(B53,'75 - Summary Exhibit'!A:N,12,FALSE)</f>
        <v>9771</v>
      </c>
      <c r="O53" s="11">
        <f>VLOOKUP(B53,'75 - Summary Exhibit'!A:N,13,FALSE)</f>
        <v>1062</v>
      </c>
      <c r="P53" s="11">
        <f t="shared" si="14"/>
        <v>10833</v>
      </c>
      <c r="Q53" s="11">
        <f>VLOOKUP(B53,'75- Deferred Amortization'!A:G,3,FALSE)</f>
        <v>3751</v>
      </c>
      <c r="R53" s="11">
        <f>VLOOKUP(B53,'75- Deferred Amortization'!A:G,4,FALSE)</f>
        <v>3751</v>
      </c>
      <c r="S53" s="11">
        <f>VLOOKUP(B53,'75- Deferred Amortization'!A:G,5,FALSE)</f>
        <v>3750</v>
      </c>
      <c r="T53" s="11">
        <f>VLOOKUP(B53,'75- Deferred Amortization'!A:G,6,FALSE)</f>
        <v>1007</v>
      </c>
      <c r="U53" s="11">
        <f>VLOOKUP(B53,'75- Deferred Amortization'!A:G,7,FALSE)</f>
        <v>0</v>
      </c>
      <c r="V53" s="11">
        <f t="shared" si="16"/>
        <v>-2</v>
      </c>
      <c r="W53" s="11">
        <f t="shared" si="15"/>
        <v>0</v>
      </c>
      <c r="X53">
        <v>2</v>
      </c>
      <c r="AC53" s="11">
        <f t="shared" si="2"/>
        <v>-18953</v>
      </c>
      <c r="AD53" s="14"/>
      <c r="AE53" s="14"/>
      <c r="AF53" s="14"/>
      <c r="AG53" s="11"/>
      <c r="AH53" s="11"/>
      <c r="AI53" s="11"/>
      <c r="AJ53" s="11"/>
      <c r="AK53" s="11"/>
      <c r="AM53" s="11">
        <f t="shared" si="12"/>
        <v>3186</v>
      </c>
      <c r="AN53" s="11">
        <f t="shared" si="13"/>
        <v>0</v>
      </c>
      <c r="AO53" s="14">
        <f t="shared" si="5"/>
        <v>5042</v>
      </c>
      <c r="AP53" s="11">
        <f t="shared" si="6"/>
        <v>0</v>
      </c>
      <c r="AQ53" s="14">
        <f t="shared" si="7"/>
        <v>0</v>
      </c>
      <c r="AR53" s="11">
        <f t="shared" si="8"/>
        <v>0</v>
      </c>
      <c r="AS53" s="11">
        <f t="shared" si="10"/>
        <v>562</v>
      </c>
      <c r="AU53" s="12">
        <f>VLOOKUP(B53,'Allocation Exhibit 2016-06-30'!A:D,4,FALSE)</f>
        <v>3.0519999999999999E-4</v>
      </c>
    </row>
    <row r="54" spans="1:47">
      <c r="A54" t="s">
        <v>80</v>
      </c>
      <c r="B54">
        <v>34905</v>
      </c>
      <c r="C54" s="11">
        <f>VLOOKUP(B54,'ER Contributions'!A:D,4,FALSE)</f>
        <v>39702</v>
      </c>
      <c r="D54" s="12">
        <f>VLOOKUP(B54,'ER Contributions'!A:D,3,FALSE)</f>
        <v>6.3719999999999998E-4</v>
      </c>
      <c r="E54" s="11">
        <f>VLOOKUP(B54,'75 - Summary Exhibit'!A:N,3,FALSE)</f>
        <v>-38946</v>
      </c>
      <c r="F54" s="14">
        <f>VLOOKUP(B54,'75 - Summary Exhibit'!A:N,4,FALSE)</f>
        <v>10678</v>
      </c>
      <c r="G54" s="14">
        <f>VLOOKUP(B54,'75 - Summary Exhibit'!A:N,5,FALSE)</f>
        <v>8537</v>
      </c>
      <c r="H54" s="14">
        <f>VLOOKUP(B54,'75 - Summary Exhibit'!A:N,6,FALSE)</f>
        <v>0</v>
      </c>
      <c r="I54" s="11">
        <f>VLOOKUP(B54,'75 - Summary Exhibit'!A:N,7,FALSE)</f>
        <v>375</v>
      </c>
      <c r="J54" s="11">
        <f>VLOOKUP(B54,'75 - Summary Exhibit'!A:N,8,FALSE)</f>
        <v>0</v>
      </c>
      <c r="K54" s="11">
        <f>VLOOKUP(B54,'75 - Summary Exhibit'!A:N,9,FALSE)</f>
        <v>0</v>
      </c>
      <c r="L54" s="11">
        <f>VLOOKUP(B54,'75 - Summary Exhibit'!A:N,10,FALSE)</f>
        <v>0</v>
      </c>
      <c r="M54" s="11">
        <f>VLOOKUP(B54,'75 - Summary Exhibit'!A:N,11,FALSE)</f>
        <v>0</v>
      </c>
      <c r="N54" s="11">
        <f>VLOOKUP(B54,'75 - Summary Exhibit'!A:N,12,FALSE)</f>
        <v>20692</v>
      </c>
      <c r="O54" s="11">
        <f>VLOOKUP(B54,'75 - Summary Exhibit'!A:N,13,FALSE)</f>
        <v>125</v>
      </c>
      <c r="P54" s="11">
        <f t="shared" si="14"/>
        <v>20817</v>
      </c>
      <c r="Q54" s="11">
        <f>VLOOKUP(B54,'75- Deferred Amortization'!A:G,3,FALSE)</f>
        <v>5820</v>
      </c>
      <c r="R54" s="11">
        <f>VLOOKUP(B54,'75- Deferred Amortization'!A:G,4,FALSE)</f>
        <v>5820</v>
      </c>
      <c r="S54" s="11">
        <f>VLOOKUP(B54,'75- Deferred Amortization'!A:G,5,FALSE)</f>
        <v>5818</v>
      </c>
      <c r="T54" s="11">
        <f>VLOOKUP(B54,'75- Deferred Amortization'!A:G,6,FALSE)</f>
        <v>2133</v>
      </c>
      <c r="U54" s="11">
        <f>VLOOKUP(B54,'75- Deferred Amortization'!A:G,7,FALSE)</f>
        <v>0</v>
      </c>
      <c r="V54" s="11">
        <f>ROUND(((F54-AD54)+(G54-AE54)+(H54-AF54)+(I54-AG54)+(AI54-K54)+P54-(E54-AC54)-(J54-AH54)-(M54-AK54)-C54),0)</f>
        <v>0</v>
      </c>
      <c r="W54" s="11">
        <f t="shared" si="15"/>
        <v>-1</v>
      </c>
      <c r="X54">
        <v>2</v>
      </c>
      <c r="AC54" s="11">
        <f t="shared" si="2"/>
        <v>-39651</v>
      </c>
      <c r="AD54" s="14"/>
      <c r="AE54" s="14"/>
      <c r="AF54" s="14"/>
      <c r="AG54" s="11"/>
      <c r="AH54" s="11"/>
      <c r="AI54" s="11"/>
      <c r="AJ54" s="11"/>
      <c r="AK54" s="11"/>
      <c r="AM54" s="11">
        <f t="shared" si="12"/>
        <v>375</v>
      </c>
      <c r="AN54" s="11">
        <f t="shared" si="13"/>
        <v>0</v>
      </c>
      <c r="AO54" s="14">
        <f t="shared" si="5"/>
        <v>10678</v>
      </c>
      <c r="AP54" s="11">
        <f t="shared" si="6"/>
        <v>0</v>
      </c>
      <c r="AQ54" s="14">
        <f t="shared" si="7"/>
        <v>0</v>
      </c>
      <c r="AR54" s="11">
        <f t="shared" si="8"/>
        <v>0</v>
      </c>
      <c r="AS54" s="11">
        <f t="shared" si="10"/>
        <v>705</v>
      </c>
      <c r="AU54" s="12">
        <f>VLOOKUP(B54,'Allocation Exhibit 2016-06-30'!A:D,4,FALSE)</f>
        <v>6.3849999999999996E-4</v>
      </c>
    </row>
    <row r="55" spans="1:47">
      <c r="A55" t="s">
        <v>89</v>
      </c>
      <c r="B55">
        <v>36205</v>
      </c>
      <c r="C55" s="11">
        <f>VLOOKUP(B55,'ER Contributions'!A:D,4,FALSE)</f>
        <v>15509</v>
      </c>
      <c r="D55" s="12">
        <f>VLOOKUP(B55,'ER Contributions'!A:D,3,FALSE)</f>
        <v>2.5270000000000002E-4</v>
      </c>
      <c r="E55" s="11">
        <f>VLOOKUP(B55,'75 - Summary Exhibit'!A:N,3,FALSE)</f>
        <v>-15445</v>
      </c>
      <c r="F55" s="14">
        <f>VLOOKUP(B55,'75 - Summary Exhibit'!A:N,4,FALSE)</f>
        <v>4235</v>
      </c>
      <c r="G55" s="14">
        <f>VLOOKUP(B55,'75 - Summary Exhibit'!A:N,5,FALSE)</f>
        <v>3385</v>
      </c>
      <c r="H55" s="14">
        <f>VLOOKUP(B55,'75 - Summary Exhibit'!A:N,6,FALSE)</f>
        <v>0</v>
      </c>
      <c r="I55" s="11">
        <f>VLOOKUP(B55,'75 - Summary Exhibit'!A:N,7,FALSE)</f>
        <v>0</v>
      </c>
      <c r="J55" s="11">
        <f>VLOOKUP(B55,'75 - Summary Exhibit'!A:N,8,FALSE)</f>
        <v>0</v>
      </c>
      <c r="K55" s="11">
        <f>VLOOKUP(B55,'75 - Summary Exhibit'!A:N,9,FALSE)</f>
        <v>0</v>
      </c>
      <c r="L55" s="11">
        <f>VLOOKUP(B55,'75 - Summary Exhibit'!A:N,10,FALSE)</f>
        <v>0</v>
      </c>
      <c r="M55" s="11">
        <f>VLOOKUP(B55,'75 - Summary Exhibit'!A:N,11,FALSE)</f>
        <v>359</v>
      </c>
      <c r="N55" s="11">
        <f>VLOOKUP(B55,'75 - Summary Exhibit'!A:N,12,FALSE)</f>
        <v>8206</v>
      </c>
      <c r="O55" s="11">
        <f>VLOOKUP(B55,'75 - Summary Exhibit'!A:N,13,FALSE)</f>
        <v>-120</v>
      </c>
      <c r="P55" s="11">
        <f t="shared" si="14"/>
        <v>8086</v>
      </c>
      <c r="Q55" s="11">
        <f>VLOOKUP(B55,'75- Deferred Amortization'!A:G,3,FALSE)</f>
        <v>2139</v>
      </c>
      <c r="R55" s="11">
        <f>VLOOKUP(B55,'75- Deferred Amortization'!A:G,4,FALSE)</f>
        <v>2139</v>
      </c>
      <c r="S55" s="11">
        <f>VLOOKUP(B55,'75- Deferred Amortization'!A:G,5,FALSE)</f>
        <v>2138</v>
      </c>
      <c r="T55" s="11">
        <f>VLOOKUP(B55,'75- Deferred Amortization'!A:G,6,FALSE)</f>
        <v>846</v>
      </c>
      <c r="U55" s="11">
        <f>VLOOKUP(B55,'75- Deferred Amortization'!A:G,7,FALSE)</f>
        <v>0</v>
      </c>
      <c r="V55" s="11">
        <f>ROUND(((F55-AD55)+(G55-AE55)+(H55-AF55)+(I55-AG55)+(AI55-K55)+P55-(E55-AC55)-(J55-AH55)-(M55-AK55)-C55),0)</f>
        <v>0</v>
      </c>
      <c r="W55" s="11">
        <f t="shared" si="15"/>
        <v>-1</v>
      </c>
      <c r="X55">
        <v>2</v>
      </c>
      <c r="AC55" s="11">
        <f t="shared" si="2"/>
        <v>-15283</v>
      </c>
      <c r="AD55" s="14"/>
      <c r="AE55" s="14"/>
      <c r="AF55" s="14"/>
      <c r="AG55" s="11"/>
      <c r="AH55" s="11"/>
      <c r="AI55" s="11"/>
      <c r="AJ55" s="11"/>
      <c r="AK55" s="11"/>
      <c r="AM55" s="11">
        <f t="shared" si="12"/>
        <v>0</v>
      </c>
      <c r="AN55" s="11">
        <f t="shared" si="13"/>
        <v>359</v>
      </c>
      <c r="AO55" s="14">
        <f t="shared" si="5"/>
        <v>4235</v>
      </c>
      <c r="AP55" s="11">
        <f t="shared" si="6"/>
        <v>0</v>
      </c>
      <c r="AQ55" s="14">
        <f t="shared" si="7"/>
        <v>0</v>
      </c>
      <c r="AR55" s="11">
        <f t="shared" si="8"/>
        <v>0</v>
      </c>
      <c r="AS55" s="11">
        <f t="shared" si="10"/>
        <v>-162</v>
      </c>
      <c r="AU55" s="12">
        <f>VLOOKUP(B55,'Allocation Exhibit 2016-06-30'!A:D,4,FALSE)</f>
        <v>2.4610000000000002E-4</v>
      </c>
    </row>
    <row r="56" spans="1:47">
      <c r="A56" t="s">
        <v>91</v>
      </c>
      <c r="B56">
        <v>36405</v>
      </c>
      <c r="C56" s="11">
        <f>VLOOKUP(B56,'ER Contributions'!A:D,4,FALSE)</f>
        <v>50823</v>
      </c>
      <c r="D56" s="12">
        <f>VLOOKUP(B56,'ER Contributions'!A:D,3,FALSE)</f>
        <v>8.6149999999999996E-4</v>
      </c>
      <c r="E56" s="11">
        <f>VLOOKUP(B56,'75 - Summary Exhibit'!A:N,3,FALSE)</f>
        <v>-52655</v>
      </c>
      <c r="F56" s="14">
        <f>VLOOKUP(B56,'75 - Summary Exhibit'!A:N,4,FALSE)</f>
        <v>14437</v>
      </c>
      <c r="G56" s="14">
        <f>VLOOKUP(B56,'75 - Summary Exhibit'!A:N,5,FALSE)</f>
        <v>11542</v>
      </c>
      <c r="H56" s="14">
        <f>VLOOKUP(B56,'75 - Summary Exhibit'!A:N,6,FALSE)</f>
        <v>0</v>
      </c>
      <c r="I56" s="11">
        <f>VLOOKUP(B56,'75 - Summary Exhibit'!A:N,7,FALSE)</f>
        <v>0</v>
      </c>
      <c r="J56" s="11">
        <f>VLOOKUP(B56,'75 - Summary Exhibit'!A:N,8,FALSE)</f>
        <v>0</v>
      </c>
      <c r="K56" s="11">
        <f>VLOOKUP(B56,'75 - Summary Exhibit'!A:N,9,FALSE)</f>
        <v>0</v>
      </c>
      <c r="L56" s="11">
        <f>VLOOKUP(B56,'75 - Summary Exhibit'!A:N,10,FALSE)</f>
        <v>0</v>
      </c>
      <c r="M56" s="11">
        <f>VLOOKUP(B56,'75 - Summary Exhibit'!A:N,11,FALSE)</f>
        <v>2684</v>
      </c>
      <c r="N56" s="11">
        <f>VLOOKUP(B56,'75 - Summary Exhibit'!A:N,12,FALSE)</f>
        <v>27975</v>
      </c>
      <c r="O56" s="11">
        <f>VLOOKUP(B56,'75 - Summary Exhibit'!A:N,13,FALSE)</f>
        <v>-895</v>
      </c>
      <c r="P56" s="11">
        <f t="shared" si="14"/>
        <v>27080</v>
      </c>
      <c r="Q56" s="11">
        <f>VLOOKUP(B56,'75- Deferred Amortization'!A:G,3,FALSE)</f>
        <v>6805</v>
      </c>
      <c r="R56" s="11">
        <f>VLOOKUP(B56,'75- Deferred Amortization'!A:G,4,FALSE)</f>
        <v>6805</v>
      </c>
      <c r="S56" s="11">
        <f>VLOOKUP(B56,'75- Deferred Amortization'!A:G,5,FALSE)</f>
        <v>6802</v>
      </c>
      <c r="T56" s="11">
        <f>VLOOKUP(B56,'75- Deferred Amortization'!A:G,6,FALSE)</f>
        <v>2883</v>
      </c>
      <c r="U56" s="11">
        <f>VLOOKUP(B56,'75- Deferred Amortization'!A:G,7,FALSE)</f>
        <v>0</v>
      </c>
      <c r="V56" s="11">
        <f t="shared" ref="V56:V65" si="17">ROUND(((F56-AD56)+(G56-AE56)+(H56-AF56)+(I56-AG56)+(AI56-K56)+P56-(E56-AC56)-(J56-AH56)-(M56-AK56)-C56),0)</f>
        <v>0</v>
      </c>
      <c r="W56" s="11">
        <f t="shared" si="15"/>
        <v>0</v>
      </c>
      <c r="X56">
        <v>2</v>
      </c>
      <c r="AC56" s="11">
        <f t="shared" si="2"/>
        <v>-52207</v>
      </c>
      <c r="AD56" s="14"/>
      <c r="AE56" s="14"/>
      <c r="AF56" s="14"/>
      <c r="AG56" s="11"/>
      <c r="AH56" s="11"/>
      <c r="AI56" s="11"/>
      <c r="AJ56" s="11"/>
      <c r="AK56" s="11"/>
      <c r="AM56" s="11">
        <f>I56-AG56</f>
        <v>0</v>
      </c>
      <c r="AN56" s="11">
        <f>M56-AK56</f>
        <v>2684</v>
      </c>
      <c r="AO56" s="14">
        <f t="shared" si="5"/>
        <v>14437</v>
      </c>
      <c r="AP56" s="11">
        <f t="shared" si="6"/>
        <v>0</v>
      </c>
      <c r="AQ56" s="14">
        <f t="shared" si="7"/>
        <v>0</v>
      </c>
      <c r="AR56" s="11">
        <f t="shared" si="8"/>
        <v>0</v>
      </c>
      <c r="AS56" s="11">
        <f t="shared" si="10"/>
        <v>-448</v>
      </c>
      <c r="AU56" s="12">
        <f>VLOOKUP(B56,'Allocation Exhibit 2016-06-30'!A:D,4,FALSE)</f>
        <v>8.407E-4</v>
      </c>
    </row>
    <row r="57" spans="1:47">
      <c r="A57" t="s">
        <v>94</v>
      </c>
      <c r="B57">
        <v>36905</v>
      </c>
      <c r="C57" s="11">
        <f>VLOOKUP(B57,'ER Contributions'!A:D,4,FALSE)</f>
        <v>13593</v>
      </c>
      <c r="D57" s="12">
        <f>VLOOKUP(B57,'ER Contributions'!A:D,3,FALSE)</f>
        <v>1.9149999999999999E-4</v>
      </c>
      <c r="E57" s="11">
        <f>VLOOKUP(B57,'75 - Summary Exhibit'!A:N,3,FALSE)</f>
        <v>-11704</v>
      </c>
      <c r="F57" s="14">
        <f>VLOOKUP(B57,'75 - Summary Exhibit'!A:N,4,FALSE)</f>
        <v>3209</v>
      </c>
      <c r="G57" s="14">
        <f>VLOOKUP(B57,'75 - Summary Exhibit'!A:N,5,FALSE)</f>
        <v>2566</v>
      </c>
      <c r="H57" s="14">
        <f>VLOOKUP(B57,'75 - Summary Exhibit'!A:N,6,FALSE)</f>
        <v>0</v>
      </c>
      <c r="I57" s="11">
        <f>VLOOKUP(B57,'75 - Summary Exhibit'!A:N,7,FALSE)</f>
        <v>768</v>
      </c>
      <c r="J57" s="11">
        <f>VLOOKUP(B57,'75 - Summary Exhibit'!A:N,8,FALSE)</f>
        <v>0</v>
      </c>
      <c r="K57" s="11">
        <f>VLOOKUP(B57,'75 - Summary Exhibit'!A:N,9,FALSE)</f>
        <v>0</v>
      </c>
      <c r="L57" s="11">
        <f>VLOOKUP(B57,'75 - Summary Exhibit'!A:N,10,FALSE)</f>
        <v>0</v>
      </c>
      <c r="M57" s="11">
        <f>VLOOKUP(B57,'75 - Summary Exhibit'!A:N,11,FALSE)</f>
        <v>0</v>
      </c>
      <c r="N57" s="11">
        <f>VLOOKUP(B57,'75 - Summary Exhibit'!A:N,12,FALSE)</f>
        <v>6219</v>
      </c>
      <c r="O57" s="11">
        <f>VLOOKUP(B57,'75 - Summary Exhibit'!A:N,13,FALSE)</f>
        <v>256</v>
      </c>
      <c r="P57" s="11">
        <f t="shared" si="14"/>
        <v>6475</v>
      </c>
      <c r="Q57" s="11">
        <f>VLOOKUP(B57,'75- Deferred Amortization'!A:G,3,FALSE)</f>
        <v>1967</v>
      </c>
      <c r="R57" s="11">
        <f>VLOOKUP(B57,'75- Deferred Amortization'!A:G,4,FALSE)</f>
        <v>1967</v>
      </c>
      <c r="S57" s="11">
        <f>VLOOKUP(B57,'75- Deferred Amortization'!A:G,5,FALSE)</f>
        <v>1967</v>
      </c>
      <c r="T57" s="11">
        <f>VLOOKUP(B57,'75- Deferred Amortization'!A:G,6,FALSE)</f>
        <v>641</v>
      </c>
      <c r="U57" s="11">
        <f>VLOOKUP(B57,'75- Deferred Amortization'!A:G,7,FALSE)</f>
        <v>0</v>
      </c>
      <c r="V57" s="11">
        <f t="shared" si="17"/>
        <v>1</v>
      </c>
      <c r="W57" s="11">
        <f t="shared" si="15"/>
        <v>1</v>
      </c>
      <c r="X57">
        <v>2</v>
      </c>
      <c r="AC57" s="11">
        <f t="shared" si="2"/>
        <v>-11128</v>
      </c>
      <c r="AD57" s="14"/>
      <c r="AE57" s="14"/>
      <c r="AF57" s="14"/>
      <c r="AG57" s="11"/>
      <c r="AH57" s="11"/>
      <c r="AI57" s="11"/>
      <c r="AJ57" s="11"/>
      <c r="AK57" s="11"/>
      <c r="AM57" s="11">
        <f t="shared" ref="AM57:AM76" si="18">I57-AG57</f>
        <v>768</v>
      </c>
      <c r="AN57" s="11">
        <f t="shared" ref="AN57:AN76" si="19">M57-AK57</f>
        <v>0</v>
      </c>
      <c r="AO57" s="14">
        <f t="shared" si="5"/>
        <v>3209</v>
      </c>
      <c r="AP57" s="11">
        <f t="shared" si="6"/>
        <v>0</v>
      </c>
      <c r="AQ57" s="14">
        <f t="shared" si="7"/>
        <v>0</v>
      </c>
      <c r="AR57" s="11">
        <f t="shared" si="8"/>
        <v>0</v>
      </c>
      <c r="AS57" s="11">
        <f t="shared" si="10"/>
        <v>-576</v>
      </c>
      <c r="AU57" s="12">
        <f>VLOOKUP(B57,'Allocation Exhibit 2016-06-30'!A:D,4,FALSE)</f>
        <v>1.7919999999999999E-4</v>
      </c>
    </row>
    <row r="58" spans="1:47">
      <c r="A58" t="s">
        <v>96</v>
      </c>
      <c r="B58">
        <v>37305</v>
      </c>
      <c r="C58" s="11">
        <f>VLOOKUP(B58,'ER Contributions'!A:D,4,FALSE)</f>
        <v>34140</v>
      </c>
      <c r="D58" s="12">
        <f>VLOOKUP(B58,'ER Contributions'!A:D,3,FALSE)</f>
        <v>4.4040000000000003E-4</v>
      </c>
      <c r="E58" s="11">
        <f>VLOOKUP(B58,'75 - Summary Exhibit'!A:N,3,FALSE)</f>
        <v>-26917</v>
      </c>
      <c r="F58" s="14">
        <f>VLOOKUP(B58,'75 - Summary Exhibit'!A:N,4,FALSE)</f>
        <v>7380</v>
      </c>
      <c r="G58" s="14">
        <f>VLOOKUP(B58,'75 - Summary Exhibit'!A:N,5,FALSE)</f>
        <v>5900</v>
      </c>
      <c r="H58" s="14">
        <f>VLOOKUP(B58,'75 - Summary Exhibit'!A:N,6,FALSE)</f>
        <v>0</v>
      </c>
      <c r="I58" s="11">
        <f>VLOOKUP(B58,'75 - Summary Exhibit'!A:N,7,FALSE)</f>
        <v>7395</v>
      </c>
      <c r="J58" s="11">
        <f>VLOOKUP(B58,'75 - Summary Exhibit'!A:N,8,FALSE)</f>
        <v>0</v>
      </c>
      <c r="K58" s="11">
        <f>VLOOKUP(B58,'75 - Summary Exhibit'!A:N,9,FALSE)</f>
        <v>0</v>
      </c>
      <c r="L58" s="11">
        <f>VLOOKUP(B58,'75 - Summary Exhibit'!A:N,10,FALSE)</f>
        <v>0</v>
      </c>
      <c r="M58" s="11">
        <f>VLOOKUP(B58,'75 - Summary Exhibit'!A:N,11,FALSE)</f>
        <v>0</v>
      </c>
      <c r="N58" s="11">
        <f>VLOOKUP(B58,'75 - Summary Exhibit'!A:N,12,FALSE)</f>
        <v>14301</v>
      </c>
      <c r="O58" s="11">
        <f>VLOOKUP(B58,'75 - Summary Exhibit'!A:N,13,FALSE)</f>
        <v>2465</v>
      </c>
      <c r="P58" s="11">
        <f t="shared" si="14"/>
        <v>16766</v>
      </c>
      <c r="Q58" s="11">
        <f>VLOOKUP(B58,'75- Deferred Amortization'!A:G,3,FALSE)</f>
        <v>6401</v>
      </c>
      <c r="R58" s="11">
        <f>VLOOKUP(B58,'75- Deferred Amortization'!A:G,4,FALSE)</f>
        <v>6401</v>
      </c>
      <c r="S58" s="11">
        <f>VLOOKUP(B58,'75- Deferred Amortization'!A:G,5,FALSE)</f>
        <v>6399</v>
      </c>
      <c r="T58" s="11">
        <f>VLOOKUP(B58,'75- Deferred Amortization'!A:G,6,FALSE)</f>
        <v>1474</v>
      </c>
      <c r="U58" s="11">
        <f>VLOOKUP(B58,'75- Deferred Amortization'!A:G,7,FALSE)</f>
        <v>0</v>
      </c>
      <c r="V58" s="11">
        <f t="shared" si="17"/>
        <v>0</v>
      </c>
      <c r="W58" s="11">
        <f t="shared" si="15"/>
        <v>0</v>
      </c>
      <c r="X58">
        <v>2</v>
      </c>
      <c r="AC58" s="11">
        <f t="shared" si="2"/>
        <v>-30218</v>
      </c>
      <c r="AD58" s="14"/>
      <c r="AE58" s="14"/>
      <c r="AF58" s="14"/>
      <c r="AG58" s="11"/>
      <c r="AH58" s="11"/>
      <c r="AI58" s="11"/>
      <c r="AJ58" s="11"/>
      <c r="AK58" s="11"/>
      <c r="AM58" s="11">
        <f t="shared" si="18"/>
        <v>7395</v>
      </c>
      <c r="AN58" s="11">
        <f t="shared" si="19"/>
        <v>0</v>
      </c>
      <c r="AO58" s="14">
        <f t="shared" si="5"/>
        <v>7380</v>
      </c>
      <c r="AP58" s="11">
        <f t="shared" si="6"/>
        <v>0</v>
      </c>
      <c r="AQ58" s="14">
        <f t="shared" si="7"/>
        <v>0</v>
      </c>
      <c r="AR58" s="11">
        <f t="shared" si="8"/>
        <v>0</v>
      </c>
      <c r="AS58" s="11">
        <f t="shared" si="10"/>
        <v>3301</v>
      </c>
      <c r="AU58" s="12">
        <f>VLOOKUP(B58,'Allocation Exhibit 2016-06-30'!A:D,4,FALSE)</f>
        <v>4.8660000000000001E-4</v>
      </c>
    </row>
    <row r="59" spans="1:47">
      <c r="A59" t="s">
        <v>97</v>
      </c>
      <c r="B59">
        <v>37405</v>
      </c>
      <c r="C59" s="11">
        <f>VLOOKUP(B59,'ER Contributions'!A:D,4,FALSE)</f>
        <v>110550</v>
      </c>
      <c r="D59" s="12">
        <f>VLOOKUP(B59,'ER Contributions'!A:D,3,FALSE)</f>
        <v>1.864E-3</v>
      </c>
      <c r="E59" s="11">
        <f>VLOOKUP(B59,'75 - Summary Exhibit'!A:N,3,FALSE)</f>
        <v>-113928</v>
      </c>
      <c r="F59" s="14">
        <f>VLOOKUP(B59,'75 - Summary Exhibit'!A:N,4,FALSE)</f>
        <v>31237</v>
      </c>
      <c r="G59" s="14">
        <f>VLOOKUP(B59,'75 - Summary Exhibit'!A:N,5,FALSE)</f>
        <v>24972</v>
      </c>
      <c r="H59" s="14">
        <f>VLOOKUP(B59,'75 - Summary Exhibit'!A:N,6,FALSE)</f>
        <v>0</v>
      </c>
      <c r="I59" s="11">
        <f>VLOOKUP(B59,'75 - Summary Exhibit'!A:N,7,FALSE)</f>
        <v>0</v>
      </c>
      <c r="J59" s="11">
        <f>VLOOKUP(B59,'75 - Summary Exhibit'!A:N,8,FALSE)</f>
        <v>0</v>
      </c>
      <c r="K59" s="11">
        <f>VLOOKUP(B59,'75 - Summary Exhibit'!A:N,9,FALSE)</f>
        <v>0</v>
      </c>
      <c r="L59" s="11">
        <f>VLOOKUP(B59,'75 - Summary Exhibit'!A:N,10,FALSE)</f>
        <v>0</v>
      </c>
      <c r="M59" s="11">
        <f>VLOOKUP(B59,'75 - Summary Exhibit'!A:N,11,FALSE)</f>
        <v>3993</v>
      </c>
      <c r="N59" s="11">
        <f>VLOOKUP(B59,'75 - Summary Exhibit'!A:N,12,FALSE)</f>
        <v>60530</v>
      </c>
      <c r="O59" s="11">
        <f>VLOOKUP(B59,'75 - Summary Exhibit'!A:N,13,FALSE)</f>
        <v>-1331</v>
      </c>
      <c r="P59" s="11">
        <f t="shared" si="14"/>
        <v>59199</v>
      </c>
      <c r="Q59" s="11">
        <f>VLOOKUP(B59,'75- Deferred Amortization'!A:G,3,FALSE)</f>
        <v>15327</v>
      </c>
      <c r="R59" s="11">
        <f>VLOOKUP(B59,'75- Deferred Amortization'!A:G,4,FALSE)</f>
        <v>15327</v>
      </c>
      <c r="S59" s="11">
        <f>VLOOKUP(B59,'75- Deferred Amortization'!A:G,5,FALSE)</f>
        <v>15322</v>
      </c>
      <c r="T59" s="11">
        <f>VLOOKUP(B59,'75- Deferred Amortization'!A:G,6,FALSE)</f>
        <v>6239</v>
      </c>
      <c r="U59" s="11">
        <f>VLOOKUP(B59,'75- Deferred Amortization'!A:G,7,FALSE)</f>
        <v>0</v>
      </c>
      <c r="V59" s="11">
        <f t="shared" si="17"/>
        <v>1</v>
      </c>
      <c r="W59" s="11">
        <f t="shared" si="15"/>
        <v>1</v>
      </c>
      <c r="X59">
        <v>2</v>
      </c>
      <c r="AC59" s="11">
        <f t="shared" si="2"/>
        <v>-114792</v>
      </c>
      <c r="AD59" s="14"/>
      <c r="AE59" s="14"/>
      <c r="AF59" s="14"/>
      <c r="AG59" s="11"/>
      <c r="AH59" s="11"/>
      <c r="AI59" s="11"/>
      <c r="AJ59" s="11"/>
      <c r="AK59" s="11"/>
      <c r="AM59" s="11">
        <f t="shared" si="18"/>
        <v>0</v>
      </c>
      <c r="AN59" s="11">
        <f t="shared" si="19"/>
        <v>3993</v>
      </c>
      <c r="AO59" s="14">
        <f t="shared" si="5"/>
        <v>31237</v>
      </c>
      <c r="AP59" s="11">
        <f t="shared" si="6"/>
        <v>0</v>
      </c>
      <c r="AQ59" s="14">
        <f t="shared" si="7"/>
        <v>0</v>
      </c>
      <c r="AR59" s="11">
        <f t="shared" si="8"/>
        <v>0</v>
      </c>
      <c r="AS59" s="11">
        <f t="shared" si="10"/>
        <v>864</v>
      </c>
      <c r="AU59" s="12">
        <f>VLOOKUP(B59,'Allocation Exhibit 2016-06-30'!A:D,4,FALSE)</f>
        <v>1.8485000000000001E-3</v>
      </c>
    </row>
    <row r="60" spans="1:47">
      <c r="A60" t="s">
        <v>98</v>
      </c>
      <c r="B60">
        <v>37605</v>
      </c>
      <c r="C60" s="11">
        <f>VLOOKUP(B60,'ER Contributions'!A:D,4,FALSE)</f>
        <v>41157</v>
      </c>
      <c r="D60" s="12">
        <f>VLOOKUP(B60,'ER Contributions'!A:D,3,FALSE)</f>
        <v>6.9490000000000003E-4</v>
      </c>
      <c r="E60" s="11">
        <f>VLOOKUP(B60,'75 - Summary Exhibit'!A:N,3,FALSE)</f>
        <v>-42472</v>
      </c>
      <c r="F60" s="14">
        <f>VLOOKUP(B60,'75 - Summary Exhibit'!A:N,4,FALSE)</f>
        <v>11645</v>
      </c>
      <c r="G60" s="14">
        <f>VLOOKUP(B60,'75 - Summary Exhibit'!A:N,5,FALSE)</f>
        <v>9310</v>
      </c>
      <c r="H60" s="14">
        <f>VLOOKUP(B60,'75 - Summary Exhibit'!A:N,6,FALSE)</f>
        <v>0</v>
      </c>
      <c r="I60" s="11">
        <f>VLOOKUP(B60,'75 - Summary Exhibit'!A:N,7,FALSE)</f>
        <v>0</v>
      </c>
      <c r="J60" s="11">
        <f>VLOOKUP(B60,'75 - Summary Exhibit'!A:N,8,FALSE)</f>
        <v>0</v>
      </c>
      <c r="K60" s="11">
        <f>VLOOKUP(B60,'75 - Summary Exhibit'!A:N,9,FALSE)</f>
        <v>0</v>
      </c>
      <c r="L60" s="11">
        <f>VLOOKUP(B60,'75 - Summary Exhibit'!A:N,10,FALSE)</f>
        <v>0</v>
      </c>
      <c r="M60" s="11">
        <f>VLOOKUP(B60,'75 - Summary Exhibit'!A:N,11,FALSE)</f>
        <v>1793</v>
      </c>
      <c r="N60" s="11">
        <f>VLOOKUP(B60,'75 - Summary Exhibit'!A:N,12,FALSE)</f>
        <v>22565</v>
      </c>
      <c r="O60" s="11">
        <f>VLOOKUP(B60,'75 - Summary Exhibit'!A:N,13,FALSE)</f>
        <v>-598</v>
      </c>
      <c r="P60" s="11">
        <f t="shared" si="14"/>
        <v>21967</v>
      </c>
      <c r="Q60" s="11">
        <f>VLOOKUP(B60,'75- Deferred Amortization'!A:G,3,FALSE)</f>
        <v>5613</v>
      </c>
      <c r="R60" s="11">
        <f>VLOOKUP(B60,'75- Deferred Amortization'!A:G,4,FALSE)</f>
        <v>5613</v>
      </c>
      <c r="S60" s="11">
        <f>VLOOKUP(B60,'75- Deferred Amortization'!A:G,5,FALSE)</f>
        <v>5611</v>
      </c>
      <c r="T60" s="11">
        <f>VLOOKUP(B60,'75- Deferred Amortization'!A:G,6,FALSE)</f>
        <v>2326</v>
      </c>
      <c r="U60" s="11">
        <f>VLOOKUP(B60,'75- Deferred Amortization'!A:G,7,FALSE)</f>
        <v>0</v>
      </c>
      <c r="V60" s="11">
        <f t="shared" si="17"/>
        <v>-1</v>
      </c>
      <c r="W60" s="11">
        <f t="shared" si="15"/>
        <v>-1</v>
      </c>
      <c r="X60">
        <v>2</v>
      </c>
      <c r="AC60" s="11">
        <f t="shared" si="2"/>
        <v>-42445</v>
      </c>
      <c r="AD60" s="14"/>
      <c r="AE60" s="14"/>
      <c r="AF60" s="14"/>
      <c r="AG60" s="11"/>
      <c r="AH60" s="11"/>
      <c r="AI60" s="11"/>
      <c r="AJ60" s="11"/>
      <c r="AK60" s="11"/>
      <c r="AM60" s="11">
        <f t="shared" si="18"/>
        <v>0</v>
      </c>
      <c r="AN60" s="11">
        <f t="shared" si="19"/>
        <v>1793</v>
      </c>
      <c r="AO60" s="14">
        <f t="shared" si="5"/>
        <v>11645</v>
      </c>
      <c r="AP60" s="11">
        <f t="shared" si="6"/>
        <v>0</v>
      </c>
      <c r="AQ60" s="14">
        <f t="shared" si="7"/>
        <v>0</v>
      </c>
      <c r="AR60" s="11">
        <f t="shared" si="8"/>
        <v>0</v>
      </c>
      <c r="AS60" s="11">
        <f t="shared" si="10"/>
        <v>-27</v>
      </c>
      <c r="AU60" s="12">
        <f>VLOOKUP(B60,'Allocation Exhibit 2016-06-30'!A:D,4,FALSE)</f>
        <v>6.8349999999999997E-4</v>
      </c>
    </row>
    <row r="61" spans="1:47">
      <c r="A61" t="s">
        <v>99</v>
      </c>
      <c r="B61">
        <v>37705</v>
      </c>
      <c r="C61" s="11">
        <f>VLOOKUP(B61,'ER Contributions'!A:D,4,FALSE)</f>
        <v>44473</v>
      </c>
      <c r="D61" s="12">
        <f>VLOOKUP(B61,'ER Contributions'!A:D,3,FALSE)</f>
        <v>7.0790000000000002E-4</v>
      </c>
      <c r="E61" s="11">
        <f>VLOOKUP(B61,'75 - Summary Exhibit'!A:N,3,FALSE)</f>
        <v>-43267</v>
      </c>
      <c r="F61" s="14">
        <f>VLOOKUP(B61,'75 - Summary Exhibit'!A:N,4,FALSE)</f>
        <v>11863</v>
      </c>
      <c r="G61" s="14">
        <f>VLOOKUP(B61,'75 - Summary Exhibit'!A:N,5,FALSE)</f>
        <v>9484</v>
      </c>
      <c r="H61" s="14">
        <f>VLOOKUP(B61,'75 - Summary Exhibit'!A:N,6,FALSE)</f>
        <v>0</v>
      </c>
      <c r="I61" s="11">
        <f>VLOOKUP(B61,'75 - Summary Exhibit'!A:N,7,FALSE)</f>
        <v>927</v>
      </c>
      <c r="J61" s="11">
        <f>VLOOKUP(B61,'75 - Summary Exhibit'!A:N,8,FALSE)</f>
        <v>0</v>
      </c>
      <c r="K61" s="11">
        <f>VLOOKUP(B61,'75 - Summary Exhibit'!A:N,9,FALSE)</f>
        <v>0</v>
      </c>
      <c r="L61" s="11">
        <f>VLOOKUP(B61,'75 - Summary Exhibit'!A:N,10,FALSE)</f>
        <v>0</v>
      </c>
      <c r="M61" s="11">
        <f>VLOOKUP(B61,'75 - Summary Exhibit'!A:N,11,FALSE)</f>
        <v>0</v>
      </c>
      <c r="N61" s="11">
        <f>VLOOKUP(B61,'75 - Summary Exhibit'!A:N,12,FALSE)</f>
        <v>22988</v>
      </c>
      <c r="O61" s="11">
        <f>VLOOKUP(B61,'75 - Summary Exhibit'!A:N,13,FALSE)</f>
        <v>309</v>
      </c>
      <c r="P61" s="11">
        <f t="shared" si="14"/>
        <v>23297</v>
      </c>
      <c r="Q61" s="11">
        <f>VLOOKUP(B61,'75- Deferred Amortization'!A:G,3,FALSE)</f>
        <v>6636</v>
      </c>
      <c r="R61" s="11">
        <f>VLOOKUP(B61,'75- Deferred Amortization'!A:G,4,FALSE)</f>
        <v>6636</v>
      </c>
      <c r="S61" s="11">
        <f>VLOOKUP(B61,'75- Deferred Amortization'!A:G,5,FALSE)</f>
        <v>6633</v>
      </c>
      <c r="T61" s="11">
        <f>VLOOKUP(B61,'75- Deferred Amortization'!A:G,6,FALSE)</f>
        <v>2369</v>
      </c>
      <c r="U61" s="11">
        <f>VLOOKUP(B61,'75- Deferred Amortization'!A:G,7,FALSE)</f>
        <v>0</v>
      </c>
      <c r="V61" s="11">
        <f t="shared" si="17"/>
        <v>1</v>
      </c>
      <c r="W61" s="11">
        <f t="shared" si="15"/>
        <v>0</v>
      </c>
      <c r="X61">
        <v>2</v>
      </c>
      <c r="AC61" s="11">
        <f t="shared" si="2"/>
        <v>-44364</v>
      </c>
      <c r="AD61" s="14"/>
      <c r="AE61" s="14"/>
      <c r="AF61" s="14"/>
      <c r="AG61" s="11"/>
      <c r="AH61" s="11"/>
      <c r="AI61" s="11"/>
      <c r="AJ61" s="11"/>
      <c r="AK61" s="11"/>
      <c r="AM61" s="11">
        <f t="shared" si="18"/>
        <v>927</v>
      </c>
      <c r="AN61" s="11">
        <f t="shared" si="19"/>
        <v>0</v>
      </c>
      <c r="AO61" s="14">
        <f t="shared" si="5"/>
        <v>11863</v>
      </c>
      <c r="AP61" s="11">
        <f t="shared" si="6"/>
        <v>0</v>
      </c>
      <c r="AQ61" s="14">
        <f t="shared" si="7"/>
        <v>0</v>
      </c>
      <c r="AR61" s="11">
        <f t="shared" si="8"/>
        <v>0</v>
      </c>
      <c r="AS61" s="11">
        <f t="shared" si="10"/>
        <v>1097</v>
      </c>
      <c r="AU61" s="12">
        <f>VLOOKUP(B61,'Allocation Exhibit 2016-06-30'!A:D,4,FALSE)</f>
        <v>7.1440000000000002E-4</v>
      </c>
    </row>
    <row r="62" spans="1:47">
      <c r="A62" t="s">
        <v>79</v>
      </c>
      <c r="B62">
        <v>34605</v>
      </c>
      <c r="C62" s="11">
        <f>VLOOKUP(B62,'ER Contributions'!A:D,4,FALSE)</f>
        <v>14564</v>
      </c>
      <c r="D62" s="12">
        <f>VLOOKUP(B62,'ER Contributions'!A:D,3,FALSE)</f>
        <v>2.1880000000000001E-4</v>
      </c>
      <c r="E62" s="11">
        <f>VLOOKUP(B62,'75 - Summary Exhibit'!A:N,3,FALSE)</f>
        <v>-13373</v>
      </c>
      <c r="F62" s="14">
        <f>VLOOKUP(B62,'75 - Summary Exhibit'!A:N,4,FALSE)</f>
        <v>3667</v>
      </c>
      <c r="G62" s="14">
        <f>VLOOKUP(B62,'75 - Summary Exhibit'!A:N,5,FALSE)</f>
        <v>2931</v>
      </c>
      <c r="H62" s="14">
        <f>VLOOKUP(B62,'75 - Summary Exhibit'!A:N,6,FALSE)</f>
        <v>0</v>
      </c>
      <c r="I62" s="11">
        <f>VLOOKUP(B62,'75 - Summary Exhibit'!A:N,7,FALSE)</f>
        <v>1845</v>
      </c>
      <c r="J62" s="11">
        <f>VLOOKUP(B62,'75 - Summary Exhibit'!A:N,8,FALSE)</f>
        <v>0</v>
      </c>
      <c r="K62" s="11">
        <f>VLOOKUP(B62,'75 - Summary Exhibit'!A:N,9,FALSE)</f>
        <v>0</v>
      </c>
      <c r="L62" s="11">
        <f>VLOOKUP(B62,'75 - Summary Exhibit'!A:N,10,FALSE)</f>
        <v>0</v>
      </c>
      <c r="M62" s="11">
        <f>VLOOKUP(B62,'75 - Summary Exhibit'!A:N,11,FALSE)</f>
        <v>0</v>
      </c>
      <c r="N62" s="11">
        <f>VLOOKUP(B62,'75 - Summary Exhibit'!A:N,12,FALSE)</f>
        <v>7105</v>
      </c>
      <c r="O62" s="11">
        <f>VLOOKUP(B62,'75 - Summary Exhibit'!A:N,13,FALSE)</f>
        <v>615</v>
      </c>
      <c r="P62" s="11">
        <f t="shared" si="14"/>
        <v>7720</v>
      </c>
      <c r="Q62" s="11">
        <f>VLOOKUP(B62,'75- Deferred Amortization'!A:G,3,FALSE)</f>
        <v>2570</v>
      </c>
      <c r="R62" s="11">
        <f>VLOOKUP(B62,'75- Deferred Amortization'!A:G,4,FALSE)</f>
        <v>2570</v>
      </c>
      <c r="S62" s="11">
        <f>VLOOKUP(B62,'75- Deferred Amortization'!A:G,5,FALSE)</f>
        <v>2570</v>
      </c>
      <c r="T62" s="11">
        <f>VLOOKUP(B62,'75- Deferred Amortization'!A:G,6,FALSE)</f>
        <v>732</v>
      </c>
      <c r="U62" s="11">
        <f>VLOOKUP(B62,'75- Deferred Amortization'!A:G,7,FALSE)</f>
        <v>0</v>
      </c>
      <c r="V62" s="11">
        <f t="shared" si="17"/>
        <v>0</v>
      </c>
      <c r="W62" s="11">
        <f t="shared" si="15"/>
        <v>1</v>
      </c>
      <c r="X62">
        <v>2</v>
      </c>
      <c r="AC62" s="11">
        <f t="shared" si="2"/>
        <v>-14972</v>
      </c>
      <c r="AD62" s="14"/>
      <c r="AE62" s="14"/>
      <c r="AF62" s="14"/>
      <c r="AG62" s="11"/>
      <c r="AH62" s="11"/>
      <c r="AI62" s="11"/>
      <c r="AJ62" s="11"/>
      <c r="AK62" s="11"/>
      <c r="AM62" s="11">
        <f t="shared" si="18"/>
        <v>1845</v>
      </c>
      <c r="AN62" s="11">
        <f t="shared" si="19"/>
        <v>0</v>
      </c>
      <c r="AO62" s="14">
        <f t="shared" si="5"/>
        <v>3667</v>
      </c>
      <c r="AP62" s="11">
        <f t="shared" si="6"/>
        <v>0</v>
      </c>
      <c r="AQ62" s="14">
        <f t="shared" si="7"/>
        <v>0</v>
      </c>
      <c r="AR62" s="11">
        <f t="shared" si="8"/>
        <v>0</v>
      </c>
      <c r="AS62" s="11">
        <f t="shared" si="10"/>
        <v>1599</v>
      </c>
      <c r="AU62" s="12">
        <f>VLOOKUP(B62,'Allocation Exhibit 2016-06-30'!A:D,4,FALSE)</f>
        <v>2.4110000000000001E-4</v>
      </c>
    </row>
    <row r="63" spans="1:47">
      <c r="A63" t="s">
        <v>100</v>
      </c>
      <c r="B63">
        <v>37805</v>
      </c>
      <c r="C63" s="11">
        <f>VLOOKUP(B63,'ER Contributions'!A:D,4,FALSE)</f>
        <v>36759</v>
      </c>
      <c r="D63" s="12">
        <f>VLOOKUP(B63,'ER Contributions'!A:D,3,FALSE)</f>
        <v>5.4929999999999996E-4</v>
      </c>
      <c r="E63" s="11">
        <f>VLOOKUP(B63,'75 - Summary Exhibit'!A:N,3,FALSE)</f>
        <v>-33573</v>
      </c>
      <c r="F63" s="14">
        <f>VLOOKUP(B63,'75 - Summary Exhibit'!A:N,4,FALSE)</f>
        <v>9205</v>
      </c>
      <c r="G63" s="14">
        <f>VLOOKUP(B63,'75 - Summary Exhibit'!A:N,5,FALSE)</f>
        <v>7359</v>
      </c>
      <c r="H63" s="14">
        <f>VLOOKUP(B63,'75 - Summary Exhibit'!A:N,6,FALSE)</f>
        <v>0</v>
      </c>
      <c r="I63" s="11">
        <f>VLOOKUP(B63,'75 - Summary Exhibit'!A:N,7,FALSE)</f>
        <v>3960</v>
      </c>
      <c r="J63" s="11">
        <f>VLOOKUP(B63,'75 - Summary Exhibit'!A:N,8,FALSE)</f>
        <v>0</v>
      </c>
      <c r="K63" s="11">
        <f>VLOOKUP(B63,'75 - Summary Exhibit'!A:N,9,FALSE)</f>
        <v>0</v>
      </c>
      <c r="L63" s="11">
        <f>VLOOKUP(B63,'75 - Summary Exhibit'!A:N,10,FALSE)</f>
        <v>0</v>
      </c>
      <c r="M63" s="11">
        <f>VLOOKUP(B63,'75 - Summary Exhibit'!A:N,11,FALSE)</f>
        <v>0</v>
      </c>
      <c r="N63" s="11">
        <f>VLOOKUP(B63,'75 - Summary Exhibit'!A:N,12,FALSE)</f>
        <v>17837</v>
      </c>
      <c r="O63" s="11">
        <f>VLOOKUP(B63,'75 - Summary Exhibit'!A:N,13,FALSE)</f>
        <v>1320</v>
      </c>
      <c r="P63" s="11">
        <f t="shared" si="14"/>
        <v>19157</v>
      </c>
      <c r="Q63" s="11">
        <f>VLOOKUP(B63,'75- Deferred Amortization'!A:G,3,FALSE)</f>
        <v>6229</v>
      </c>
      <c r="R63" s="11">
        <f>VLOOKUP(B63,'75- Deferred Amortization'!A:G,4,FALSE)</f>
        <v>6229</v>
      </c>
      <c r="S63" s="11">
        <f>VLOOKUP(B63,'75- Deferred Amortization'!A:G,5,FALSE)</f>
        <v>6228</v>
      </c>
      <c r="T63" s="11">
        <f>VLOOKUP(B63,'75- Deferred Amortization'!A:G,6,FALSE)</f>
        <v>1839</v>
      </c>
      <c r="U63" s="11">
        <f>VLOOKUP(B63,'75- Deferred Amortization'!A:G,7,FALSE)</f>
        <v>0</v>
      </c>
      <c r="V63" s="11">
        <f t="shared" si="17"/>
        <v>-1</v>
      </c>
      <c r="W63" s="11">
        <f t="shared" si="15"/>
        <v>-1</v>
      </c>
      <c r="X63">
        <v>2</v>
      </c>
      <c r="AC63" s="11">
        <f t="shared" si="2"/>
        <v>-36496</v>
      </c>
      <c r="AD63" s="14"/>
      <c r="AE63" s="14"/>
      <c r="AF63" s="14"/>
      <c r="AG63" s="11"/>
      <c r="AH63" s="11"/>
      <c r="AI63" s="11"/>
      <c r="AJ63" s="11"/>
      <c r="AK63" s="11"/>
      <c r="AM63" s="11">
        <f t="shared" si="18"/>
        <v>3960</v>
      </c>
      <c r="AN63" s="11">
        <f t="shared" si="19"/>
        <v>0</v>
      </c>
      <c r="AO63" s="14">
        <f t="shared" si="5"/>
        <v>9205</v>
      </c>
      <c r="AP63" s="11">
        <f t="shared" si="6"/>
        <v>0</v>
      </c>
      <c r="AQ63" s="14">
        <f t="shared" si="7"/>
        <v>0</v>
      </c>
      <c r="AR63" s="11">
        <f t="shared" si="8"/>
        <v>0</v>
      </c>
      <c r="AS63" s="11">
        <f t="shared" si="10"/>
        <v>2923</v>
      </c>
      <c r="AU63" s="12">
        <f>VLOOKUP(B63,'Allocation Exhibit 2016-06-30'!A:D,4,FALSE)</f>
        <v>5.8770000000000003E-4</v>
      </c>
    </row>
    <row r="64" spans="1:47">
      <c r="A64" t="s">
        <v>101</v>
      </c>
      <c r="B64">
        <v>37905</v>
      </c>
      <c r="C64" s="11">
        <f>VLOOKUP(B64,'ER Contributions'!A:D,4,FALSE)</f>
        <v>31794</v>
      </c>
      <c r="D64" s="12">
        <f>VLOOKUP(B64,'ER Contributions'!A:D,3,FALSE)</f>
        <v>4.6309999999999998E-4</v>
      </c>
      <c r="E64" s="11">
        <f>VLOOKUP(B64,'75 - Summary Exhibit'!A:N,3,FALSE)</f>
        <v>-28305</v>
      </c>
      <c r="F64" s="14">
        <f>VLOOKUP(B64,'75 - Summary Exhibit'!A:N,4,FALSE)</f>
        <v>7761</v>
      </c>
      <c r="G64" s="14">
        <f>VLOOKUP(B64,'75 - Summary Exhibit'!A:N,5,FALSE)</f>
        <v>6204</v>
      </c>
      <c r="H64" s="14">
        <f>VLOOKUP(B64,'75 - Summary Exhibit'!A:N,6,FALSE)</f>
        <v>0</v>
      </c>
      <c r="I64" s="11">
        <f>VLOOKUP(B64,'75 - Summary Exhibit'!A:N,7,FALSE)</f>
        <v>1451</v>
      </c>
      <c r="J64" s="11">
        <f>VLOOKUP(B64,'75 - Summary Exhibit'!A:N,8,FALSE)</f>
        <v>0</v>
      </c>
      <c r="K64" s="11">
        <f>VLOOKUP(B64,'75 - Summary Exhibit'!A:N,9,FALSE)</f>
        <v>0</v>
      </c>
      <c r="L64" s="11">
        <f>VLOOKUP(B64,'75 - Summary Exhibit'!A:N,10,FALSE)</f>
        <v>0</v>
      </c>
      <c r="M64" s="11">
        <f>VLOOKUP(B64,'75 - Summary Exhibit'!A:N,11,FALSE)</f>
        <v>0</v>
      </c>
      <c r="N64" s="11">
        <f>VLOOKUP(B64,'75 - Summary Exhibit'!A:N,12,FALSE)</f>
        <v>15038</v>
      </c>
      <c r="O64" s="11">
        <f>VLOOKUP(B64,'75 - Summary Exhibit'!A:N,13,FALSE)</f>
        <v>484</v>
      </c>
      <c r="P64" s="11">
        <f t="shared" si="14"/>
        <v>15522</v>
      </c>
      <c r="Q64" s="11">
        <f>VLOOKUP(B64,'75- Deferred Amortization'!A:G,3,FALSE)</f>
        <v>4622</v>
      </c>
      <c r="R64" s="11">
        <f>VLOOKUP(B64,'75- Deferred Amortization'!A:G,4,FALSE)</f>
        <v>4622</v>
      </c>
      <c r="S64" s="11">
        <f>VLOOKUP(B64,'75- Deferred Amortization'!A:G,5,FALSE)</f>
        <v>4621</v>
      </c>
      <c r="T64" s="11">
        <f>VLOOKUP(B64,'75- Deferred Amortization'!A:G,6,FALSE)</f>
        <v>1550</v>
      </c>
      <c r="U64" s="11">
        <f>VLOOKUP(B64,'75- Deferred Amortization'!A:G,7,FALSE)</f>
        <v>0</v>
      </c>
      <c r="V64" s="11">
        <f t="shared" si="17"/>
        <v>1</v>
      </c>
      <c r="W64" s="11">
        <f t="shared" si="15"/>
        <v>1</v>
      </c>
      <c r="X64">
        <v>2</v>
      </c>
      <c r="AC64" s="11">
        <f t="shared" si="2"/>
        <v>-27448</v>
      </c>
      <c r="AD64" s="14"/>
      <c r="AE64" s="14"/>
      <c r="AF64" s="14"/>
      <c r="AG64" s="11"/>
      <c r="AH64" s="11"/>
      <c r="AI64" s="11"/>
      <c r="AJ64" s="11"/>
      <c r="AK64" s="11"/>
      <c r="AM64" s="11">
        <f t="shared" si="18"/>
        <v>1451</v>
      </c>
      <c r="AN64" s="11">
        <f t="shared" si="19"/>
        <v>0</v>
      </c>
      <c r="AO64" s="14">
        <f t="shared" si="5"/>
        <v>7761</v>
      </c>
      <c r="AP64" s="11">
        <f t="shared" si="6"/>
        <v>0</v>
      </c>
      <c r="AQ64" s="14">
        <f t="shared" si="7"/>
        <v>0</v>
      </c>
      <c r="AR64" s="11">
        <f t="shared" si="8"/>
        <v>0</v>
      </c>
      <c r="AS64" s="11">
        <f t="shared" si="10"/>
        <v>-857</v>
      </c>
      <c r="AU64" s="12">
        <f>VLOOKUP(B64,'Allocation Exhibit 2016-06-30'!A:D,4,FALSE)</f>
        <v>4.4200000000000001E-4</v>
      </c>
    </row>
    <row r="65" spans="1:47">
      <c r="A65" t="s">
        <v>102</v>
      </c>
      <c r="B65">
        <v>38005</v>
      </c>
      <c r="C65" s="11">
        <f>VLOOKUP(B65,'ER Contributions'!A:D,4,FALSE)</f>
        <v>76597</v>
      </c>
      <c r="D65" s="12">
        <f>VLOOKUP(B65,'ER Contributions'!A:D,3,FALSE)</f>
        <v>1.2283999999999999E-3</v>
      </c>
      <c r="E65" s="11">
        <f>VLOOKUP(B65,'75 - Summary Exhibit'!A:N,3,FALSE)</f>
        <v>-75080</v>
      </c>
      <c r="F65" s="14">
        <f>VLOOKUP(B65,'75 - Summary Exhibit'!A:N,4,FALSE)</f>
        <v>20586</v>
      </c>
      <c r="G65" s="14">
        <f>VLOOKUP(B65,'75 - Summary Exhibit'!A:N,5,FALSE)</f>
        <v>16457</v>
      </c>
      <c r="H65" s="14">
        <f>VLOOKUP(B65,'75 - Summary Exhibit'!A:N,6,FALSE)</f>
        <v>0</v>
      </c>
      <c r="I65" s="11">
        <f>VLOOKUP(B65,'75 - Summary Exhibit'!A:N,7,FALSE)</f>
        <v>5081</v>
      </c>
      <c r="J65" s="11">
        <f>VLOOKUP(B65,'75 - Summary Exhibit'!A:N,8,FALSE)</f>
        <v>0</v>
      </c>
      <c r="K65" s="11">
        <f>VLOOKUP(B65,'75 - Summary Exhibit'!A:N,9,FALSE)</f>
        <v>0</v>
      </c>
      <c r="L65" s="11">
        <f>VLOOKUP(B65,'75 - Summary Exhibit'!A:N,10,FALSE)</f>
        <v>0</v>
      </c>
      <c r="M65" s="11">
        <f>VLOOKUP(B65,'75 - Summary Exhibit'!A:N,11,FALSE)</f>
        <v>0</v>
      </c>
      <c r="N65" s="11">
        <f>VLOOKUP(B65,'75 - Summary Exhibit'!A:N,12,FALSE)</f>
        <v>39890</v>
      </c>
      <c r="O65" s="11">
        <f>VLOOKUP(B65,'75 - Summary Exhibit'!A:N,13,FALSE)</f>
        <v>1694</v>
      </c>
      <c r="P65" s="11">
        <f t="shared" si="14"/>
        <v>41584</v>
      </c>
      <c r="Q65" s="11">
        <f>VLOOKUP(B65,'75- Deferred Amortization'!A:G,3,FALSE)</f>
        <v>12672</v>
      </c>
      <c r="R65" s="11">
        <f>VLOOKUP(B65,'75- Deferred Amortization'!A:G,4,FALSE)</f>
        <v>12672</v>
      </c>
      <c r="S65" s="11">
        <f>VLOOKUP(B65,'75- Deferred Amortization'!A:G,5,FALSE)</f>
        <v>12668</v>
      </c>
      <c r="T65" s="11">
        <f>VLOOKUP(B65,'75- Deferred Amortization'!A:G,6,FALSE)</f>
        <v>4111</v>
      </c>
      <c r="U65" s="11">
        <f>VLOOKUP(B65,'75- Deferred Amortization'!A:G,7,FALSE)</f>
        <v>0</v>
      </c>
      <c r="V65" s="11">
        <f t="shared" si="17"/>
        <v>2</v>
      </c>
      <c r="W65" s="11">
        <f t="shared" si="15"/>
        <v>1</v>
      </c>
      <c r="X65">
        <v>2</v>
      </c>
      <c r="AC65" s="11">
        <f t="shared" si="2"/>
        <v>-82189</v>
      </c>
      <c r="AD65" s="14"/>
      <c r="AE65" s="14"/>
      <c r="AF65" s="14"/>
      <c r="AG65" s="11"/>
      <c r="AH65" s="11"/>
      <c r="AI65" s="11"/>
      <c r="AJ65" s="11"/>
      <c r="AK65" s="11"/>
      <c r="AM65" s="11">
        <f t="shared" si="18"/>
        <v>5081</v>
      </c>
      <c r="AN65" s="11">
        <f t="shared" si="19"/>
        <v>0</v>
      </c>
      <c r="AO65" s="14">
        <f t="shared" si="5"/>
        <v>20586</v>
      </c>
      <c r="AP65" s="11">
        <f t="shared" si="6"/>
        <v>0</v>
      </c>
      <c r="AQ65" s="14">
        <f t="shared" si="7"/>
        <v>0</v>
      </c>
      <c r="AR65" s="11">
        <f t="shared" si="8"/>
        <v>0</v>
      </c>
      <c r="AS65" s="11">
        <f t="shared" si="10"/>
        <v>7109</v>
      </c>
      <c r="AU65" s="12">
        <f>VLOOKUP(B65,'Allocation Exhibit 2016-06-30'!A:D,4,FALSE)</f>
        <v>1.3235E-3</v>
      </c>
    </row>
    <row r="66" spans="1:47">
      <c r="A66" t="s">
        <v>104</v>
      </c>
      <c r="B66">
        <v>38205</v>
      </c>
      <c r="C66" s="11">
        <f>VLOOKUP(B66,'ER Contributions'!A:D,4,FALSE)</f>
        <v>27024</v>
      </c>
      <c r="D66" s="12">
        <f>VLOOKUP(B66,'ER Contributions'!A:D,3,FALSE)</f>
        <v>3.992E-4</v>
      </c>
      <c r="E66" s="11">
        <f>VLOOKUP(B66,'75 - Summary Exhibit'!A:N,3,FALSE)</f>
        <v>-24399</v>
      </c>
      <c r="F66" s="14">
        <f>VLOOKUP(B66,'75 - Summary Exhibit'!A:N,4,FALSE)</f>
        <v>6690</v>
      </c>
      <c r="G66" s="14">
        <f>VLOOKUP(B66,'75 - Summary Exhibit'!A:N,5,FALSE)</f>
        <v>5348</v>
      </c>
      <c r="H66" s="14">
        <f>VLOOKUP(B66,'75 - Summary Exhibit'!A:N,6,FALSE)</f>
        <v>0</v>
      </c>
      <c r="I66" s="11">
        <f>VLOOKUP(B66,'75 - Summary Exhibit'!A:N,7,FALSE)</f>
        <v>1638</v>
      </c>
      <c r="J66" s="11">
        <f>VLOOKUP(B66,'75 - Summary Exhibit'!A:N,8,FALSE)</f>
        <v>0</v>
      </c>
      <c r="K66" s="11">
        <f>VLOOKUP(B66,'75 - Summary Exhibit'!A:N,9,FALSE)</f>
        <v>0</v>
      </c>
      <c r="L66" s="11">
        <f>VLOOKUP(B66,'75 - Summary Exhibit'!A:N,10,FALSE)</f>
        <v>0</v>
      </c>
      <c r="M66" s="11">
        <f>VLOOKUP(B66,'75 - Summary Exhibit'!A:N,11,FALSE)</f>
        <v>0</v>
      </c>
      <c r="N66" s="11">
        <f>VLOOKUP(B66,'75 - Summary Exhibit'!A:N,12,FALSE)</f>
        <v>12963</v>
      </c>
      <c r="O66" s="11">
        <f>VLOOKUP(B66,'75 - Summary Exhibit'!A:N,13,FALSE)</f>
        <v>546</v>
      </c>
      <c r="P66" s="11">
        <f t="shared" si="14"/>
        <v>13509</v>
      </c>
      <c r="Q66" s="11">
        <f>VLOOKUP(B66,'75- Deferred Amortization'!A:G,3,FALSE)</f>
        <v>4114</v>
      </c>
      <c r="R66" s="11">
        <f>VLOOKUP(B66,'75- Deferred Amortization'!A:G,4,FALSE)</f>
        <v>4114</v>
      </c>
      <c r="S66" s="11">
        <f>VLOOKUP(B66,'75- Deferred Amortization'!A:G,5,FALSE)</f>
        <v>4113</v>
      </c>
      <c r="T66" s="11">
        <f>VLOOKUP(B66,'75- Deferred Amortization'!A:G,6,FALSE)</f>
        <v>1336</v>
      </c>
      <c r="U66" s="11">
        <f>VLOOKUP(B66,'75- Deferred Amortization'!A:G,7,FALSE)</f>
        <v>0</v>
      </c>
      <c r="V66" s="11">
        <f>ROUND(((F66-AD66)+(G66-AE66)+(H66-AF66)+(I66-AG66)+(AI66-K66)+P66-(E66-AC66)-(J66-AH66)-(M66-AK66)-C66),0)</f>
        <v>-1</v>
      </c>
      <c r="W66" s="11">
        <f t="shared" si="15"/>
        <v>-1</v>
      </c>
      <c r="X66">
        <v>2</v>
      </c>
      <c r="AC66" s="11">
        <f t="shared" si="2"/>
        <v>-24561</v>
      </c>
      <c r="AD66" s="14"/>
      <c r="AE66" s="14"/>
      <c r="AF66" s="14"/>
      <c r="AG66" s="11"/>
      <c r="AH66" s="11"/>
      <c r="AI66" s="11"/>
      <c r="AJ66" s="11"/>
      <c r="AK66" s="11"/>
      <c r="AM66" s="11">
        <f t="shared" si="18"/>
        <v>1638</v>
      </c>
      <c r="AN66" s="11">
        <f t="shared" si="19"/>
        <v>0</v>
      </c>
      <c r="AO66" s="14">
        <f t="shared" si="5"/>
        <v>6690</v>
      </c>
      <c r="AP66" s="11">
        <f t="shared" si="6"/>
        <v>0</v>
      </c>
      <c r="AQ66" s="14">
        <f t="shared" si="7"/>
        <v>0</v>
      </c>
      <c r="AR66" s="11">
        <f t="shared" si="8"/>
        <v>0</v>
      </c>
      <c r="AS66" s="11">
        <f t="shared" si="10"/>
        <v>162</v>
      </c>
      <c r="AU66" s="12">
        <f>VLOOKUP(B66,'Allocation Exhibit 2016-06-30'!A:D,4,FALSE)</f>
        <v>3.9550000000000002E-4</v>
      </c>
    </row>
    <row r="67" spans="1:47">
      <c r="A67" t="s">
        <v>90</v>
      </c>
      <c r="B67">
        <v>36305</v>
      </c>
      <c r="C67" s="11">
        <f>VLOOKUP(B67,'ER Contributions'!A:D,4,FALSE)</f>
        <v>58085</v>
      </c>
      <c r="D67" s="12">
        <f>VLOOKUP(B67,'ER Contributions'!A:D,3,FALSE)</f>
        <v>8.1789999999999999E-4</v>
      </c>
      <c r="E67" s="11">
        <f>VLOOKUP(B67,'75 - Summary Exhibit'!A:N,3,FALSE)</f>
        <v>-49990</v>
      </c>
      <c r="F67" s="14">
        <f>VLOOKUP(B67,'75 - Summary Exhibit'!A:N,4,FALSE)</f>
        <v>13706</v>
      </c>
      <c r="G67" s="14">
        <f>VLOOKUP(B67,'75 - Summary Exhibit'!A:N,5,FALSE)</f>
        <v>10957</v>
      </c>
      <c r="H67" s="14">
        <f>VLOOKUP(B67,'75 - Summary Exhibit'!A:N,6,FALSE)</f>
        <v>0</v>
      </c>
      <c r="I67" s="11">
        <f>VLOOKUP(B67,'75 - Summary Exhibit'!A:N,7,FALSE)</f>
        <v>8169</v>
      </c>
      <c r="J67" s="11">
        <f>VLOOKUP(B67,'75 - Summary Exhibit'!A:N,8,FALSE)</f>
        <v>0</v>
      </c>
      <c r="K67" s="11">
        <f>VLOOKUP(B67,'75 - Summary Exhibit'!A:N,9,FALSE)</f>
        <v>0</v>
      </c>
      <c r="L67" s="11">
        <f>VLOOKUP(B67,'75 - Summary Exhibit'!A:N,10,FALSE)</f>
        <v>0</v>
      </c>
      <c r="M67" s="11">
        <f>VLOOKUP(B67,'75 - Summary Exhibit'!A:N,11,FALSE)</f>
        <v>0</v>
      </c>
      <c r="N67" s="11">
        <f>VLOOKUP(B67,'75 - Summary Exhibit'!A:N,12,FALSE)</f>
        <v>26560</v>
      </c>
      <c r="O67" s="11">
        <f>VLOOKUP(B67,'75 - Summary Exhibit'!A:N,13,FALSE)</f>
        <v>2723</v>
      </c>
      <c r="P67" s="11">
        <f t="shared" ref="P67:P80" si="20">N67+O67</f>
        <v>29283</v>
      </c>
      <c r="Q67" s="11">
        <f>VLOOKUP(B67,'75- Deferred Amortization'!A:G,3,FALSE)</f>
        <v>10033</v>
      </c>
      <c r="R67" s="11">
        <f>VLOOKUP(B67,'75- Deferred Amortization'!A:G,4,FALSE)</f>
        <v>10033</v>
      </c>
      <c r="S67" s="11">
        <f>VLOOKUP(B67,'75- Deferred Amortization'!A:G,5,FALSE)</f>
        <v>10030</v>
      </c>
      <c r="T67" s="11">
        <f>VLOOKUP(B67,'75- Deferred Amortization'!A:G,6,FALSE)</f>
        <v>2738</v>
      </c>
      <c r="U67" s="11">
        <f>VLOOKUP(B67,'75- Deferred Amortization'!A:G,7,FALSE)</f>
        <v>0</v>
      </c>
      <c r="V67" s="11">
        <f>ROUND(((F67-AD67)+(G67-AE67)+(H67-AF67)+(I67-AG67)+(AI67-K67)+P67-(E67-AC67)-(J67-AH67)-(M67-AK67)-C67),0)</f>
        <v>-1</v>
      </c>
      <c r="W67" s="11">
        <f t="shared" si="15"/>
        <v>-2</v>
      </c>
      <c r="X67">
        <v>2</v>
      </c>
      <c r="AC67" s="11">
        <f t="shared" si="2"/>
        <v>-54021</v>
      </c>
      <c r="AD67" s="14"/>
      <c r="AE67" s="14"/>
      <c r="AF67" s="14"/>
      <c r="AG67" s="11"/>
      <c r="AH67" s="11"/>
      <c r="AI67" s="11"/>
      <c r="AJ67" s="11"/>
      <c r="AK67" s="11"/>
      <c r="AM67" s="11">
        <f t="shared" si="18"/>
        <v>8169</v>
      </c>
      <c r="AN67" s="11">
        <f t="shared" si="19"/>
        <v>0</v>
      </c>
      <c r="AO67" s="14">
        <f t="shared" si="5"/>
        <v>13706</v>
      </c>
      <c r="AP67" s="11">
        <f t="shared" si="6"/>
        <v>0</v>
      </c>
      <c r="AQ67" s="14">
        <f t="shared" si="7"/>
        <v>0</v>
      </c>
      <c r="AR67" s="11">
        <f t="shared" si="8"/>
        <v>0</v>
      </c>
      <c r="AS67" s="11">
        <f t="shared" si="10"/>
        <v>4031</v>
      </c>
      <c r="AU67" s="12">
        <f>VLOOKUP(B67,'Allocation Exhibit 2016-06-30'!A:D,4,FALSE)</f>
        <v>8.6989999999999995E-4</v>
      </c>
    </row>
    <row r="68" spans="1:47">
      <c r="A68" t="s">
        <v>55</v>
      </c>
      <c r="B68">
        <v>30405</v>
      </c>
      <c r="C68" s="11">
        <f>VLOOKUP(B68,'ER Contributions'!A:D,4,FALSE)</f>
        <v>44158</v>
      </c>
      <c r="D68" s="12">
        <f>VLOOKUP(B68,'ER Contributions'!A:D,3,FALSE)</f>
        <v>7.4379999999999997E-4</v>
      </c>
      <c r="E68" s="11">
        <f>VLOOKUP(B68,'75 - Summary Exhibit'!A:N,3,FALSE)</f>
        <v>-45461</v>
      </c>
      <c r="F68" s="14">
        <f>VLOOKUP(B68,'75 - Summary Exhibit'!A:N,4,FALSE)</f>
        <v>12465</v>
      </c>
      <c r="G68" s="14">
        <f>VLOOKUP(B68,'75 - Summary Exhibit'!A:N,5,FALSE)</f>
        <v>9965</v>
      </c>
      <c r="H68" s="14">
        <f>VLOOKUP(B68,'75 - Summary Exhibit'!A:N,6,FALSE)</f>
        <v>0</v>
      </c>
      <c r="I68" s="11">
        <f>VLOOKUP(B68,'75 - Summary Exhibit'!A:N,7,FALSE)</f>
        <v>0</v>
      </c>
      <c r="J68" s="11">
        <f>VLOOKUP(B68,'75 - Summary Exhibit'!A:N,8,FALSE)</f>
        <v>0</v>
      </c>
      <c r="K68" s="11">
        <f>VLOOKUP(B68,'75 - Summary Exhibit'!A:N,9,FALSE)</f>
        <v>0</v>
      </c>
      <c r="L68" s="11">
        <f>VLOOKUP(B68,'75 - Summary Exhibit'!A:N,10,FALSE)</f>
        <v>0</v>
      </c>
      <c r="M68" s="11">
        <f>VLOOKUP(B68,'75 - Summary Exhibit'!A:N,11,FALSE)</f>
        <v>1565</v>
      </c>
      <c r="N68" s="11">
        <f>VLOOKUP(B68,'75 - Summary Exhibit'!A:N,12,FALSE)</f>
        <v>24153</v>
      </c>
      <c r="O68" s="11">
        <f>VLOOKUP(B68,'75 - Summary Exhibit'!A:N,13,FALSE)</f>
        <v>-522</v>
      </c>
      <c r="P68" s="11">
        <f t="shared" si="20"/>
        <v>23631</v>
      </c>
      <c r="Q68" s="11">
        <f>VLOOKUP(B68,'75- Deferred Amortization'!A:G,3,FALSE)</f>
        <v>6126</v>
      </c>
      <c r="R68" s="11">
        <f>VLOOKUP(B68,'75- Deferred Amortization'!A:G,4,FALSE)</f>
        <v>6126</v>
      </c>
      <c r="S68" s="11">
        <f>VLOOKUP(B68,'75- Deferred Amortization'!A:G,5,FALSE)</f>
        <v>6123</v>
      </c>
      <c r="T68" s="11">
        <f>VLOOKUP(B68,'75- Deferred Amortization'!A:G,6,FALSE)</f>
        <v>2489</v>
      </c>
      <c r="U68" s="11">
        <f>VLOOKUP(B68,'75- Deferred Amortization'!A:G,7,FALSE)</f>
        <v>0</v>
      </c>
      <c r="V68" s="11">
        <f t="shared" ref="V68:V88" si="21">ROUND(((F68-AD68)+(G68-AE68)+(H68-AF68)+(I68-AG68)+(AI68-K68)+P68-(E68-AC68)-(J68-AH68)-(M68-AK68)-C68),0)</f>
        <v>0</v>
      </c>
      <c r="W68" s="11">
        <f t="shared" ref="W68:W88" si="22">ROUND((F68+G68+H68+I68-J68-K68-L68-M68-Q68-R68-S68-T68-U68),0)</f>
        <v>1</v>
      </c>
      <c r="X68">
        <v>2</v>
      </c>
      <c r="AC68" s="11">
        <f t="shared" si="2"/>
        <v>-45799</v>
      </c>
      <c r="AD68" s="14"/>
      <c r="AE68" s="14"/>
      <c r="AF68" s="14"/>
      <c r="AG68" s="11"/>
      <c r="AH68" s="11"/>
      <c r="AI68" s="11"/>
      <c r="AJ68" s="11"/>
      <c r="AK68" s="11"/>
      <c r="AM68" s="11">
        <f t="shared" si="18"/>
        <v>0</v>
      </c>
      <c r="AN68" s="11">
        <f t="shared" si="19"/>
        <v>1565</v>
      </c>
      <c r="AO68" s="14">
        <f t="shared" si="5"/>
        <v>12465</v>
      </c>
      <c r="AP68" s="11">
        <f t="shared" si="6"/>
        <v>0</v>
      </c>
      <c r="AQ68" s="14">
        <f t="shared" si="7"/>
        <v>0</v>
      </c>
      <c r="AR68" s="11">
        <f t="shared" si="8"/>
        <v>0</v>
      </c>
      <c r="AS68" s="11">
        <f t="shared" si="10"/>
        <v>338</v>
      </c>
      <c r="AU68" s="12">
        <f>VLOOKUP(B68,'Allocation Exhibit 2016-06-30'!A:D,4,FALSE)</f>
        <v>7.3749999999999998E-4</v>
      </c>
    </row>
    <row r="69" spans="1:47">
      <c r="A69" t="s">
        <v>66</v>
      </c>
      <c r="B69">
        <v>32405</v>
      </c>
      <c r="C69" s="11">
        <f>VLOOKUP(B69,'ER Contributions'!A:D,4,FALSE)</f>
        <v>33896</v>
      </c>
      <c r="D69" s="12">
        <f>VLOOKUP(B69,'ER Contributions'!A:D,3,FALSE)</f>
        <v>4.9830000000000002E-4</v>
      </c>
      <c r="E69" s="11">
        <f>VLOOKUP(B69,'75 - Summary Exhibit'!A:N,3,FALSE)</f>
        <v>-30456</v>
      </c>
      <c r="F69" s="14">
        <f>VLOOKUP(B69,'75 - Summary Exhibit'!A:N,4,FALSE)</f>
        <v>8351</v>
      </c>
      <c r="G69" s="14">
        <f>VLOOKUP(B69,'75 - Summary Exhibit'!A:N,5,FALSE)</f>
        <v>6676</v>
      </c>
      <c r="H69" s="14">
        <f>VLOOKUP(B69,'75 - Summary Exhibit'!A:N,6,FALSE)</f>
        <v>0</v>
      </c>
      <c r="I69" s="11">
        <f>VLOOKUP(B69,'75 - Summary Exhibit'!A:N,7,FALSE)</f>
        <v>1996</v>
      </c>
      <c r="J69" s="11">
        <f>VLOOKUP(B69,'75 - Summary Exhibit'!A:N,8,FALSE)</f>
        <v>0</v>
      </c>
      <c r="K69" s="11">
        <f>VLOOKUP(B69,'75 - Summary Exhibit'!A:N,9,FALSE)</f>
        <v>0</v>
      </c>
      <c r="L69" s="11">
        <f>VLOOKUP(B69,'75 - Summary Exhibit'!A:N,10,FALSE)</f>
        <v>0</v>
      </c>
      <c r="M69" s="11">
        <f>VLOOKUP(B69,'75 - Summary Exhibit'!A:N,11,FALSE)</f>
        <v>0</v>
      </c>
      <c r="N69" s="11">
        <f>VLOOKUP(B69,'75 - Summary Exhibit'!A:N,12,FALSE)</f>
        <v>16181</v>
      </c>
      <c r="O69" s="11">
        <f>VLOOKUP(B69,'75 - Summary Exhibit'!A:N,13,FALSE)</f>
        <v>665</v>
      </c>
      <c r="P69" s="11">
        <f t="shared" si="20"/>
        <v>16846</v>
      </c>
      <c r="Q69" s="11">
        <f>VLOOKUP(B69,'75- Deferred Amortization'!A:G,3,FALSE)</f>
        <v>5119</v>
      </c>
      <c r="R69" s="11">
        <f>VLOOKUP(B69,'75- Deferred Amortization'!A:G,4,FALSE)</f>
        <v>5119</v>
      </c>
      <c r="S69" s="11">
        <f>VLOOKUP(B69,'75- Deferred Amortization'!A:G,5,FALSE)</f>
        <v>5117</v>
      </c>
      <c r="T69" s="11">
        <f>VLOOKUP(B69,'75- Deferred Amortization'!A:G,6,FALSE)</f>
        <v>1668</v>
      </c>
      <c r="U69" s="11">
        <f>VLOOKUP(B69,'75- Deferred Amortization'!A:G,7,FALSE)</f>
        <v>0</v>
      </c>
      <c r="V69" s="11">
        <f t="shared" si="21"/>
        <v>0</v>
      </c>
      <c r="W69" s="11">
        <f t="shared" si="22"/>
        <v>0</v>
      </c>
      <c r="X69">
        <v>2</v>
      </c>
      <c r="AC69" s="11">
        <f t="shared" ref="AC69:AC85" si="23">ROUND((AW$4*AU69),0)</f>
        <v>-30429</v>
      </c>
      <c r="AD69" s="14"/>
      <c r="AE69" s="14"/>
      <c r="AF69" s="14"/>
      <c r="AG69" s="11"/>
      <c r="AH69" s="11"/>
      <c r="AI69" s="11"/>
      <c r="AJ69" s="11"/>
      <c r="AK69" s="11"/>
      <c r="AM69" s="11">
        <f t="shared" si="18"/>
        <v>1996</v>
      </c>
      <c r="AN69" s="11">
        <f t="shared" si="19"/>
        <v>0</v>
      </c>
      <c r="AO69" s="14">
        <f t="shared" ref="AO69:AO88" si="24">F69-AD69</f>
        <v>8351</v>
      </c>
      <c r="AP69" s="11">
        <f t="shared" ref="AP69:AP88" si="25">J69-AH69</f>
        <v>0</v>
      </c>
      <c r="AQ69" s="14">
        <f t="shared" ref="AQ69:AQ88" si="26">H69-AF69</f>
        <v>0</v>
      </c>
      <c r="AR69" s="11">
        <f t="shared" ref="AR69:AR88" si="27">L69-AJ69</f>
        <v>0</v>
      </c>
      <c r="AS69" s="11">
        <f t="shared" si="10"/>
        <v>-27</v>
      </c>
      <c r="AU69" s="12">
        <f>VLOOKUP(B69,'Allocation Exhibit 2016-06-30'!A:D,4,FALSE)</f>
        <v>4.8999999999999998E-4</v>
      </c>
    </row>
    <row r="70" spans="1:47">
      <c r="A70" t="s">
        <v>81</v>
      </c>
      <c r="B70">
        <v>35005</v>
      </c>
      <c r="C70" s="11">
        <f>VLOOKUP(B70,'ER Contributions'!A:D,4,FALSE)</f>
        <v>39300</v>
      </c>
      <c r="D70" s="12">
        <f>VLOOKUP(B70,'ER Contributions'!A:D,3,FALSE)</f>
        <v>6.1209999999999997E-4</v>
      </c>
      <c r="E70" s="11">
        <f>VLOOKUP(B70,'75 - Summary Exhibit'!A:N,3,FALSE)</f>
        <v>-37412</v>
      </c>
      <c r="F70" s="14">
        <f>VLOOKUP(B70,'75 - Summary Exhibit'!A:N,4,FALSE)</f>
        <v>10258</v>
      </c>
      <c r="G70" s="14">
        <f>VLOOKUP(B70,'75 - Summary Exhibit'!A:N,5,FALSE)</f>
        <v>8200</v>
      </c>
      <c r="H70" s="14">
        <f>VLOOKUP(B70,'75 - Summary Exhibit'!A:N,6,FALSE)</f>
        <v>0</v>
      </c>
      <c r="I70" s="11">
        <f>VLOOKUP(B70,'75 - Summary Exhibit'!A:N,7,FALSE)</f>
        <v>1584</v>
      </c>
      <c r="J70" s="11">
        <f>VLOOKUP(B70,'75 - Summary Exhibit'!A:N,8,FALSE)</f>
        <v>0</v>
      </c>
      <c r="K70" s="11">
        <f>VLOOKUP(B70,'75 - Summary Exhibit'!A:N,9,FALSE)</f>
        <v>0</v>
      </c>
      <c r="L70" s="11">
        <f>VLOOKUP(B70,'75 - Summary Exhibit'!A:N,10,FALSE)</f>
        <v>0</v>
      </c>
      <c r="M70" s="11">
        <f>VLOOKUP(B70,'75 - Summary Exhibit'!A:N,11,FALSE)</f>
        <v>0</v>
      </c>
      <c r="N70" s="11">
        <f>VLOOKUP(B70,'75 - Summary Exhibit'!A:N,12,FALSE)</f>
        <v>19877</v>
      </c>
      <c r="O70" s="11">
        <f>VLOOKUP(B70,'75 - Summary Exhibit'!A:N,13,FALSE)</f>
        <v>528</v>
      </c>
      <c r="P70" s="11">
        <f t="shared" si="20"/>
        <v>20405</v>
      </c>
      <c r="Q70" s="11">
        <f>VLOOKUP(B70,'75- Deferred Amortization'!A:G,3,FALSE)</f>
        <v>5998</v>
      </c>
      <c r="R70" s="11">
        <f>VLOOKUP(B70,'75- Deferred Amortization'!A:G,4,FALSE)</f>
        <v>5998</v>
      </c>
      <c r="S70" s="11">
        <f>VLOOKUP(B70,'75- Deferred Amortization'!A:G,5,FALSE)</f>
        <v>5996</v>
      </c>
      <c r="T70" s="11">
        <f>VLOOKUP(B70,'75- Deferred Amortization'!A:G,6,FALSE)</f>
        <v>2049</v>
      </c>
      <c r="U70" s="11">
        <f>VLOOKUP(B70,'75- Deferred Amortization'!A:G,7,FALSE)</f>
        <v>0</v>
      </c>
      <c r="V70" s="11">
        <f t="shared" si="21"/>
        <v>1</v>
      </c>
      <c r="W70" s="11">
        <f t="shared" si="22"/>
        <v>1</v>
      </c>
      <c r="X70">
        <v>2</v>
      </c>
      <c r="AC70" s="11">
        <f t="shared" si="23"/>
        <v>-38558</v>
      </c>
      <c r="AD70" s="14"/>
      <c r="AE70" s="14"/>
      <c r="AF70" s="14"/>
      <c r="AG70" s="11"/>
      <c r="AH70" s="11"/>
      <c r="AI70" s="11"/>
      <c r="AJ70" s="11"/>
      <c r="AK70" s="11"/>
      <c r="AM70" s="11">
        <f t="shared" si="18"/>
        <v>1584</v>
      </c>
      <c r="AN70" s="11">
        <f t="shared" si="19"/>
        <v>0</v>
      </c>
      <c r="AO70" s="14">
        <f t="shared" si="24"/>
        <v>10258</v>
      </c>
      <c r="AP70" s="11">
        <f t="shared" si="25"/>
        <v>0</v>
      </c>
      <c r="AQ70" s="14">
        <f t="shared" si="26"/>
        <v>0</v>
      </c>
      <c r="AR70" s="11">
        <f t="shared" si="27"/>
        <v>0</v>
      </c>
      <c r="AS70" s="11">
        <f t="shared" ref="AS70:AS88" si="28">E70-AC70</f>
        <v>1146</v>
      </c>
      <c r="AU70" s="12">
        <f>VLOOKUP(B70,'Allocation Exhibit 2016-06-30'!A:D,4,FALSE)</f>
        <v>6.2089999999999997E-4</v>
      </c>
    </row>
    <row r="71" spans="1:47">
      <c r="A71" t="s">
        <v>105</v>
      </c>
      <c r="B71">
        <v>38405</v>
      </c>
      <c r="C71" s="11">
        <f>VLOOKUP(B71,'ER Contributions'!A:D,4,FALSE)</f>
        <v>40918</v>
      </c>
      <c r="D71" s="12">
        <f>VLOOKUP(B71,'ER Contributions'!A:D,3,FALSE)</f>
        <v>7.0279999999999995E-4</v>
      </c>
      <c r="E71" s="11">
        <f>VLOOKUP(B71,'75 - Summary Exhibit'!A:N,3,FALSE)</f>
        <v>-42955</v>
      </c>
      <c r="F71" s="14">
        <f>VLOOKUP(B71,'75 - Summary Exhibit'!A:N,4,FALSE)</f>
        <v>11778</v>
      </c>
      <c r="G71" s="14">
        <f>VLOOKUP(B71,'75 - Summary Exhibit'!A:N,5,FALSE)</f>
        <v>9415</v>
      </c>
      <c r="H71" s="14">
        <f>VLOOKUP(B71,'75 - Summary Exhibit'!A:N,6,FALSE)</f>
        <v>0</v>
      </c>
      <c r="I71" s="11">
        <f>VLOOKUP(B71,'75 - Summary Exhibit'!A:N,7,FALSE)</f>
        <v>0</v>
      </c>
      <c r="J71" s="11">
        <f>VLOOKUP(B71,'75 - Summary Exhibit'!A:N,8,FALSE)</f>
        <v>0</v>
      </c>
      <c r="K71" s="11">
        <f>VLOOKUP(B71,'75 - Summary Exhibit'!A:N,9,FALSE)</f>
        <v>0</v>
      </c>
      <c r="L71" s="11">
        <f>VLOOKUP(B71,'75 - Summary Exhibit'!A:N,10,FALSE)</f>
        <v>0</v>
      </c>
      <c r="M71" s="11">
        <f>VLOOKUP(B71,'75 - Summary Exhibit'!A:N,11,FALSE)</f>
        <v>2752</v>
      </c>
      <c r="N71" s="11">
        <f>VLOOKUP(B71,'75 - Summary Exhibit'!A:N,12,FALSE)</f>
        <v>22822</v>
      </c>
      <c r="O71" s="11">
        <f>VLOOKUP(B71,'75 - Summary Exhibit'!A:N,13,FALSE)</f>
        <v>-917</v>
      </c>
      <c r="P71" s="11">
        <f t="shared" si="20"/>
        <v>21905</v>
      </c>
      <c r="Q71" s="11">
        <f>VLOOKUP(B71,'75- Deferred Amortization'!A:G,3,FALSE)</f>
        <v>5364</v>
      </c>
      <c r="R71" s="11">
        <f>VLOOKUP(B71,'75- Deferred Amortization'!A:G,4,FALSE)</f>
        <v>5364</v>
      </c>
      <c r="S71" s="11">
        <f>VLOOKUP(B71,'75- Deferred Amortization'!A:G,5,FALSE)</f>
        <v>5362</v>
      </c>
      <c r="T71" s="11">
        <f>VLOOKUP(B71,'75- Deferred Amortization'!A:G,6,FALSE)</f>
        <v>2352</v>
      </c>
      <c r="U71" s="11">
        <f>VLOOKUP(B71,'75- Deferred Amortization'!A:G,7,FALSE)</f>
        <v>0</v>
      </c>
      <c r="V71" s="11">
        <f t="shared" si="21"/>
        <v>0</v>
      </c>
      <c r="W71" s="11">
        <f t="shared" si="22"/>
        <v>-1</v>
      </c>
      <c r="X71">
        <v>2</v>
      </c>
      <c r="AC71" s="11">
        <f t="shared" si="23"/>
        <v>-42383</v>
      </c>
      <c r="AD71" s="14"/>
      <c r="AE71" s="14"/>
      <c r="AF71" s="14"/>
      <c r="AG71" s="11"/>
      <c r="AH71" s="11"/>
      <c r="AI71" s="11"/>
      <c r="AJ71" s="11"/>
      <c r="AK71" s="11"/>
      <c r="AM71" s="11">
        <f t="shared" si="18"/>
        <v>0</v>
      </c>
      <c r="AN71" s="11">
        <f t="shared" si="19"/>
        <v>2752</v>
      </c>
      <c r="AO71" s="14">
        <f t="shared" si="24"/>
        <v>11778</v>
      </c>
      <c r="AP71" s="11">
        <f t="shared" si="25"/>
        <v>0</v>
      </c>
      <c r="AQ71" s="14">
        <f t="shared" si="26"/>
        <v>0</v>
      </c>
      <c r="AR71" s="11">
        <f t="shared" si="27"/>
        <v>0</v>
      </c>
      <c r="AS71" s="11">
        <f t="shared" si="28"/>
        <v>-572</v>
      </c>
      <c r="AU71" s="12">
        <f>VLOOKUP(B71,'Allocation Exhibit 2016-06-30'!A:D,4,FALSE)</f>
        <v>6.8249999999999995E-4</v>
      </c>
    </row>
    <row r="72" spans="1:47">
      <c r="A72" t="s">
        <v>106</v>
      </c>
      <c r="B72">
        <v>38605</v>
      </c>
      <c r="C72" s="11">
        <f>VLOOKUP(B72,'ER Contributions'!A:D,4,FALSE)</f>
        <v>45446</v>
      </c>
      <c r="D72" s="12">
        <f>VLOOKUP(B72,'ER Contributions'!A:D,3,FALSE)</f>
        <v>7.4120000000000002E-4</v>
      </c>
      <c r="E72" s="11">
        <f>VLOOKUP(B72,'75 - Summary Exhibit'!A:N,3,FALSE)</f>
        <v>-45302</v>
      </c>
      <c r="F72" s="14">
        <f>VLOOKUP(B72,'75 - Summary Exhibit'!A:N,4,FALSE)</f>
        <v>12421</v>
      </c>
      <c r="G72" s="14">
        <f>VLOOKUP(B72,'75 - Summary Exhibit'!A:N,5,FALSE)</f>
        <v>9930</v>
      </c>
      <c r="H72" s="14">
        <f>VLOOKUP(B72,'75 - Summary Exhibit'!A:N,6,FALSE)</f>
        <v>0</v>
      </c>
      <c r="I72" s="11">
        <f>VLOOKUP(B72,'75 - Summary Exhibit'!A:N,7,FALSE)</f>
        <v>541</v>
      </c>
      <c r="J72" s="11">
        <f>VLOOKUP(B72,'75 - Summary Exhibit'!A:N,8,FALSE)</f>
        <v>0</v>
      </c>
      <c r="K72" s="11">
        <f>VLOOKUP(B72,'75 - Summary Exhibit'!A:N,9,FALSE)</f>
        <v>0</v>
      </c>
      <c r="L72" s="11">
        <f>VLOOKUP(B72,'75 - Summary Exhibit'!A:N,10,FALSE)</f>
        <v>0</v>
      </c>
      <c r="M72" s="11">
        <f>VLOOKUP(B72,'75 - Summary Exhibit'!A:N,11,FALSE)</f>
        <v>0</v>
      </c>
      <c r="N72" s="11">
        <f>VLOOKUP(B72,'75 - Summary Exhibit'!A:N,12,FALSE)</f>
        <v>24069</v>
      </c>
      <c r="O72" s="11">
        <f>VLOOKUP(B72,'75 - Summary Exhibit'!A:N,13,FALSE)</f>
        <v>180</v>
      </c>
      <c r="P72" s="11">
        <f t="shared" si="20"/>
        <v>24249</v>
      </c>
      <c r="Q72" s="11">
        <f>VLOOKUP(B72,'75- Deferred Amortization'!A:G,3,FALSE)</f>
        <v>6804</v>
      </c>
      <c r="R72" s="11">
        <f>VLOOKUP(B72,'75- Deferred Amortization'!A:G,4,FALSE)</f>
        <v>6804</v>
      </c>
      <c r="S72" s="11">
        <f>VLOOKUP(B72,'75- Deferred Amortization'!A:G,5,FALSE)</f>
        <v>6802</v>
      </c>
      <c r="T72" s="11">
        <f>VLOOKUP(B72,'75- Deferred Amortization'!A:G,6,FALSE)</f>
        <v>2481</v>
      </c>
      <c r="U72" s="11">
        <f>VLOOKUP(B72,'75- Deferred Amortization'!A:G,7,FALSE)</f>
        <v>0</v>
      </c>
      <c r="V72" s="11">
        <f t="shared" si="21"/>
        <v>0</v>
      </c>
      <c r="W72" s="11">
        <f t="shared" si="22"/>
        <v>1</v>
      </c>
      <c r="X72">
        <v>2</v>
      </c>
      <c r="AC72" s="11">
        <f t="shared" si="23"/>
        <v>-46997</v>
      </c>
      <c r="AD72" s="14"/>
      <c r="AE72" s="14"/>
      <c r="AF72" s="14"/>
      <c r="AG72" s="11"/>
      <c r="AH72" s="11"/>
      <c r="AI72" s="11"/>
      <c r="AJ72" s="11"/>
      <c r="AK72" s="11"/>
      <c r="AM72" s="11">
        <f t="shared" si="18"/>
        <v>541</v>
      </c>
      <c r="AN72" s="11">
        <f t="shared" si="19"/>
        <v>0</v>
      </c>
      <c r="AO72" s="14">
        <f t="shared" si="24"/>
        <v>12421</v>
      </c>
      <c r="AP72" s="11">
        <f t="shared" si="25"/>
        <v>0</v>
      </c>
      <c r="AQ72" s="14">
        <f t="shared" si="26"/>
        <v>0</v>
      </c>
      <c r="AR72" s="11">
        <f t="shared" si="27"/>
        <v>0</v>
      </c>
      <c r="AS72" s="11">
        <f t="shared" si="28"/>
        <v>1695</v>
      </c>
      <c r="AU72" s="12">
        <f>VLOOKUP(B72,'Allocation Exhibit 2016-06-30'!A:D,4,FALSE)</f>
        <v>7.5679999999999996E-4</v>
      </c>
    </row>
    <row r="73" spans="1:47">
      <c r="A73" t="s">
        <v>64</v>
      </c>
      <c r="B73">
        <v>32005</v>
      </c>
      <c r="C73" s="11">
        <f>VLOOKUP(B73,'ER Contributions'!A:D,4,FALSE)</f>
        <v>19425</v>
      </c>
      <c r="D73" s="12">
        <f>VLOOKUP(B73,'ER Contributions'!A:D,3,FALSE)</f>
        <v>2.898E-4</v>
      </c>
      <c r="E73" s="11">
        <f>VLOOKUP(B73,'75 - Summary Exhibit'!A:N,3,FALSE)</f>
        <v>-17713</v>
      </c>
      <c r="F73" s="14">
        <f>VLOOKUP(B73,'75 - Summary Exhibit'!A:N,4,FALSE)</f>
        <v>4856</v>
      </c>
      <c r="G73" s="14">
        <f>VLOOKUP(B73,'75 - Summary Exhibit'!A:N,5,FALSE)</f>
        <v>3882</v>
      </c>
      <c r="H73" s="14">
        <f>VLOOKUP(B73,'75 - Summary Exhibit'!A:N,6,FALSE)</f>
        <v>0</v>
      </c>
      <c r="I73" s="11">
        <f>VLOOKUP(B73,'75 - Summary Exhibit'!A:N,7,FALSE)</f>
        <v>1114</v>
      </c>
      <c r="J73" s="11">
        <f>VLOOKUP(B73,'75 - Summary Exhibit'!A:N,8,FALSE)</f>
        <v>0</v>
      </c>
      <c r="K73" s="11">
        <f>VLOOKUP(B73,'75 - Summary Exhibit'!A:N,9,FALSE)</f>
        <v>0</v>
      </c>
      <c r="L73" s="11">
        <f>VLOOKUP(B73,'75 - Summary Exhibit'!A:N,10,FALSE)</f>
        <v>0</v>
      </c>
      <c r="M73" s="11">
        <f>VLOOKUP(B73,'75 - Summary Exhibit'!A:N,11,FALSE)</f>
        <v>0</v>
      </c>
      <c r="N73" s="11">
        <f>VLOOKUP(B73,'75 - Summary Exhibit'!A:N,12,FALSE)</f>
        <v>9411</v>
      </c>
      <c r="O73" s="11">
        <f>VLOOKUP(B73,'75 - Summary Exhibit'!A:N,13,FALSE)</f>
        <v>371</v>
      </c>
      <c r="P73" s="11">
        <f t="shared" si="20"/>
        <v>9782</v>
      </c>
      <c r="Q73" s="11">
        <f>VLOOKUP(B73,'75- Deferred Amortization'!A:G,3,FALSE)</f>
        <v>2961</v>
      </c>
      <c r="R73" s="11">
        <f>VLOOKUP(B73,'75- Deferred Amortization'!A:G,4,FALSE)</f>
        <v>2961</v>
      </c>
      <c r="S73" s="11">
        <f>VLOOKUP(B73,'75- Deferred Amortization'!A:G,5,FALSE)</f>
        <v>2960</v>
      </c>
      <c r="T73" s="11">
        <f>VLOOKUP(B73,'75- Deferred Amortization'!A:G,6,FALSE)</f>
        <v>970</v>
      </c>
      <c r="U73" s="11">
        <f>VLOOKUP(B73,'75- Deferred Amortization'!A:G,7,FALSE)</f>
        <v>0</v>
      </c>
      <c r="V73" s="11">
        <f t="shared" si="21"/>
        <v>0</v>
      </c>
      <c r="W73" s="11">
        <f t="shared" si="22"/>
        <v>0</v>
      </c>
      <c r="X73">
        <v>2</v>
      </c>
      <c r="AC73" s="11">
        <f t="shared" si="23"/>
        <v>-17922</v>
      </c>
      <c r="AD73" s="14"/>
      <c r="AE73" s="14"/>
      <c r="AF73" s="14"/>
      <c r="AG73" s="11"/>
      <c r="AH73" s="11"/>
      <c r="AI73" s="11"/>
      <c r="AJ73" s="11"/>
      <c r="AK73" s="11"/>
      <c r="AM73" s="11">
        <f t="shared" si="18"/>
        <v>1114</v>
      </c>
      <c r="AN73" s="11">
        <f t="shared" si="19"/>
        <v>0</v>
      </c>
      <c r="AO73" s="14">
        <f t="shared" si="24"/>
        <v>4856</v>
      </c>
      <c r="AP73" s="11">
        <f t="shared" si="25"/>
        <v>0</v>
      </c>
      <c r="AQ73" s="14">
        <f t="shared" si="26"/>
        <v>0</v>
      </c>
      <c r="AR73" s="11">
        <f t="shared" si="27"/>
        <v>0</v>
      </c>
      <c r="AS73" s="11">
        <f t="shared" si="28"/>
        <v>209</v>
      </c>
      <c r="AU73" s="12">
        <f>VLOOKUP(B73,'Allocation Exhibit 2016-06-30'!A:D,4,FALSE)</f>
        <v>2.8860000000000002E-4</v>
      </c>
    </row>
    <row r="74" spans="1:47">
      <c r="A74" t="s">
        <v>107</v>
      </c>
      <c r="B74">
        <v>39105</v>
      </c>
      <c r="C74" s="11">
        <f>VLOOKUP(B74,'ER Contributions'!A:D,4,FALSE)</f>
        <v>53597</v>
      </c>
      <c r="D74" s="12">
        <f>VLOOKUP(B74,'ER Contributions'!A:D,3,FALSE)</f>
        <v>8.4730000000000005E-4</v>
      </c>
      <c r="E74" s="11">
        <f>VLOOKUP(B74,'75 - Summary Exhibit'!A:N,3,FALSE)</f>
        <v>-51787</v>
      </c>
      <c r="F74" s="14">
        <f>VLOOKUP(B74,'75 - Summary Exhibit'!A:N,4,FALSE)</f>
        <v>14199</v>
      </c>
      <c r="G74" s="14">
        <f>VLOOKUP(B74,'75 - Summary Exhibit'!A:N,5,FALSE)</f>
        <v>11351</v>
      </c>
      <c r="H74" s="14">
        <f>VLOOKUP(B74,'75 - Summary Exhibit'!A:N,6,FALSE)</f>
        <v>0</v>
      </c>
      <c r="I74" s="11">
        <f>VLOOKUP(B74,'75 - Summary Exhibit'!A:N,7,FALSE)</f>
        <v>3127</v>
      </c>
      <c r="J74" s="11">
        <f>VLOOKUP(B74,'75 - Summary Exhibit'!A:N,8,FALSE)</f>
        <v>0</v>
      </c>
      <c r="K74" s="11">
        <f>VLOOKUP(B74,'75 - Summary Exhibit'!A:N,9,FALSE)</f>
        <v>0</v>
      </c>
      <c r="L74" s="11">
        <f>VLOOKUP(B74,'75 - Summary Exhibit'!A:N,10,FALSE)</f>
        <v>0</v>
      </c>
      <c r="M74" s="11">
        <f>VLOOKUP(B74,'75 - Summary Exhibit'!A:N,11,FALSE)</f>
        <v>0</v>
      </c>
      <c r="N74" s="11">
        <f>VLOOKUP(B74,'75 - Summary Exhibit'!A:N,12,FALSE)</f>
        <v>27514</v>
      </c>
      <c r="O74" s="11">
        <f>VLOOKUP(B74,'75 - Summary Exhibit'!A:N,13,FALSE)</f>
        <v>1042</v>
      </c>
      <c r="P74" s="11">
        <f t="shared" si="20"/>
        <v>28556</v>
      </c>
      <c r="Q74" s="11">
        <f>VLOOKUP(B74,'75- Deferred Amortization'!A:G,3,FALSE)</f>
        <v>8615</v>
      </c>
      <c r="R74" s="11">
        <f>VLOOKUP(B74,'75- Deferred Amortization'!A:G,4,FALSE)</f>
        <v>8615</v>
      </c>
      <c r="S74" s="11">
        <f>VLOOKUP(B74,'75- Deferred Amortization'!A:G,5,FALSE)</f>
        <v>8612</v>
      </c>
      <c r="T74" s="11">
        <f>VLOOKUP(B74,'75- Deferred Amortization'!A:G,6,FALSE)</f>
        <v>2836</v>
      </c>
      <c r="U74" s="11">
        <f>VLOOKUP(B74,'75- Deferred Amortization'!A:G,7,FALSE)</f>
        <v>0</v>
      </c>
      <c r="V74" s="11">
        <f t="shared" si="21"/>
        <v>-1</v>
      </c>
      <c r="W74" s="11">
        <f t="shared" si="22"/>
        <v>-1</v>
      </c>
      <c r="X74">
        <v>2</v>
      </c>
      <c r="AC74" s="11">
        <f t="shared" si="23"/>
        <v>-55424</v>
      </c>
      <c r="AD74" s="14"/>
      <c r="AE74" s="14"/>
      <c r="AF74" s="14"/>
      <c r="AG74" s="11"/>
      <c r="AH74" s="11"/>
      <c r="AI74" s="11"/>
      <c r="AJ74" s="11"/>
      <c r="AK74" s="11"/>
      <c r="AM74" s="11">
        <f t="shared" si="18"/>
        <v>3127</v>
      </c>
      <c r="AN74" s="11">
        <f t="shared" si="19"/>
        <v>0</v>
      </c>
      <c r="AO74" s="14">
        <f t="shared" si="24"/>
        <v>14199</v>
      </c>
      <c r="AP74" s="11">
        <f t="shared" si="25"/>
        <v>0</v>
      </c>
      <c r="AQ74" s="14">
        <f t="shared" si="26"/>
        <v>0</v>
      </c>
      <c r="AR74" s="11">
        <f t="shared" si="27"/>
        <v>0</v>
      </c>
      <c r="AS74" s="11">
        <f t="shared" si="28"/>
        <v>3637</v>
      </c>
      <c r="AU74" s="12">
        <f>VLOOKUP(B74,'Allocation Exhibit 2016-06-30'!A:D,4,FALSE)</f>
        <v>8.9249999999999996E-4</v>
      </c>
    </row>
    <row r="75" spans="1:47">
      <c r="A75" t="s">
        <v>108</v>
      </c>
      <c r="B75">
        <v>39205</v>
      </c>
      <c r="C75" s="11">
        <f>VLOOKUP(B75,'ER Contributions'!A:D,4,FALSE)</f>
        <v>294890</v>
      </c>
      <c r="D75" s="12">
        <f>VLOOKUP(B75,'ER Contributions'!A:D,3,FALSE)</f>
        <v>4.7406999999999996E-3</v>
      </c>
      <c r="E75" s="11">
        <f>VLOOKUP(B75,'75 - Summary Exhibit'!A:N,3,FALSE)</f>
        <v>-289752</v>
      </c>
      <c r="F75" s="14">
        <f>VLOOKUP(B75,'75 - Summary Exhibit'!A:N,4,FALSE)</f>
        <v>79445</v>
      </c>
      <c r="G75" s="14">
        <f>VLOOKUP(B75,'75 - Summary Exhibit'!A:N,5,FALSE)</f>
        <v>63511</v>
      </c>
      <c r="H75" s="14">
        <f>VLOOKUP(B75,'75 - Summary Exhibit'!A:N,6,FALSE)</f>
        <v>0</v>
      </c>
      <c r="I75" s="11">
        <f>VLOOKUP(B75,'75 - Summary Exhibit'!A:N,7,FALSE)</f>
        <v>0</v>
      </c>
      <c r="J75" s="11">
        <f>VLOOKUP(B75,'75 - Summary Exhibit'!A:N,8,FALSE)</f>
        <v>0</v>
      </c>
      <c r="K75" s="11">
        <f>VLOOKUP(B75,'75 - Summary Exhibit'!A:N,9,FALSE)</f>
        <v>0</v>
      </c>
      <c r="L75" s="11">
        <f>VLOOKUP(B75,'75 - Summary Exhibit'!A:N,10,FALSE)</f>
        <v>0</v>
      </c>
      <c r="M75" s="11">
        <f>VLOOKUP(B75,'75 - Summary Exhibit'!A:N,11,FALSE)</f>
        <v>8745</v>
      </c>
      <c r="N75" s="11">
        <f>VLOOKUP(B75,'75 - Summary Exhibit'!A:N,12,FALSE)</f>
        <v>153945</v>
      </c>
      <c r="O75" s="11">
        <f>VLOOKUP(B75,'75 - Summary Exhibit'!A:N,13,FALSE)</f>
        <v>-2915</v>
      </c>
      <c r="P75" s="11">
        <f t="shared" si="20"/>
        <v>151030</v>
      </c>
      <c r="Q75" s="11">
        <f>VLOOKUP(B75,'75- Deferred Amortization'!A:G,3,FALSE)</f>
        <v>39453</v>
      </c>
      <c r="R75" s="11">
        <f>VLOOKUP(B75,'75- Deferred Amortization'!A:G,4,FALSE)</f>
        <v>39453</v>
      </c>
      <c r="S75" s="11">
        <f>VLOOKUP(B75,'75- Deferred Amortization'!A:G,5,FALSE)</f>
        <v>39438</v>
      </c>
      <c r="T75" s="11">
        <f>VLOOKUP(B75,'75- Deferred Amortization'!A:G,6,FALSE)</f>
        <v>15867</v>
      </c>
      <c r="U75" s="11">
        <f>VLOOKUP(B75,'75- Deferred Amortization'!A:G,7,FALSE)</f>
        <v>0</v>
      </c>
      <c r="V75" s="11">
        <f t="shared" si="21"/>
        <v>1</v>
      </c>
      <c r="W75" s="11">
        <f t="shared" si="22"/>
        <v>0</v>
      </c>
      <c r="X75">
        <v>2</v>
      </c>
      <c r="AC75" s="11">
        <f t="shared" si="23"/>
        <v>-280102</v>
      </c>
      <c r="AD75" s="14"/>
      <c r="AE75" s="14"/>
      <c r="AF75" s="14"/>
      <c r="AG75" s="11"/>
      <c r="AH75" s="11"/>
      <c r="AI75" s="11"/>
      <c r="AJ75" s="11"/>
      <c r="AK75" s="11"/>
      <c r="AM75" s="11">
        <f t="shared" si="18"/>
        <v>0</v>
      </c>
      <c r="AN75" s="11">
        <f t="shared" si="19"/>
        <v>8745</v>
      </c>
      <c r="AO75" s="14">
        <f t="shared" si="24"/>
        <v>79445</v>
      </c>
      <c r="AP75" s="11">
        <f t="shared" si="25"/>
        <v>0</v>
      </c>
      <c r="AQ75" s="14">
        <f t="shared" si="26"/>
        <v>0</v>
      </c>
      <c r="AR75" s="11">
        <f t="shared" si="27"/>
        <v>0</v>
      </c>
      <c r="AS75" s="11">
        <f t="shared" si="28"/>
        <v>-9650</v>
      </c>
      <c r="AU75" s="12">
        <f>VLOOKUP(B75,'Allocation Exhibit 2016-06-30'!A:D,4,FALSE)</f>
        <v>4.5104999999999998E-3</v>
      </c>
    </row>
    <row r="76" spans="1:47">
      <c r="A76" t="s">
        <v>109</v>
      </c>
      <c r="B76">
        <v>39605</v>
      </c>
      <c r="C76" s="11">
        <f>VLOOKUP(B76,'ER Contributions'!A:D,4,FALSE)</f>
        <v>52920</v>
      </c>
      <c r="D76" s="12">
        <f>VLOOKUP(B76,'ER Contributions'!A:D,3,FALSE)</f>
        <v>8.4079999999999995E-4</v>
      </c>
      <c r="E76" s="11">
        <f>VLOOKUP(B76,'75 - Summary Exhibit'!A:N,3,FALSE)</f>
        <v>-51390</v>
      </c>
      <c r="F76" s="14">
        <f>VLOOKUP(B76,'75 - Summary Exhibit'!A:N,4,FALSE)</f>
        <v>14090</v>
      </c>
      <c r="G76" s="14">
        <f>VLOOKUP(B76,'75 - Summary Exhibit'!A:N,5,FALSE)</f>
        <v>11264</v>
      </c>
      <c r="H76" s="14">
        <f>VLOOKUP(B76,'75 - Summary Exhibit'!A:N,6,FALSE)</f>
        <v>0</v>
      </c>
      <c r="I76" s="11">
        <f>VLOOKUP(B76,'75 - Summary Exhibit'!A:N,7,FALSE)</f>
        <v>735</v>
      </c>
      <c r="J76" s="11">
        <f>VLOOKUP(B76,'75 - Summary Exhibit'!A:N,8,FALSE)</f>
        <v>0</v>
      </c>
      <c r="K76" s="11">
        <f>VLOOKUP(B76,'75 - Summary Exhibit'!A:N,9,FALSE)</f>
        <v>0</v>
      </c>
      <c r="L76" s="11">
        <f>VLOOKUP(B76,'75 - Summary Exhibit'!A:N,10,FALSE)</f>
        <v>0</v>
      </c>
      <c r="M76" s="11">
        <f>VLOOKUP(B76,'75 - Summary Exhibit'!A:N,11,FALSE)</f>
        <v>0</v>
      </c>
      <c r="N76" s="11">
        <f>VLOOKUP(B76,'75 - Summary Exhibit'!A:N,12,FALSE)</f>
        <v>27303</v>
      </c>
      <c r="O76" s="11">
        <f>VLOOKUP(B76,'75 - Summary Exhibit'!A:N,13,FALSE)</f>
        <v>245</v>
      </c>
      <c r="P76" s="11">
        <f t="shared" si="20"/>
        <v>27548</v>
      </c>
      <c r="Q76" s="11">
        <f>VLOOKUP(B76,'75- Deferred Amortization'!A:G,3,FALSE)</f>
        <v>7759</v>
      </c>
      <c r="R76" s="11">
        <f>VLOOKUP(B76,'75- Deferred Amortization'!A:G,4,FALSE)</f>
        <v>7759</v>
      </c>
      <c r="S76" s="11">
        <f>VLOOKUP(B76,'75- Deferred Amortization'!A:G,5,FALSE)</f>
        <v>7757</v>
      </c>
      <c r="T76" s="11">
        <f>VLOOKUP(B76,'75- Deferred Amortization'!A:G,6,FALSE)</f>
        <v>2814</v>
      </c>
      <c r="U76" s="11">
        <f>VLOOKUP(B76,'75- Deferred Amortization'!A:G,7,FALSE)</f>
        <v>0</v>
      </c>
      <c r="V76" s="11">
        <f t="shared" si="21"/>
        <v>-1</v>
      </c>
      <c r="W76" s="11">
        <f t="shared" si="22"/>
        <v>0</v>
      </c>
      <c r="X76">
        <v>2</v>
      </c>
      <c r="AC76" s="11">
        <f t="shared" si="23"/>
        <v>-52108</v>
      </c>
      <c r="AD76" s="14"/>
      <c r="AE76" s="14"/>
      <c r="AF76" s="14"/>
      <c r="AG76" s="11"/>
      <c r="AH76" s="11"/>
      <c r="AI76" s="11"/>
      <c r="AJ76" s="11"/>
      <c r="AK76" s="11"/>
      <c r="AM76" s="11">
        <f t="shared" si="18"/>
        <v>735</v>
      </c>
      <c r="AN76" s="11">
        <f t="shared" si="19"/>
        <v>0</v>
      </c>
      <c r="AO76" s="14">
        <f t="shared" si="24"/>
        <v>14090</v>
      </c>
      <c r="AP76" s="11">
        <f t="shared" si="25"/>
        <v>0</v>
      </c>
      <c r="AQ76" s="14">
        <f t="shared" si="26"/>
        <v>0</v>
      </c>
      <c r="AR76" s="11">
        <f t="shared" si="27"/>
        <v>0</v>
      </c>
      <c r="AS76" s="11">
        <f t="shared" si="28"/>
        <v>718</v>
      </c>
      <c r="AU76" s="12">
        <f>VLOOKUP(B76,'Allocation Exhibit 2016-06-30'!A:D,4,FALSE)</f>
        <v>8.3909999999999996E-4</v>
      </c>
    </row>
    <row r="77" spans="1:47">
      <c r="A77" t="s">
        <v>60</v>
      </c>
      <c r="B77">
        <v>31205</v>
      </c>
      <c r="C77" s="11">
        <f>VLOOKUP(B77,'ER Contributions'!A:D,4,FALSE)</f>
        <v>32314</v>
      </c>
      <c r="D77" s="12">
        <f>VLOOKUP(B77,'ER Contributions'!A:D,3,FALSE)</f>
        <v>4.618E-4</v>
      </c>
      <c r="E77" s="11">
        <f>VLOOKUP(B77,'75 - Summary Exhibit'!A:N,3,FALSE)</f>
        <v>-28225</v>
      </c>
      <c r="F77" s="14">
        <f>VLOOKUP(B77,'75 - Summary Exhibit'!A:N,4,FALSE)</f>
        <v>7739</v>
      </c>
      <c r="G77" s="14">
        <f>VLOOKUP(B77,'75 - Summary Exhibit'!A:N,5,FALSE)</f>
        <v>6187</v>
      </c>
      <c r="H77" s="14">
        <f>VLOOKUP(B77,'75 - Summary Exhibit'!A:N,6,FALSE)</f>
        <v>0</v>
      </c>
      <c r="I77" s="11">
        <f>VLOOKUP(B77,'75 - Summary Exhibit'!A:N,7,FALSE)</f>
        <v>5100</v>
      </c>
      <c r="J77" s="11">
        <f>VLOOKUP(B77,'75 - Summary Exhibit'!A:N,8,FALSE)</f>
        <v>0</v>
      </c>
      <c r="K77" s="11">
        <f>VLOOKUP(B77,'75 - Summary Exhibit'!A:N,9,FALSE)</f>
        <v>0</v>
      </c>
      <c r="L77" s="11">
        <f>VLOOKUP(B77,'75 - Summary Exhibit'!A:N,10,FALSE)</f>
        <v>0</v>
      </c>
      <c r="M77" s="11">
        <f>VLOOKUP(B77,'75 - Summary Exhibit'!A:N,11,FALSE)</f>
        <v>0</v>
      </c>
      <c r="N77" s="11">
        <f>VLOOKUP(B77,'75 - Summary Exhibit'!A:N,12,FALSE)</f>
        <v>14996</v>
      </c>
      <c r="O77" s="11">
        <f>VLOOKUP(B77,'75 - Summary Exhibit'!A:N,13,FALSE)</f>
        <v>1700</v>
      </c>
      <c r="P77" s="11">
        <f t="shared" si="20"/>
        <v>16696</v>
      </c>
      <c r="Q77" s="11">
        <f>VLOOKUP(B77,'75- Deferred Amortization'!A:G,3,FALSE)</f>
        <v>5827</v>
      </c>
      <c r="R77" s="11">
        <f>VLOOKUP(B77,'75- Deferred Amortization'!A:G,4,FALSE)</f>
        <v>5827</v>
      </c>
      <c r="S77" s="11">
        <f>VLOOKUP(B77,'75- Deferred Amortization'!A:G,5,FALSE)</f>
        <v>5826</v>
      </c>
      <c r="T77" s="11">
        <f>VLOOKUP(B77,'75- Deferred Amortization'!A:G,6,FALSE)</f>
        <v>1546</v>
      </c>
      <c r="U77" s="11">
        <f>VLOOKUP(B77,'75- Deferred Amortization'!A:G,7,FALSE)</f>
        <v>0</v>
      </c>
      <c r="V77" s="11">
        <f t="shared" si="21"/>
        <v>-1</v>
      </c>
      <c r="W77" s="11">
        <f t="shared" si="22"/>
        <v>0</v>
      </c>
      <c r="X77">
        <v>2</v>
      </c>
      <c r="AC77" s="11">
        <f t="shared" si="23"/>
        <v>-31634</v>
      </c>
      <c r="AD77" s="14"/>
      <c r="AE77" s="14"/>
      <c r="AF77" s="14"/>
      <c r="AG77" s="11"/>
      <c r="AH77" s="11"/>
      <c r="AI77" s="11"/>
      <c r="AJ77" s="11"/>
      <c r="AK77" s="11"/>
      <c r="AM77" s="11">
        <f>I77-AG77</f>
        <v>5100</v>
      </c>
      <c r="AN77" s="11">
        <f>M77-AK77</f>
        <v>0</v>
      </c>
      <c r="AO77" s="14">
        <f t="shared" si="24"/>
        <v>7739</v>
      </c>
      <c r="AP77" s="11">
        <f t="shared" si="25"/>
        <v>0</v>
      </c>
      <c r="AQ77" s="14">
        <f t="shared" si="26"/>
        <v>0</v>
      </c>
      <c r="AR77" s="11">
        <f t="shared" si="27"/>
        <v>0</v>
      </c>
      <c r="AS77" s="11">
        <f t="shared" si="28"/>
        <v>3409</v>
      </c>
      <c r="AU77" s="12">
        <f>VLOOKUP(B77,'Allocation Exhibit 2016-06-30'!A:D,4,FALSE)</f>
        <v>5.0940000000000002E-4</v>
      </c>
    </row>
    <row r="78" spans="1:47">
      <c r="A78" t="s">
        <v>110</v>
      </c>
      <c r="B78">
        <v>39705</v>
      </c>
      <c r="C78" s="11">
        <f>VLOOKUP(B78,'ER Contributions'!A:D,4,FALSE)</f>
        <v>51964</v>
      </c>
      <c r="D78" s="12">
        <f>VLOOKUP(B78,'ER Contributions'!A:D,3,FALSE)</f>
        <v>7.8140000000000002E-4</v>
      </c>
      <c r="E78" s="11">
        <f>VLOOKUP(B78,'75 - Summary Exhibit'!A:N,3,FALSE)</f>
        <v>-47759</v>
      </c>
      <c r="F78" s="14">
        <f>VLOOKUP(B78,'75 - Summary Exhibit'!A:N,4,FALSE)</f>
        <v>13095</v>
      </c>
      <c r="G78" s="14">
        <f>VLOOKUP(B78,'75 - Summary Exhibit'!A:N,5,FALSE)</f>
        <v>10468</v>
      </c>
      <c r="H78" s="14">
        <f>VLOOKUP(B78,'75 - Summary Exhibit'!A:N,6,FALSE)</f>
        <v>0</v>
      </c>
      <c r="I78" s="11">
        <f>VLOOKUP(B78,'75 - Summary Exhibit'!A:N,7,FALSE)</f>
        <v>3455</v>
      </c>
      <c r="J78" s="11">
        <f>VLOOKUP(B78,'75 - Summary Exhibit'!A:N,8,FALSE)</f>
        <v>0</v>
      </c>
      <c r="K78" s="11">
        <f>VLOOKUP(B78,'75 - Summary Exhibit'!A:N,9,FALSE)</f>
        <v>0</v>
      </c>
      <c r="L78" s="11">
        <f>VLOOKUP(B78,'75 - Summary Exhibit'!A:N,10,FALSE)</f>
        <v>0</v>
      </c>
      <c r="M78" s="11">
        <f>VLOOKUP(B78,'75 - Summary Exhibit'!A:N,11,FALSE)</f>
        <v>0</v>
      </c>
      <c r="N78" s="11">
        <f>VLOOKUP(B78,'75 - Summary Exhibit'!A:N,12,FALSE)</f>
        <v>25374</v>
      </c>
      <c r="O78" s="11">
        <f>VLOOKUP(B78,'75 - Summary Exhibit'!A:N,13,FALSE)</f>
        <v>1152</v>
      </c>
      <c r="P78" s="11">
        <f t="shared" si="20"/>
        <v>26526</v>
      </c>
      <c r="Q78" s="11">
        <f>VLOOKUP(B78,'75- Deferred Amortization'!A:G,3,FALSE)</f>
        <v>8135</v>
      </c>
      <c r="R78" s="11">
        <f>VLOOKUP(B78,'75- Deferred Amortization'!A:G,4,FALSE)</f>
        <v>8135</v>
      </c>
      <c r="S78" s="11">
        <f>VLOOKUP(B78,'75- Deferred Amortization'!A:G,5,FALSE)</f>
        <v>8133</v>
      </c>
      <c r="T78" s="11">
        <f>VLOOKUP(B78,'75- Deferred Amortization'!A:G,6,FALSE)</f>
        <v>2615</v>
      </c>
      <c r="U78" s="11">
        <f>VLOOKUP(B78,'75- Deferred Amortization'!A:G,7,FALSE)</f>
        <v>0</v>
      </c>
      <c r="V78" s="11">
        <f t="shared" si="21"/>
        <v>1</v>
      </c>
      <c r="W78" s="11">
        <f t="shared" si="22"/>
        <v>0</v>
      </c>
      <c r="X78">
        <v>2</v>
      </c>
      <c r="AC78" s="11">
        <f t="shared" si="23"/>
        <v>-49338</v>
      </c>
      <c r="AD78" s="14"/>
      <c r="AE78" s="14"/>
      <c r="AF78" s="14"/>
      <c r="AG78" s="11"/>
      <c r="AH78" s="11"/>
      <c r="AI78" s="11"/>
      <c r="AJ78" s="11"/>
      <c r="AK78" s="11"/>
      <c r="AM78" s="11">
        <f t="shared" ref="AM78:AM80" si="29">I78-AG78</f>
        <v>3455</v>
      </c>
      <c r="AN78" s="11">
        <f t="shared" ref="AN78:AN80" si="30">M78-AK78</f>
        <v>0</v>
      </c>
      <c r="AO78" s="14">
        <f t="shared" si="24"/>
        <v>13095</v>
      </c>
      <c r="AP78" s="11">
        <f t="shared" si="25"/>
        <v>0</v>
      </c>
      <c r="AQ78" s="14">
        <f t="shared" si="26"/>
        <v>0</v>
      </c>
      <c r="AR78" s="11">
        <f t="shared" si="27"/>
        <v>0</v>
      </c>
      <c r="AS78" s="11">
        <f t="shared" si="28"/>
        <v>1579</v>
      </c>
      <c r="AU78" s="12">
        <f>VLOOKUP(B78,'Allocation Exhibit 2016-06-30'!A:D,4,FALSE)</f>
        <v>7.9449999999999996E-4</v>
      </c>
    </row>
    <row r="79" spans="1:47">
      <c r="A79" t="s">
        <v>111</v>
      </c>
      <c r="B79">
        <v>39805</v>
      </c>
      <c r="C79" s="11">
        <f>VLOOKUP(B79,'ER Contributions'!A:D,4,FALSE)</f>
        <v>29084</v>
      </c>
      <c r="D79" s="12">
        <f>VLOOKUP(B79,'ER Contributions'!A:D,3,FALSE)</f>
        <v>4.4000000000000002E-4</v>
      </c>
      <c r="E79" s="11">
        <f>VLOOKUP(B79,'75 - Summary Exhibit'!A:N,3,FALSE)</f>
        <v>-26893</v>
      </c>
      <c r="F79" s="14">
        <f>VLOOKUP(B79,'75 - Summary Exhibit'!A:N,4,FALSE)</f>
        <v>7374</v>
      </c>
      <c r="G79" s="14">
        <f>VLOOKUP(B79,'75 - Summary Exhibit'!A:N,5,FALSE)</f>
        <v>5895</v>
      </c>
      <c r="H79" s="14">
        <f>VLOOKUP(B79,'75 - Summary Exhibit'!A:N,6,FALSE)</f>
        <v>0</v>
      </c>
      <c r="I79" s="11">
        <f>VLOOKUP(B79,'75 - Summary Exhibit'!A:N,7,FALSE)</f>
        <v>887</v>
      </c>
      <c r="J79" s="11">
        <f>VLOOKUP(B79,'75 - Summary Exhibit'!A:N,8,FALSE)</f>
        <v>0</v>
      </c>
      <c r="K79" s="11">
        <f>VLOOKUP(B79,'75 - Summary Exhibit'!A:N,9,FALSE)</f>
        <v>0</v>
      </c>
      <c r="L79" s="11">
        <f>VLOOKUP(B79,'75 - Summary Exhibit'!A:N,10,FALSE)</f>
        <v>0</v>
      </c>
      <c r="M79" s="11">
        <f>VLOOKUP(B79,'75 - Summary Exhibit'!A:N,11,FALSE)</f>
        <v>0</v>
      </c>
      <c r="N79" s="11">
        <f>VLOOKUP(B79,'75 - Summary Exhibit'!A:N,12,FALSE)</f>
        <v>14288</v>
      </c>
      <c r="O79" s="11">
        <f>VLOOKUP(B79,'75 - Summary Exhibit'!A:N,13,FALSE)</f>
        <v>296</v>
      </c>
      <c r="P79" s="11">
        <f t="shared" si="20"/>
        <v>14584</v>
      </c>
      <c r="Q79" s="11">
        <f>VLOOKUP(B79,'75- Deferred Amortization'!A:G,3,FALSE)</f>
        <v>4228</v>
      </c>
      <c r="R79" s="11">
        <f>VLOOKUP(B79,'75- Deferred Amortization'!A:G,4,FALSE)</f>
        <v>4228</v>
      </c>
      <c r="S79" s="11">
        <f>VLOOKUP(B79,'75- Deferred Amortization'!A:G,5,FALSE)</f>
        <v>4227</v>
      </c>
      <c r="T79" s="11">
        <f>VLOOKUP(B79,'75- Deferred Amortization'!A:G,6,FALSE)</f>
        <v>1473</v>
      </c>
      <c r="U79" s="11">
        <f>VLOOKUP(B79,'75- Deferred Amortization'!A:G,7,FALSE)</f>
        <v>0</v>
      </c>
      <c r="V79" s="11">
        <f t="shared" si="21"/>
        <v>1</v>
      </c>
      <c r="W79" s="11">
        <f t="shared" si="22"/>
        <v>0</v>
      </c>
      <c r="X79">
        <v>2</v>
      </c>
      <c r="AC79" s="11">
        <f t="shared" si="23"/>
        <v>-26548</v>
      </c>
      <c r="AD79" s="14"/>
      <c r="AE79" s="14"/>
      <c r="AF79" s="14"/>
      <c r="AG79" s="11"/>
      <c r="AH79" s="11"/>
      <c r="AI79" s="11"/>
      <c r="AJ79" s="11"/>
      <c r="AK79" s="11"/>
      <c r="AM79" s="11">
        <f t="shared" si="29"/>
        <v>887</v>
      </c>
      <c r="AN79" s="11">
        <f t="shared" si="30"/>
        <v>0</v>
      </c>
      <c r="AO79" s="14">
        <f t="shared" si="24"/>
        <v>7374</v>
      </c>
      <c r="AP79" s="11">
        <f t="shared" si="25"/>
        <v>0</v>
      </c>
      <c r="AQ79" s="14">
        <f t="shared" si="26"/>
        <v>0</v>
      </c>
      <c r="AR79" s="11">
        <f t="shared" si="27"/>
        <v>0</v>
      </c>
      <c r="AS79" s="11">
        <f t="shared" si="28"/>
        <v>-345</v>
      </c>
      <c r="AU79" s="12">
        <f>VLOOKUP(B79,'Allocation Exhibit 2016-06-30'!A:D,4,FALSE)</f>
        <v>4.2749999999999998E-4</v>
      </c>
    </row>
    <row r="80" spans="1:47">
      <c r="A80" t="s">
        <v>112</v>
      </c>
      <c r="B80">
        <v>11310</v>
      </c>
      <c r="C80" s="11">
        <f>VLOOKUP(B80,'ER Contributions'!A:D,4,FALSE)</f>
        <v>32828</v>
      </c>
      <c r="D80" s="12">
        <f>VLOOKUP(B80,'ER Contributions'!A:D,3,FALSE)</f>
        <v>4.4979999999999998E-4</v>
      </c>
      <c r="E80" s="11">
        <f>VLOOKUP(B80,'75 - Summary Exhibit'!A:N,3,FALSE)</f>
        <v>-27492</v>
      </c>
      <c r="F80" s="14">
        <f>VLOOKUP(B80,'75 - Summary Exhibit'!A:N,4,FALSE)</f>
        <v>7538</v>
      </c>
      <c r="G80" s="14">
        <f>VLOOKUP(B80,'75 - Summary Exhibit'!A:N,5,FALSE)</f>
        <v>6026</v>
      </c>
      <c r="H80" s="14">
        <f>VLOOKUP(B80,'75 - Summary Exhibit'!A:N,6,FALSE)</f>
        <v>0</v>
      </c>
      <c r="I80" s="11">
        <f>VLOOKUP(B80,'75 - Summary Exhibit'!A:N,7,FALSE)</f>
        <v>3060</v>
      </c>
      <c r="J80" s="11">
        <f>VLOOKUP(B80,'75 - Summary Exhibit'!A:N,8,FALSE)</f>
        <v>0</v>
      </c>
      <c r="K80" s="11">
        <f>VLOOKUP(B80,'75 - Summary Exhibit'!A:N,9,FALSE)</f>
        <v>0</v>
      </c>
      <c r="L80" s="11">
        <f>VLOOKUP(B80,'75 - Summary Exhibit'!A:N,10,FALSE)</f>
        <v>0</v>
      </c>
      <c r="M80" s="11">
        <f>VLOOKUP(B80,'75 - Summary Exhibit'!A:N,11,FALSE)</f>
        <v>0</v>
      </c>
      <c r="N80" s="11">
        <f>VLOOKUP(B80,'75 - Summary Exhibit'!A:N,12,FALSE)</f>
        <v>14606</v>
      </c>
      <c r="O80" s="11">
        <f>VLOOKUP(B80,'75 - Summary Exhibit'!A:N,13,FALSE)</f>
        <v>1020</v>
      </c>
      <c r="P80" s="11">
        <f t="shared" si="20"/>
        <v>15626</v>
      </c>
      <c r="Q80" s="11">
        <f>VLOOKUP(B80,'75- Deferred Amortization'!A:G,3,FALSE)</f>
        <v>5040</v>
      </c>
      <c r="R80" s="11">
        <f>VLOOKUP(B80,'75- Deferred Amortization'!A:G,4,FALSE)</f>
        <v>5040</v>
      </c>
      <c r="S80" s="11">
        <f>VLOOKUP(B80,'75- Deferred Amortization'!A:G,5,FALSE)</f>
        <v>5039</v>
      </c>
      <c r="T80" s="11">
        <f>VLOOKUP(B80,'75- Deferred Amortization'!A:G,6,FALSE)</f>
        <v>1505</v>
      </c>
      <c r="U80" s="11">
        <f>VLOOKUP(B80,'75- Deferred Amortization'!A:G,7,FALSE)</f>
        <v>0</v>
      </c>
      <c r="V80" s="11">
        <f t="shared" si="21"/>
        <v>0</v>
      </c>
      <c r="W80" s="11">
        <f t="shared" si="22"/>
        <v>0</v>
      </c>
      <c r="X80">
        <v>3</v>
      </c>
      <c r="AC80" s="11">
        <f t="shared" si="23"/>
        <v>-26914</v>
      </c>
      <c r="AD80" s="14"/>
      <c r="AE80" s="14"/>
      <c r="AF80" s="14"/>
      <c r="AG80" s="11"/>
      <c r="AH80" s="11"/>
      <c r="AI80" s="11"/>
      <c r="AJ80" s="11"/>
      <c r="AK80" s="11"/>
      <c r="AM80" s="11">
        <f t="shared" si="29"/>
        <v>3060</v>
      </c>
      <c r="AN80" s="11">
        <f t="shared" si="30"/>
        <v>0</v>
      </c>
      <c r="AO80" s="14">
        <f t="shared" si="24"/>
        <v>7538</v>
      </c>
      <c r="AP80" s="11">
        <f t="shared" si="25"/>
        <v>0</v>
      </c>
      <c r="AQ80" s="14">
        <f t="shared" si="26"/>
        <v>0</v>
      </c>
      <c r="AR80" s="11">
        <f t="shared" si="27"/>
        <v>0</v>
      </c>
      <c r="AS80" s="11">
        <f t="shared" si="28"/>
        <v>-578</v>
      </c>
      <c r="AU80" s="12">
        <f>VLOOKUP(B80,'Allocation Exhibit 2016-06-30'!A:D,4,FALSE)</f>
        <v>4.3340000000000002E-4</v>
      </c>
    </row>
    <row r="81" spans="1:47" s="169" customFormat="1">
      <c r="A81" s="172" t="s">
        <v>166</v>
      </c>
      <c r="B81" s="173">
        <v>14300.2</v>
      </c>
      <c r="C81" s="174">
        <f>VLOOKUP(B81,'ER Contributions'!A:D,4,FALSE)</f>
        <v>12427</v>
      </c>
      <c r="D81" s="176">
        <f>VLOOKUP(B81,'ER Contributions'!A:D,3,FALSE)</f>
        <v>1.706E-4</v>
      </c>
      <c r="E81" s="174">
        <f>VLOOKUP(B81,'75 - Summary Exhibit'!A:N,3,FALSE)</f>
        <v>-10427</v>
      </c>
      <c r="F81" s="175">
        <f>VLOOKUP(B81,'75 - Summary Exhibit'!A:N,4,FALSE)</f>
        <v>2859</v>
      </c>
      <c r="G81" s="175">
        <f>VLOOKUP(B81,'75 - Summary Exhibit'!A:N,5,FALSE)</f>
        <v>2286</v>
      </c>
      <c r="H81" s="175">
        <f>VLOOKUP(B81,'75 - Summary Exhibit'!A:N,6,FALSE)</f>
        <v>0</v>
      </c>
      <c r="I81" s="174">
        <f>VLOOKUP(B81,'75 - Summary Exhibit'!A:N,7,FALSE)</f>
        <v>389</v>
      </c>
      <c r="J81" s="174">
        <f>VLOOKUP(B81,'75 - Summary Exhibit'!A:N,8,FALSE)</f>
        <v>0</v>
      </c>
      <c r="K81" s="174">
        <f>VLOOKUP(B81,'75 - Summary Exhibit'!A:N,9,FALSE)</f>
        <v>0</v>
      </c>
      <c r="L81" s="174">
        <f>VLOOKUP(B81,'75 - Summary Exhibit'!A:N,10,FALSE)</f>
        <v>0</v>
      </c>
      <c r="M81" s="174">
        <f>VLOOKUP(B81,'75 - Summary Exhibit'!A:N,11,FALSE)</f>
        <v>0</v>
      </c>
      <c r="N81" s="174">
        <f>VLOOKUP(B81,'75 - Summary Exhibit'!A:N,12,FALSE)</f>
        <v>5540</v>
      </c>
      <c r="O81" s="174">
        <f>VLOOKUP(B81,'75 - Summary Exhibit'!A:N,13,FALSE)</f>
        <v>130</v>
      </c>
      <c r="P81" s="174">
        <f t="shared" ref="P81:P85" si="31">N81+O81</f>
        <v>5670</v>
      </c>
      <c r="Q81" s="174">
        <f>VLOOKUP(B81,'75- Deferred Amortization'!A:G,3,FALSE)</f>
        <v>1654</v>
      </c>
      <c r="R81" s="174">
        <f>VLOOKUP(B81,'75- Deferred Amortization'!A:G,4,FALSE)</f>
        <v>1654</v>
      </c>
      <c r="S81" s="174">
        <f>VLOOKUP(B81,'75- Deferred Amortization'!A:G,5,FALSE)</f>
        <v>1654</v>
      </c>
      <c r="T81" s="174">
        <f>VLOOKUP(B81,'75- Deferred Amortization'!A:G,6,FALSE)</f>
        <v>571</v>
      </c>
      <c r="U81" s="174">
        <f>VLOOKUP(B81,'75- Deferred Amortization'!A:G,7,FALSE)</f>
        <v>0</v>
      </c>
      <c r="V81" s="174">
        <f t="shared" si="21"/>
        <v>1</v>
      </c>
      <c r="W81" s="174">
        <f t="shared" ref="W81:W85" si="32">ROUND((F81+G81+H81+I81-J81-K81-L81-M81-Q81-R81-S81-T81-U81),0)</f>
        <v>1</v>
      </c>
      <c r="X81" s="173">
        <v>3</v>
      </c>
      <c r="Y81" s="173"/>
      <c r="Z81" s="173"/>
      <c r="AA81" s="173"/>
      <c r="AB81" s="173"/>
      <c r="AC81" s="174">
        <f t="shared" si="23"/>
        <v>-9203</v>
      </c>
      <c r="AD81" s="175"/>
      <c r="AE81" s="175"/>
      <c r="AF81" s="175"/>
      <c r="AG81" s="174"/>
      <c r="AH81" s="174"/>
      <c r="AI81" s="174"/>
      <c r="AJ81" s="174"/>
      <c r="AK81" s="174"/>
      <c r="AL81" s="173"/>
      <c r="AM81" s="174">
        <f>I81-AG81</f>
        <v>389</v>
      </c>
      <c r="AN81" s="174">
        <f>M81-AK81</f>
        <v>0</v>
      </c>
      <c r="AO81" s="175">
        <f t="shared" si="24"/>
        <v>2859</v>
      </c>
      <c r="AP81" s="174">
        <f t="shared" si="25"/>
        <v>0</v>
      </c>
      <c r="AQ81" s="175">
        <f t="shared" si="26"/>
        <v>0</v>
      </c>
      <c r="AR81" s="174">
        <f t="shared" si="27"/>
        <v>0</v>
      </c>
      <c r="AS81" s="174">
        <f t="shared" si="28"/>
        <v>-1224</v>
      </c>
      <c r="AU81" s="12">
        <f>VLOOKUP(B81,'Allocation Exhibit 2016-06-30'!A:D,4,FALSE)</f>
        <v>1.482E-4</v>
      </c>
    </row>
    <row r="82" spans="1:47" s="169" customFormat="1">
      <c r="A82" s="172" t="s">
        <v>160</v>
      </c>
      <c r="B82" s="173">
        <v>21525</v>
      </c>
      <c r="C82" s="174">
        <f>VLOOKUP(B82,'ER Contributions'!A:D,4,FALSE)</f>
        <v>109280</v>
      </c>
      <c r="D82" s="176">
        <f>VLOOKUP(B82,'ER Contributions'!A:D,3,FALSE)</f>
        <v>1.7635999999999999E-3</v>
      </c>
      <c r="E82" s="174">
        <f>VLOOKUP(B82,'75 - Summary Exhibit'!A:N,3,FALSE)</f>
        <v>-107791</v>
      </c>
      <c r="F82" s="175">
        <f>VLOOKUP(B82,'75 - Summary Exhibit'!A:N,4,FALSE)</f>
        <v>29554</v>
      </c>
      <c r="G82" s="175">
        <f>VLOOKUP(B82,'75 - Summary Exhibit'!A:N,5,FALSE)</f>
        <v>23627</v>
      </c>
      <c r="H82" s="175">
        <f>VLOOKUP(B82,'75 - Summary Exhibit'!A:N,6,FALSE)</f>
        <v>0</v>
      </c>
      <c r="I82" s="174">
        <f>VLOOKUP(B82,'75 - Summary Exhibit'!A:N,7,FALSE)</f>
        <v>0</v>
      </c>
      <c r="J82" s="174">
        <f>VLOOKUP(B82,'75 - Summary Exhibit'!A:N,8,FALSE)</f>
        <v>0</v>
      </c>
      <c r="K82" s="174">
        <f>VLOOKUP(B82,'75 - Summary Exhibit'!A:N,9,FALSE)</f>
        <v>0</v>
      </c>
      <c r="L82" s="174">
        <f>VLOOKUP(B82,'75 - Summary Exhibit'!A:N,10,FALSE)</f>
        <v>0</v>
      </c>
      <c r="M82" s="174">
        <f>VLOOKUP(B82,'75 - Summary Exhibit'!A:N,11,FALSE)</f>
        <v>4230</v>
      </c>
      <c r="N82" s="174">
        <f>VLOOKUP(B82,'75 - Summary Exhibit'!A:N,12,FALSE)</f>
        <v>57269</v>
      </c>
      <c r="O82" s="174">
        <f>VLOOKUP(B82,'75 - Summary Exhibit'!A:N,13,FALSE)</f>
        <v>-1410</v>
      </c>
      <c r="P82" s="174">
        <f t="shared" si="31"/>
        <v>55859</v>
      </c>
      <c r="Q82" s="174">
        <f>VLOOKUP(B82,'75- Deferred Amortization'!A:G,3,FALSE)</f>
        <v>14351</v>
      </c>
      <c r="R82" s="174">
        <f>VLOOKUP(B82,'75- Deferred Amortization'!A:G,4,FALSE)</f>
        <v>14351</v>
      </c>
      <c r="S82" s="174">
        <f>VLOOKUP(B82,'75- Deferred Amortization'!A:G,5,FALSE)</f>
        <v>14346</v>
      </c>
      <c r="T82" s="174">
        <f>VLOOKUP(B82,'75- Deferred Amortization'!A:G,6,FALSE)</f>
        <v>5903</v>
      </c>
      <c r="U82" s="174">
        <f>VLOOKUP(B82,'75- Deferred Amortization'!A:G,7,FALSE)</f>
        <v>0</v>
      </c>
      <c r="V82" s="174">
        <f t="shared" si="21"/>
        <v>-1</v>
      </c>
      <c r="W82" s="174">
        <f t="shared" si="32"/>
        <v>0</v>
      </c>
      <c r="X82" s="175">
        <v>1</v>
      </c>
      <c r="Y82" s="207"/>
      <c r="Z82" s="173"/>
      <c r="AA82" s="173"/>
      <c r="AB82" s="173"/>
      <c r="AC82" s="174">
        <f t="shared" si="23"/>
        <v>-103322</v>
      </c>
      <c r="AD82" s="175"/>
      <c r="AE82" s="175"/>
      <c r="AF82" s="175"/>
      <c r="AG82" s="174"/>
      <c r="AH82" s="174"/>
      <c r="AI82" s="174"/>
      <c r="AJ82" s="174"/>
      <c r="AK82" s="174"/>
      <c r="AL82" s="173"/>
      <c r="AM82" s="174">
        <f>I82-AG82</f>
        <v>0</v>
      </c>
      <c r="AN82" s="174">
        <f>M82-AK82</f>
        <v>4230</v>
      </c>
      <c r="AO82" s="175">
        <f t="shared" si="24"/>
        <v>29554</v>
      </c>
      <c r="AP82" s="174">
        <f t="shared" si="25"/>
        <v>0</v>
      </c>
      <c r="AQ82" s="175">
        <f t="shared" si="26"/>
        <v>0</v>
      </c>
      <c r="AR82" s="174">
        <f t="shared" si="27"/>
        <v>0</v>
      </c>
      <c r="AS82" s="174">
        <f t="shared" si="28"/>
        <v>-4469</v>
      </c>
      <c r="AU82" s="12">
        <f>VLOOKUP(B82,'Allocation Exhibit 2016-06-30'!A:D,4,FALSE)</f>
        <v>1.6638E-3</v>
      </c>
    </row>
    <row r="83" spans="1:47" s="169" customFormat="1">
      <c r="A83" s="172" t="s">
        <v>159</v>
      </c>
      <c r="B83" s="173">
        <v>21525.200000000001</v>
      </c>
      <c r="C83" s="174">
        <f>VLOOKUP(B83,'ER Contributions'!A:D,4,FALSE)</f>
        <v>11966</v>
      </c>
      <c r="D83" s="176">
        <f>VLOOKUP(B83,'ER Contributions'!A:D,3,FALSE)</f>
        <v>1.172E-4</v>
      </c>
      <c r="E83" s="174">
        <f>VLOOKUP(B83,'75 - Summary Exhibit'!A:N,3,FALSE)</f>
        <v>-7163</v>
      </c>
      <c r="F83" s="175">
        <f>VLOOKUP(B83,'75 - Summary Exhibit'!A:N,4,FALSE)</f>
        <v>1964</v>
      </c>
      <c r="G83" s="175">
        <f>VLOOKUP(B83,'75 - Summary Exhibit'!A:N,5,FALSE)</f>
        <v>1570</v>
      </c>
      <c r="H83" s="175">
        <f>VLOOKUP(B83,'75 - Summary Exhibit'!A:N,6,FALSE)</f>
        <v>0</v>
      </c>
      <c r="I83" s="174">
        <f>VLOOKUP(B83,'75 - Summary Exhibit'!A:N,7,FALSE)</f>
        <v>2950</v>
      </c>
      <c r="J83" s="174">
        <f>VLOOKUP(B83,'75 - Summary Exhibit'!A:N,8,FALSE)</f>
        <v>0</v>
      </c>
      <c r="K83" s="174">
        <f>VLOOKUP(B83,'75 - Summary Exhibit'!A:N,9,FALSE)</f>
        <v>0</v>
      </c>
      <c r="L83" s="174">
        <f>VLOOKUP(B83,'75 - Summary Exhibit'!A:N,10,FALSE)</f>
        <v>0</v>
      </c>
      <c r="M83" s="174">
        <f>VLOOKUP(B83,'75 - Summary Exhibit'!A:N,11,FALSE)</f>
        <v>0</v>
      </c>
      <c r="N83" s="174">
        <f>VLOOKUP(B83,'75 - Summary Exhibit'!A:N,12,FALSE)</f>
        <v>3806</v>
      </c>
      <c r="O83" s="174">
        <f>VLOOKUP(B83,'75 - Summary Exhibit'!A:N,13,FALSE)</f>
        <v>983</v>
      </c>
      <c r="P83" s="174">
        <f t="shared" si="31"/>
        <v>4789</v>
      </c>
      <c r="Q83" s="174">
        <f>VLOOKUP(B83,'75- Deferred Amortization'!A:G,3,FALSE)</f>
        <v>2031</v>
      </c>
      <c r="R83" s="174">
        <f>VLOOKUP(B83,'75- Deferred Amortization'!A:G,4,FALSE)</f>
        <v>2031</v>
      </c>
      <c r="S83" s="174">
        <f>VLOOKUP(B83,'75- Deferred Amortization'!A:G,5,FALSE)</f>
        <v>2030</v>
      </c>
      <c r="T83" s="174">
        <f>VLOOKUP(B83,'75- Deferred Amortization'!A:G,6,FALSE)</f>
        <v>392</v>
      </c>
      <c r="U83" s="174">
        <f>VLOOKUP(B83,'75- Deferred Amortization'!A:G,7,FALSE)</f>
        <v>0</v>
      </c>
      <c r="V83" s="174">
        <f t="shared" si="21"/>
        <v>-1</v>
      </c>
      <c r="W83" s="174">
        <f t="shared" si="32"/>
        <v>0</v>
      </c>
      <c r="X83" s="173">
        <v>3</v>
      </c>
      <c r="Y83" s="207"/>
      <c r="Z83" s="173"/>
      <c r="AA83" s="173"/>
      <c r="AB83" s="173"/>
      <c r="AC83" s="174">
        <f t="shared" si="23"/>
        <v>-6471</v>
      </c>
      <c r="AD83" s="175"/>
      <c r="AE83" s="175"/>
      <c r="AF83" s="175"/>
      <c r="AG83" s="174"/>
      <c r="AH83" s="174"/>
      <c r="AI83" s="174"/>
      <c r="AJ83" s="174"/>
      <c r="AK83" s="174"/>
      <c r="AL83" s="173"/>
      <c r="AM83" s="174">
        <f>I83-AG83</f>
        <v>2950</v>
      </c>
      <c r="AN83" s="174">
        <f>M83-AK83</f>
        <v>0</v>
      </c>
      <c r="AO83" s="175">
        <f t="shared" si="24"/>
        <v>1964</v>
      </c>
      <c r="AP83" s="174">
        <f t="shared" si="25"/>
        <v>0</v>
      </c>
      <c r="AQ83" s="175">
        <f t="shared" si="26"/>
        <v>0</v>
      </c>
      <c r="AR83" s="174">
        <f t="shared" si="27"/>
        <v>0</v>
      </c>
      <c r="AS83" s="174">
        <f t="shared" si="28"/>
        <v>-692</v>
      </c>
      <c r="AU83" s="12">
        <f>VLOOKUP(B83,'Allocation Exhibit 2016-06-30'!A:D,4,FALSE)</f>
        <v>1.042E-4</v>
      </c>
    </row>
    <row r="84" spans="1:47" s="169" customFormat="1">
      <c r="A84" s="172" t="s">
        <v>168</v>
      </c>
      <c r="B84" s="173">
        <v>51000.2</v>
      </c>
      <c r="C84" s="174">
        <f>VLOOKUP(B84,'ER Contributions'!A:D,4,FALSE)</f>
        <v>1736</v>
      </c>
      <c r="D84" s="176">
        <f>VLOOKUP(B84,'ER Contributions'!A:D,3,FALSE)</f>
        <v>1.63E-5</v>
      </c>
      <c r="E84" s="174">
        <f>VLOOKUP(B84,'75 - Summary Exhibit'!A:N,3,FALSE)</f>
        <v>-996</v>
      </c>
      <c r="F84" s="175">
        <f>VLOOKUP(B84,'75 - Summary Exhibit'!A:N,4,FALSE)</f>
        <v>273</v>
      </c>
      <c r="G84" s="175">
        <f>VLOOKUP(B84,'75 - Summary Exhibit'!A:N,5,FALSE)</f>
        <v>218</v>
      </c>
      <c r="H84" s="175">
        <f>VLOOKUP(B84,'75 - Summary Exhibit'!A:N,6,FALSE)</f>
        <v>0</v>
      </c>
      <c r="I84" s="174">
        <f>VLOOKUP(B84,'75 - Summary Exhibit'!A:N,7,FALSE)</f>
        <v>697</v>
      </c>
      <c r="J84" s="174">
        <f>VLOOKUP(B84,'75 - Summary Exhibit'!A:N,8,FALSE)</f>
        <v>0</v>
      </c>
      <c r="K84" s="174">
        <f>VLOOKUP(B84,'75 - Summary Exhibit'!A:N,9,FALSE)</f>
        <v>0</v>
      </c>
      <c r="L84" s="174">
        <f>VLOOKUP(B84,'75 - Summary Exhibit'!A:N,10,FALSE)</f>
        <v>0</v>
      </c>
      <c r="M84" s="174">
        <f>VLOOKUP(B84,'75 - Summary Exhibit'!A:N,11,FALSE)</f>
        <v>0</v>
      </c>
      <c r="N84" s="174">
        <f>VLOOKUP(B84,'75 - Summary Exhibit'!A:N,12,FALSE)</f>
        <v>529</v>
      </c>
      <c r="O84" s="174">
        <f>VLOOKUP(B84,'75 - Summary Exhibit'!A:N,13,FALSE)</f>
        <v>232</v>
      </c>
      <c r="P84" s="174">
        <f t="shared" si="31"/>
        <v>761</v>
      </c>
      <c r="Q84" s="174">
        <f>VLOOKUP(B84,'75- Deferred Amortization'!A:G,3,FALSE)</f>
        <v>378</v>
      </c>
      <c r="R84" s="174">
        <f>VLOOKUP(B84,'75- Deferred Amortization'!A:G,4,FALSE)</f>
        <v>378</v>
      </c>
      <c r="S84" s="174">
        <f>VLOOKUP(B84,'75- Deferred Amortization'!A:G,5,FALSE)</f>
        <v>378</v>
      </c>
      <c r="T84" s="174">
        <f>VLOOKUP(B84,'75- Deferred Amortization'!A:G,6,FALSE)</f>
        <v>55</v>
      </c>
      <c r="U84" s="174">
        <f>VLOOKUP(B84,'75- Deferred Amortization'!A:G,7,FALSE)</f>
        <v>0</v>
      </c>
      <c r="V84" s="174">
        <f t="shared" si="21"/>
        <v>-2</v>
      </c>
      <c r="W84" s="174">
        <f t="shared" si="32"/>
        <v>-1</v>
      </c>
      <c r="X84" s="173">
        <v>3</v>
      </c>
      <c r="Y84" s="173"/>
      <c r="Z84" s="173"/>
      <c r="AA84" s="173"/>
      <c r="AB84" s="173"/>
      <c r="AC84" s="174">
        <f t="shared" si="23"/>
        <v>-1211</v>
      </c>
      <c r="AD84" s="175"/>
      <c r="AE84" s="175"/>
      <c r="AF84" s="175"/>
      <c r="AG84" s="174"/>
      <c r="AH84" s="174"/>
      <c r="AI84" s="174"/>
      <c r="AJ84" s="174"/>
      <c r="AK84" s="174"/>
      <c r="AL84" s="173"/>
      <c r="AM84" s="174">
        <f>I84-AG84</f>
        <v>697</v>
      </c>
      <c r="AN84" s="174">
        <f>M84-AK84</f>
        <v>0</v>
      </c>
      <c r="AO84" s="175">
        <f t="shared" si="24"/>
        <v>273</v>
      </c>
      <c r="AP84" s="174">
        <f t="shared" si="25"/>
        <v>0</v>
      </c>
      <c r="AQ84" s="175">
        <f t="shared" si="26"/>
        <v>0</v>
      </c>
      <c r="AR84" s="174">
        <f t="shared" si="27"/>
        <v>0</v>
      </c>
      <c r="AS84" s="174">
        <f t="shared" si="28"/>
        <v>215</v>
      </c>
      <c r="AU84" s="12">
        <f>VLOOKUP(B84,'Allocation Exhibit 2016-06-30'!A:D,4,FALSE)</f>
        <v>1.95E-5</v>
      </c>
    </row>
    <row r="85" spans="1:47" s="170" customFormat="1">
      <c r="A85" s="172" t="s">
        <v>167</v>
      </c>
      <c r="B85" s="173">
        <v>51000.3</v>
      </c>
      <c r="C85" s="174">
        <f>VLOOKUP(B85,'ER Contributions'!A:D,4,FALSE)</f>
        <v>47480</v>
      </c>
      <c r="D85" s="176">
        <f>VLOOKUP(B85,'ER Contributions'!A:D,3,FALSE)</f>
        <v>6.3610000000000001E-4</v>
      </c>
      <c r="E85" s="174">
        <f>VLOOKUP(B85,'75 - Summary Exhibit'!A:N,3,FALSE)</f>
        <v>-38878</v>
      </c>
      <c r="F85" s="175">
        <f>VLOOKUP(B85,'75 - Summary Exhibit'!A:N,4,FALSE)</f>
        <v>10660</v>
      </c>
      <c r="G85" s="175">
        <f>VLOOKUP(B85,'75 - Summary Exhibit'!A:N,5,FALSE)</f>
        <v>8522</v>
      </c>
      <c r="H85" s="175">
        <f>VLOOKUP(B85,'75 - Summary Exhibit'!A:N,6,FALSE)</f>
        <v>0</v>
      </c>
      <c r="I85" s="174">
        <f>VLOOKUP(B85,'75 - Summary Exhibit'!A:N,7,FALSE)</f>
        <v>8579</v>
      </c>
      <c r="J85" s="174">
        <f>VLOOKUP(B85,'75 - Summary Exhibit'!A:N,8,FALSE)</f>
        <v>0</v>
      </c>
      <c r="K85" s="174">
        <f>VLOOKUP(B85,'75 - Summary Exhibit'!A:N,9,FALSE)</f>
        <v>0</v>
      </c>
      <c r="L85" s="174">
        <f>VLOOKUP(B85,'75 - Summary Exhibit'!A:N,10,FALSE)</f>
        <v>0</v>
      </c>
      <c r="M85" s="174">
        <f>VLOOKUP(B85,'75 - Summary Exhibit'!A:N,11,FALSE)</f>
        <v>0</v>
      </c>
      <c r="N85" s="174">
        <f>VLOOKUP(B85,'75 - Summary Exhibit'!A:N,12,FALSE)</f>
        <v>20656</v>
      </c>
      <c r="O85" s="174">
        <f>VLOOKUP(B85,'75 - Summary Exhibit'!A:N,13,FALSE)</f>
        <v>2860</v>
      </c>
      <c r="P85" s="174">
        <f t="shared" si="31"/>
        <v>23516</v>
      </c>
      <c r="Q85" s="174">
        <f>VLOOKUP(B85,'75- Deferred Amortization'!A:G,3,FALSE)</f>
        <v>8545</v>
      </c>
      <c r="R85" s="174">
        <f>VLOOKUP(B85,'75- Deferred Amortization'!A:G,4,FALSE)</f>
        <v>8545</v>
      </c>
      <c r="S85" s="174">
        <f>VLOOKUP(B85,'75- Deferred Amortization'!A:G,5,FALSE)</f>
        <v>8543</v>
      </c>
      <c r="T85" s="174">
        <f>VLOOKUP(B85,'75- Deferred Amortization'!A:G,6,FALSE)</f>
        <v>2129</v>
      </c>
      <c r="U85" s="174">
        <f>VLOOKUP(B85,'75- Deferred Amortization'!A:G,7,FALSE)</f>
        <v>0</v>
      </c>
      <c r="V85" s="174">
        <f t="shared" si="21"/>
        <v>0</v>
      </c>
      <c r="W85" s="174">
        <f t="shared" si="32"/>
        <v>-1</v>
      </c>
      <c r="X85" s="173">
        <v>3</v>
      </c>
      <c r="Y85" s="173"/>
      <c r="Z85" s="173"/>
      <c r="AA85" s="173"/>
      <c r="AB85" s="173"/>
      <c r="AC85" s="174">
        <f t="shared" si="23"/>
        <v>-42675</v>
      </c>
      <c r="AD85" s="175"/>
      <c r="AE85" s="175"/>
      <c r="AF85" s="175"/>
      <c r="AG85" s="174"/>
      <c r="AH85" s="174"/>
      <c r="AI85" s="174"/>
      <c r="AJ85" s="174"/>
      <c r="AK85" s="174"/>
      <c r="AL85" s="173"/>
      <c r="AM85" s="174">
        <f>I85-AG85</f>
        <v>8579</v>
      </c>
      <c r="AN85" s="174">
        <f>M85-AK85</f>
        <v>0</v>
      </c>
      <c r="AO85" s="175">
        <f t="shared" si="24"/>
        <v>10660</v>
      </c>
      <c r="AP85" s="174">
        <f t="shared" si="25"/>
        <v>0</v>
      </c>
      <c r="AQ85" s="175">
        <f t="shared" si="26"/>
        <v>0</v>
      </c>
      <c r="AR85" s="174">
        <f t="shared" si="27"/>
        <v>0</v>
      </c>
      <c r="AS85" s="174">
        <f t="shared" si="28"/>
        <v>3797</v>
      </c>
      <c r="AU85" s="12">
        <f>VLOOKUP(B85,'Allocation Exhibit 2016-06-30'!A:D,4,FALSE)</f>
        <v>6.8720000000000001E-4</v>
      </c>
    </row>
    <row r="86" spans="1:47">
      <c r="A86" s="178" t="s">
        <v>156</v>
      </c>
      <c r="B86" s="179">
        <v>99000</v>
      </c>
      <c r="C86" s="180">
        <f>SUMIF($X$4:$X$85,1,C$4:C$85)</f>
        <v>15239218</v>
      </c>
      <c r="D86" s="180"/>
      <c r="E86" s="180">
        <f t="shared" ref="E86:U86" si="33">SUMIF($X$4:$X$85,1,E$4:E$85)</f>
        <v>-15117580</v>
      </c>
      <c r="F86" s="180">
        <f t="shared" si="33"/>
        <v>4144968</v>
      </c>
      <c r="G86" s="180">
        <f t="shared" si="33"/>
        <v>3313648</v>
      </c>
      <c r="H86" s="180">
        <f t="shared" si="33"/>
        <v>0</v>
      </c>
      <c r="I86" s="180">
        <f t="shared" si="33"/>
        <v>64770</v>
      </c>
      <c r="J86" s="180">
        <f t="shared" si="33"/>
        <v>0</v>
      </c>
      <c r="K86" s="180">
        <f t="shared" si="33"/>
        <v>0</v>
      </c>
      <c r="L86" s="180">
        <f t="shared" si="33"/>
        <v>0</v>
      </c>
      <c r="M86" s="180">
        <f t="shared" si="33"/>
        <v>531391</v>
      </c>
      <c r="N86" s="180">
        <f t="shared" si="33"/>
        <v>8031956</v>
      </c>
      <c r="O86" s="180">
        <f t="shared" si="33"/>
        <v>-155538</v>
      </c>
      <c r="P86" s="180">
        <f t="shared" si="33"/>
        <v>7876418</v>
      </c>
      <c r="Q86" s="180">
        <f t="shared" si="33"/>
        <v>2054961</v>
      </c>
      <c r="R86" s="180">
        <f t="shared" si="33"/>
        <v>2054961</v>
      </c>
      <c r="S86" s="180">
        <f t="shared" si="33"/>
        <v>2054218</v>
      </c>
      <c r="T86" s="180">
        <f t="shared" si="33"/>
        <v>827854</v>
      </c>
      <c r="U86" s="180">
        <f t="shared" si="33"/>
        <v>0</v>
      </c>
      <c r="V86" s="180">
        <f t="shared" si="21"/>
        <v>-1</v>
      </c>
      <c r="W86" s="180">
        <f t="shared" si="22"/>
        <v>1</v>
      </c>
      <c r="X86" s="179"/>
      <c r="Y86" s="179"/>
      <c r="Z86" s="179"/>
      <c r="AA86" s="179"/>
      <c r="AB86" s="179"/>
      <c r="AC86" s="180">
        <f t="shared" ref="AC86" si="34">SUMIF($X$4:$X$85,1,AC$4:AC$85)</f>
        <v>-14746776</v>
      </c>
      <c r="AD86" s="180">
        <v>0</v>
      </c>
      <c r="AE86" s="180">
        <v>0</v>
      </c>
      <c r="AF86" s="180">
        <v>0</v>
      </c>
      <c r="AG86" s="180">
        <v>0</v>
      </c>
      <c r="AH86" s="180">
        <v>0</v>
      </c>
      <c r="AI86" s="180">
        <v>0</v>
      </c>
      <c r="AJ86" s="180">
        <v>0</v>
      </c>
      <c r="AK86" s="180">
        <v>0</v>
      </c>
      <c r="AL86" s="180"/>
      <c r="AM86" s="180">
        <f t="shared" ref="AM86:AN86" si="35">SUMIF($X$4:$X$85,1,AM$4:AM$85)</f>
        <v>64770</v>
      </c>
      <c r="AN86" s="180">
        <f t="shared" si="35"/>
        <v>531391</v>
      </c>
      <c r="AO86" s="208">
        <f t="shared" si="24"/>
        <v>4144968</v>
      </c>
      <c r="AP86" s="180">
        <f t="shared" si="25"/>
        <v>0</v>
      </c>
      <c r="AQ86" s="208">
        <f t="shared" si="26"/>
        <v>0</v>
      </c>
      <c r="AR86" s="180">
        <f t="shared" si="27"/>
        <v>0</v>
      </c>
      <c r="AS86" s="180">
        <f t="shared" si="28"/>
        <v>-370804</v>
      </c>
      <c r="AU86" s="12"/>
    </row>
    <row r="87" spans="1:47">
      <c r="A87" s="181" t="s">
        <v>157</v>
      </c>
      <c r="B87" s="179">
        <v>99100</v>
      </c>
      <c r="C87" s="180">
        <f>SUMIF($X$4:$X$85,2,C$4:C$85)</f>
        <v>3360131</v>
      </c>
      <c r="D87" s="180"/>
      <c r="E87" s="180">
        <f t="shared" ref="E87:U87" si="36">SUMIF($X$4:$X$85,2,E$4:E$85)</f>
        <v>-3177479</v>
      </c>
      <c r="F87" s="180">
        <f t="shared" si="36"/>
        <v>871210</v>
      </c>
      <c r="G87" s="180">
        <f t="shared" si="36"/>
        <v>696478</v>
      </c>
      <c r="H87" s="180">
        <f t="shared" si="36"/>
        <v>0</v>
      </c>
      <c r="I87" s="180">
        <f t="shared" si="36"/>
        <v>150709</v>
      </c>
      <c r="J87" s="180">
        <f t="shared" si="36"/>
        <v>0</v>
      </c>
      <c r="K87" s="180">
        <f t="shared" si="36"/>
        <v>0</v>
      </c>
      <c r="L87" s="180">
        <f t="shared" si="36"/>
        <v>0</v>
      </c>
      <c r="M87" s="180">
        <f t="shared" si="36"/>
        <v>23822</v>
      </c>
      <c r="N87" s="180">
        <f t="shared" si="36"/>
        <v>1688188</v>
      </c>
      <c r="O87" s="180">
        <f t="shared" si="36"/>
        <v>42295</v>
      </c>
      <c r="P87" s="180">
        <f t="shared" si="36"/>
        <v>1730483</v>
      </c>
      <c r="Q87" s="180">
        <f t="shared" si="36"/>
        <v>506910</v>
      </c>
      <c r="R87" s="180">
        <f t="shared" si="36"/>
        <v>506910</v>
      </c>
      <c r="S87" s="180">
        <f t="shared" si="36"/>
        <v>506754</v>
      </c>
      <c r="T87" s="180">
        <f t="shared" si="36"/>
        <v>174003</v>
      </c>
      <c r="U87" s="180">
        <f t="shared" si="36"/>
        <v>0</v>
      </c>
      <c r="V87" s="180">
        <f t="shared" si="21"/>
        <v>6</v>
      </c>
      <c r="W87" s="180">
        <f t="shared" si="22"/>
        <v>-2</v>
      </c>
      <c r="X87" s="179"/>
      <c r="Y87" s="179"/>
      <c r="Z87" s="179"/>
      <c r="AA87" s="179"/>
      <c r="AB87" s="179"/>
      <c r="AC87" s="180">
        <f>SUMIF($X$4:$X$85,2,AC$4:AC$85)</f>
        <v>-3242400</v>
      </c>
      <c r="AD87" s="180">
        <v>0</v>
      </c>
      <c r="AE87" s="180">
        <v>0</v>
      </c>
      <c r="AF87" s="180">
        <v>0</v>
      </c>
      <c r="AG87" s="180">
        <v>0</v>
      </c>
      <c r="AH87" s="180">
        <v>0</v>
      </c>
      <c r="AI87" s="180">
        <v>0</v>
      </c>
      <c r="AJ87" s="180">
        <v>0</v>
      </c>
      <c r="AK87" s="180">
        <v>0</v>
      </c>
      <c r="AL87" s="180"/>
      <c r="AM87" s="180">
        <f t="shared" ref="AM87:AN87" si="37">SUMIF($X$4:$X$85,2,AM$4:AM$85)</f>
        <v>150709</v>
      </c>
      <c r="AN87" s="180">
        <f t="shared" si="37"/>
        <v>23822</v>
      </c>
      <c r="AO87" s="208">
        <f t="shared" si="24"/>
        <v>871210</v>
      </c>
      <c r="AP87" s="180">
        <f t="shared" si="25"/>
        <v>0</v>
      </c>
      <c r="AQ87" s="208">
        <f t="shared" si="26"/>
        <v>0</v>
      </c>
      <c r="AR87" s="180">
        <f t="shared" si="27"/>
        <v>0</v>
      </c>
      <c r="AS87" s="180">
        <f t="shared" si="28"/>
        <v>64921</v>
      </c>
      <c r="AU87" s="12"/>
    </row>
    <row r="88" spans="1:47">
      <c r="A88" s="181" t="s">
        <v>158</v>
      </c>
      <c r="B88" s="179">
        <v>99200</v>
      </c>
      <c r="C88" s="180">
        <f>SUMIF($X$4:$X$85,3,C$4:C$85)</f>
        <v>106437</v>
      </c>
      <c r="D88" s="180"/>
      <c r="E88" s="180">
        <f t="shared" ref="E88:U88" si="38">SUMIF($X$4:$X$85,3,E$4:E$85)</f>
        <v>-84956</v>
      </c>
      <c r="F88" s="180">
        <f t="shared" si="38"/>
        <v>23294</v>
      </c>
      <c r="G88" s="180">
        <f t="shared" si="38"/>
        <v>18622</v>
      </c>
      <c r="H88" s="180">
        <f t="shared" si="38"/>
        <v>0</v>
      </c>
      <c r="I88" s="180">
        <f t="shared" si="38"/>
        <v>15675</v>
      </c>
      <c r="J88" s="180">
        <f t="shared" si="38"/>
        <v>0</v>
      </c>
      <c r="K88" s="180">
        <f t="shared" si="38"/>
        <v>0</v>
      </c>
      <c r="L88" s="180">
        <f t="shared" si="38"/>
        <v>0</v>
      </c>
      <c r="M88" s="180">
        <f t="shared" si="38"/>
        <v>0</v>
      </c>
      <c r="N88" s="180">
        <f t="shared" si="38"/>
        <v>45137</v>
      </c>
      <c r="O88" s="180">
        <f t="shared" si="38"/>
        <v>5225</v>
      </c>
      <c r="P88" s="180">
        <f t="shared" si="38"/>
        <v>50362</v>
      </c>
      <c r="Q88" s="180">
        <f t="shared" si="38"/>
        <v>17648</v>
      </c>
      <c r="R88" s="180">
        <f t="shared" si="38"/>
        <v>17648</v>
      </c>
      <c r="S88" s="180">
        <f t="shared" si="38"/>
        <v>17644</v>
      </c>
      <c r="T88" s="180">
        <f t="shared" si="38"/>
        <v>4652</v>
      </c>
      <c r="U88" s="180">
        <f t="shared" si="38"/>
        <v>0</v>
      </c>
      <c r="V88" s="180">
        <f t="shared" si="21"/>
        <v>-2</v>
      </c>
      <c r="W88" s="180">
        <f t="shared" si="22"/>
        <v>-1</v>
      </c>
      <c r="X88" s="179"/>
      <c r="Y88" s="179"/>
      <c r="Z88" s="179"/>
      <c r="AA88" s="179"/>
      <c r="AB88" s="179"/>
      <c r="AC88" s="180">
        <f>SUMIF($X$4:$X$85,3,AC$4:AC$85)</f>
        <v>-86474</v>
      </c>
      <c r="AD88" s="180">
        <v>0</v>
      </c>
      <c r="AE88" s="180">
        <v>0</v>
      </c>
      <c r="AF88" s="180">
        <v>0</v>
      </c>
      <c r="AG88" s="180">
        <v>0</v>
      </c>
      <c r="AH88" s="180">
        <v>0</v>
      </c>
      <c r="AI88" s="180">
        <v>0</v>
      </c>
      <c r="AJ88" s="180">
        <v>0</v>
      </c>
      <c r="AK88" s="180">
        <v>0</v>
      </c>
      <c r="AL88" s="180"/>
      <c r="AM88" s="180">
        <f t="shared" ref="AM88:AN88" si="39">SUMIF($X$4:$X$85,3,AM$4:AM$85)</f>
        <v>15675</v>
      </c>
      <c r="AN88" s="180">
        <f t="shared" si="39"/>
        <v>0</v>
      </c>
      <c r="AO88" s="208">
        <f t="shared" si="24"/>
        <v>23294</v>
      </c>
      <c r="AP88" s="180">
        <f t="shared" si="25"/>
        <v>0</v>
      </c>
      <c r="AQ88" s="208">
        <f t="shared" si="26"/>
        <v>0</v>
      </c>
      <c r="AR88" s="180">
        <f t="shared" si="27"/>
        <v>0</v>
      </c>
      <c r="AS88" s="180">
        <f t="shared" si="28"/>
        <v>1518</v>
      </c>
      <c r="AU88" s="12"/>
    </row>
    <row r="90" spans="1:47" s="177" customFormat="1"/>
    <row r="92" spans="1:47">
      <c r="A92" s="2"/>
    </row>
  </sheetData>
  <sortState ref="A81:AN85">
    <sortCondition ref="B81:B85"/>
  </sortState>
  <mergeCells count="6">
    <mergeCell ref="AH2:AK2"/>
    <mergeCell ref="J2:M2"/>
    <mergeCell ref="N2:P2"/>
    <mergeCell ref="F2:I2"/>
    <mergeCell ref="Q2:U2"/>
    <mergeCell ref="AD2:AG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7"/>
  <sheetViews>
    <sheetView workbookViewId="0">
      <selection activeCell="C203" sqref="C203:C294"/>
    </sheetView>
  </sheetViews>
  <sheetFormatPr defaultRowHeight="12.75"/>
  <cols>
    <col min="1" max="1" width="15" customWidth="1"/>
    <col min="2" max="2" width="57.85546875" bestFit="1" customWidth="1"/>
    <col min="3" max="3" width="16.7109375" style="182" customWidth="1"/>
    <col min="4" max="4" width="18.42578125" style="11" bestFit="1" customWidth="1"/>
  </cols>
  <sheetData>
    <row r="1" spans="1:4">
      <c r="A1" s="22">
        <v>1</v>
      </c>
      <c r="B1" s="22">
        <v>2</v>
      </c>
      <c r="C1" s="22">
        <v>3</v>
      </c>
      <c r="D1" s="242">
        <v>4</v>
      </c>
    </row>
    <row r="2" spans="1:4" ht="38.25" customHeight="1">
      <c r="A2" s="163" t="s">
        <v>162</v>
      </c>
      <c r="B2" s="164" t="s">
        <v>164</v>
      </c>
      <c r="C2" s="59" t="s">
        <v>169</v>
      </c>
      <c r="D2" s="243" t="s">
        <v>35</v>
      </c>
    </row>
    <row r="3" spans="1:4">
      <c r="A3" s="234">
        <v>10200</v>
      </c>
      <c r="B3" s="234" t="s">
        <v>256</v>
      </c>
      <c r="C3" s="206">
        <v>9.6029999999999998E-4</v>
      </c>
      <c r="D3" s="244">
        <v>55028</v>
      </c>
    </row>
    <row r="4" spans="1:4">
      <c r="A4" s="234">
        <v>10400</v>
      </c>
      <c r="B4" s="234" t="s">
        <v>257</v>
      </c>
      <c r="C4" s="206">
        <v>2.8278000000000001E-3</v>
      </c>
      <c r="D4" s="244">
        <v>188627</v>
      </c>
    </row>
    <row r="5" spans="1:4">
      <c r="A5" s="234">
        <v>10500</v>
      </c>
      <c r="B5" s="234" t="s">
        <v>258</v>
      </c>
      <c r="C5" s="206">
        <v>7.0100000000000002E-4</v>
      </c>
      <c r="D5" s="244">
        <v>40465</v>
      </c>
    </row>
    <row r="6" spans="1:4">
      <c r="A6" s="234">
        <v>10700</v>
      </c>
      <c r="B6" s="234" t="s">
        <v>259</v>
      </c>
      <c r="C6" s="206">
        <v>4.0867000000000004E-3</v>
      </c>
      <c r="D6" s="244">
        <v>279735</v>
      </c>
    </row>
    <row r="7" spans="1:4">
      <c r="A7" s="234">
        <v>10800</v>
      </c>
      <c r="B7" s="234" t="s">
        <v>260</v>
      </c>
      <c r="C7" s="206">
        <v>1.74542E-2</v>
      </c>
      <c r="D7" s="244">
        <v>1172145</v>
      </c>
    </row>
    <row r="8" spans="1:4">
      <c r="A8" s="234">
        <v>10850</v>
      </c>
      <c r="B8" s="234" t="s">
        <v>261</v>
      </c>
      <c r="C8" s="206">
        <v>1.292E-4</v>
      </c>
      <c r="D8" s="244">
        <v>11879</v>
      </c>
    </row>
    <row r="9" spans="1:4">
      <c r="A9" s="234">
        <v>10900</v>
      </c>
      <c r="B9" s="234" t="s">
        <v>262</v>
      </c>
      <c r="C9" s="206">
        <v>1.5231999999999999E-3</v>
      </c>
      <c r="D9" s="244">
        <v>122380</v>
      </c>
    </row>
    <row r="10" spans="1:4">
      <c r="A10" s="234">
        <v>10910</v>
      </c>
      <c r="B10" s="234" t="s">
        <v>263</v>
      </c>
      <c r="C10" s="206">
        <v>2.6190000000000002E-4</v>
      </c>
      <c r="D10" s="244">
        <v>15737</v>
      </c>
    </row>
    <row r="11" spans="1:4">
      <c r="A11" s="234">
        <v>10930</v>
      </c>
      <c r="B11" s="234" t="s">
        <v>264</v>
      </c>
      <c r="C11" s="206">
        <v>2.3619000000000001E-3</v>
      </c>
      <c r="D11" s="244">
        <v>175276</v>
      </c>
    </row>
    <row r="12" spans="1:4">
      <c r="A12" s="234">
        <v>10940</v>
      </c>
      <c r="B12" s="234" t="s">
        <v>265</v>
      </c>
      <c r="C12" s="206">
        <v>5.8889999999999995E-4</v>
      </c>
      <c r="D12" s="244">
        <v>44236</v>
      </c>
    </row>
    <row r="13" spans="1:4">
      <c r="A13" s="234">
        <v>10950</v>
      </c>
      <c r="B13" s="234" t="s">
        <v>36</v>
      </c>
      <c r="C13" s="206">
        <v>7.5250000000000002E-4</v>
      </c>
      <c r="D13" s="244">
        <v>48129</v>
      </c>
    </row>
    <row r="14" spans="1:4">
      <c r="A14" s="234">
        <v>11300</v>
      </c>
      <c r="B14" s="234" t="s">
        <v>266</v>
      </c>
      <c r="C14" s="206">
        <v>4.1510000000000002E-3</v>
      </c>
      <c r="D14" s="244">
        <v>308429</v>
      </c>
    </row>
    <row r="15" spans="1:4">
      <c r="A15" s="234">
        <v>11310</v>
      </c>
      <c r="B15" s="234" t="s">
        <v>112</v>
      </c>
      <c r="C15" s="206">
        <v>4.4979999999999998E-4</v>
      </c>
      <c r="D15" s="244">
        <v>32828</v>
      </c>
    </row>
    <row r="16" spans="1:4">
      <c r="A16" s="234">
        <v>11600</v>
      </c>
      <c r="B16" s="234" t="s">
        <v>267</v>
      </c>
      <c r="C16" s="206">
        <v>1.9070999999999999E-3</v>
      </c>
      <c r="D16" s="244">
        <v>118248</v>
      </c>
    </row>
    <row r="17" spans="1:4">
      <c r="A17" s="234">
        <v>11900</v>
      </c>
      <c r="B17" s="234" t="s">
        <v>268</v>
      </c>
      <c r="C17" s="206">
        <v>1.8780000000000001E-4</v>
      </c>
      <c r="D17" s="244">
        <v>11838</v>
      </c>
    </row>
    <row r="18" spans="1:4">
      <c r="A18" s="234">
        <v>12100</v>
      </c>
      <c r="B18" s="234" t="s">
        <v>269</v>
      </c>
      <c r="C18" s="206">
        <v>2.3780000000000001E-4</v>
      </c>
      <c r="D18" s="244">
        <v>15324</v>
      </c>
    </row>
    <row r="19" spans="1:4">
      <c r="A19" s="234">
        <v>12150</v>
      </c>
      <c r="B19" s="234" t="s">
        <v>270</v>
      </c>
      <c r="C19" s="206">
        <v>3.6900000000000002E-5</v>
      </c>
      <c r="D19" s="244">
        <v>1850</v>
      </c>
    </row>
    <row r="20" spans="1:4">
      <c r="A20" s="234">
        <v>12160</v>
      </c>
      <c r="B20" s="234" t="s">
        <v>271</v>
      </c>
      <c r="C20" s="206">
        <v>1.6502000000000001E-3</v>
      </c>
      <c r="D20" s="244">
        <v>117177</v>
      </c>
    </row>
    <row r="21" spans="1:4">
      <c r="A21" s="234">
        <v>12220</v>
      </c>
      <c r="B21" s="234" t="s">
        <v>272</v>
      </c>
      <c r="C21" s="206">
        <v>4.1779200000000002E-2</v>
      </c>
      <c r="D21" s="244">
        <v>2915570</v>
      </c>
    </row>
    <row r="22" spans="1:4">
      <c r="A22" s="234">
        <v>12510</v>
      </c>
      <c r="B22" s="234" t="s">
        <v>273</v>
      </c>
      <c r="C22" s="206">
        <v>4.5719999999999997E-3</v>
      </c>
      <c r="D22" s="244">
        <v>352155</v>
      </c>
    </row>
    <row r="23" spans="1:4">
      <c r="A23" s="234">
        <v>12600</v>
      </c>
      <c r="B23" s="234" t="s">
        <v>274</v>
      </c>
      <c r="C23" s="206">
        <v>1.2474999999999999E-3</v>
      </c>
      <c r="D23" s="244">
        <v>95607</v>
      </c>
    </row>
    <row r="24" spans="1:4">
      <c r="A24" s="234">
        <v>12700</v>
      </c>
      <c r="B24" s="234" t="s">
        <v>275</v>
      </c>
      <c r="C24" s="206">
        <v>9.745E-4</v>
      </c>
      <c r="D24" s="244">
        <v>73454</v>
      </c>
    </row>
    <row r="25" spans="1:4">
      <c r="A25" s="234">
        <v>13500</v>
      </c>
      <c r="B25" s="234" t="s">
        <v>276</v>
      </c>
      <c r="C25" s="206">
        <v>3.8817999999999999E-3</v>
      </c>
      <c r="D25" s="244">
        <v>265026</v>
      </c>
    </row>
    <row r="26" spans="1:4">
      <c r="A26" s="234">
        <v>13700</v>
      </c>
      <c r="B26" s="234" t="s">
        <v>277</v>
      </c>
      <c r="C26" s="206">
        <v>4.0979999999999999E-4</v>
      </c>
      <c r="D26" s="244">
        <v>31217</v>
      </c>
    </row>
    <row r="27" spans="1:4">
      <c r="A27" s="234">
        <v>14300</v>
      </c>
      <c r="B27" s="234" t="s">
        <v>278</v>
      </c>
      <c r="C27" s="206">
        <v>1.4723E-3</v>
      </c>
      <c r="D27" s="244">
        <v>92028</v>
      </c>
    </row>
    <row r="28" spans="1:4">
      <c r="A28" s="195">
        <v>14300.2</v>
      </c>
      <c r="B28" s="195" t="s">
        <v>166</v>
      </c>
      <c r="C28" s="206">
        <v>1.706E-4</v>
      </c>
      <c r="D28" s="244">
        <v>12427</v>
      </c>
    </row>
    <row r="29" spans="1:4">
      <c r="A29" s="234">
        <v>18400</v>
      </c>
      <c r="B29" s="234" t="s">
        <v>279</v>
      </c>
      <c r="C29" s="206">
        <v>4.8634000000000004E-3</v>
      </c>
      <c r="D29" s="244">
        <v>342203</v>
      </c>
    </row>
    <row r="30" spans="1:4">
      <c r="A30" s="234">
        <v>18600</v>
      </c>
      <c r="B30" s="234" t="s">
        <v>280</v>
      </c>
      <c r="C30" s="206">
        <v>1.36E-5</v>
      </c>
      <c r="D30" s="244">
        <v>961</v>
      </c>
    </row>
    <row r="31" spans="1:4">
      <c r="A31" s="234">
        <v>18640</v>
      </c>
      <c r="B31" s="234" t="s">
        <v>281</v>
      </c>
      <c r="D31" s="244">
        <v>19</v>
      </c>
    </row>
    <row r="32" spans="1:4">
      <c r="A32" s="234">
        <v>18690</v>
      </c>
      <c r="B32" s="234" t="s">
        <v>282</v>
      </c>
      <c r="D32" s="244">
        <v>239</v>
      </c>
    </row>
    <row r="33" spans="1:4">
      <c r="A33" s="234">
        <v>18740</v>
      </c>
      <c r="B33" s="234" t="s">
        <v>283</v>
      </c>
      <c r="C33" s="206">
        <v>6.8000000000000001E-6</v>
      </c>
      <c r="D33" s="244">
        <v>494</v>
      </c>
    </row>
    <row r="34" spans="1:4">
      <c r="A34" s="234">
        <v>18780</v>
      </c>
      <c r="B34" s="234" t="s">
        <v>284</v>
      </c>
      <c r="C34" s="206">
        <v>1.17E-5</v>
      </c>
      <c r="D34" s="244">
        <v>944</v>
      </c>
    </row>
    <row r="35" spans="1:4">
      <c r="A35" s="234">
        <v>19005</v>
      </c>
      <c r="B35" s="234" t="s">
        <v>285</v>
      </c>
      <c r="C35" s="206">
        <v>6.5430000000000002E-4</v>
      </c>
      <c r="D35" s="244">
        <v>51914</v>
      </c>
    </row>
    <row r="36" spans="1:4">
      <c r="A36" s="234">
        <v>19100</v>
      </c>
      <c r="B36" s="234" t="s">
        <v>286</v>
      </c>
      <c r="C36" s="206">
        <v>6.1802999999999997E-2</v>
      </c>
      <c r="D36" s="244">
        <v>3960239</v>
      </c>
    </row>
    <row r="37" spans="1:4">
      <c r="A37" s="234">
        <v>20100</v>
      </c>
      <c r="B37" s="234" t="s">
        <v>37</v>
      </c>
      <c r="C37" s="206">
        <v>1.0502900000000001E-2</v>
      </c>
      <c r="D37" s="244">
        <v>655779</v>
      </c>
    </row>
    <row r="38" spans="1:4">
      <c r="A38" s="234">
        <v>20200</v>
      </c>
      <c r="B38" s="234" t="s">
        <v>38</v>
      </c>
      <c r="C38" s="206">
        <v>1.4901000000000001E-3</v>
      </c>
      <c r="D38" s="244">
        <v>102191</v>
      </c>
    </row>
    <row r="39" spans="1:4">
      <c r="A39" s="234">
        <v>20300</v>
      </c>
      <c r="B39" s="234" t="s">
        <v>39</v>
      </c>
      <c r="C39" s="206">
        <v>2.4591399999999999E-2</v>
      </c>
      <c r="D39" s="244">
        <v>1515611</v>
      </c>
    </row>
    <row r="40" spans="1:4">
      <c r="A40" s="234">
        <v>20400</v>
      </c>
      <c r="B40" s="234" t="s">
        <v>40</v>
      </c>
      <c r="C40" s="206">
        <v>1.1670000000000001E-3</v>
      </c>
      <c r="D40" s="244">
        <v>80103</v>
      </c>
    </row>
    <row r="41" spans="1:4">
      <c r="A41" s="234">
        <v>20600</v>
      </c>
      <c r="B41" s="234" t="s">
        <v>41</v>
      </c>
      <c r="C41" s="206">
        <v>2.8403E-3</v>
      </c>
      <c r="D41" s="244">
        <v>187892</v>
      </c>
    </row>
    <row r="42" spans="1:4">
      <c r="A42" s="234">
        <v>20700</v>
      </c>
      <c r="B42" s="234" t="s">
        <v>42</v>
      </c>
      <c r="C42" s="206">
        <v>5.8345000000000003E-3</v>
      </c>
      <c r="D42" s="244">
        <v>404315</v>
      </c>
    </row>
    <row r="43" spans="1:4">
      <c r="A43" s="234">
        <v>20800</v>
      </c>
      <c r="B43" s="234" t="s">
        <v>43</v>
      </c>
      <c r="C43" s="206">
        <v>4.7067000000000003E-3</v>
      </c>
      <c r="D43" s="244">
        <v>307983</v>
      </c>
    </row>
    <row r="44" spans="1:4">
      <c r="A44" s="234">
        <v>20900</v>
      </c>
      <c r="B44" s="234" t="s">
        <v>44</v>
      </c>
      <c r="C44" s="206">
        <v>9.5709999999999996E-3</v>
      </c>
      <c r="D44" s="244">
        <v>625375</v>
      </c>
    </row>
    <row r="45" spans="1:4">
      <c r="A45" s="234">
        <v>21200</v>
      </c>
      <c r="B45" s="234" t="s">
        <v>45</v>
      </c>
      <c r="C45" s="206">
        <v>3.0814000000000002E-3</v>
      </c>
      <c r="D45" s="244">
        <v>189731</v>
      </c>
    </row>
    <row r="46" spans="1:4">
      <c r="A46" s="234">
        <v>21300</v>
      </c>
      <c r="B46" s="234" t="s">
        <v>46</v>
      </c>
      <c r="C46" s="206">
        <v>3.8517500000000003E-2</v>
      </c>
      <c r="D46" s="244">
        <v>2370987</v>
      </c>
    </row>
    <row r="47" spans="1:4">
      <c r="A47" s="234">
        <v>21520</v>
      </c>
      <c r="B47" s="234" t="s">
        <v>287</v>
      </c>
      <c r="C47" s="206">
        <v>6.8096799999999999E-2</v>
      </c>
      <c r="D47" s="244">
        <v>4202750</v>
      </c>
    </row>
    <row r="48" spans="1:4">
      <c r="A48" s="234">
        <v>21525</v>
      </c>
      <c r="B48" s="234" t="s">
        <v>288</v>
      </c>
      <c r="C48" s="206">
        <v>1.7635999999999999E-3</v>
      </c>
      <c r="D48" s="244">
        <v>109280</v>
      </c>
    </row>
    <row r="49" spans="1:4">
      <c r="A49" s="234">
        <v>21525.200000000001</v>
      </c>
      <c r="B49" s="234" t="s">
        <v>159</v>
      </c>
      <c r="C49" s="206">
        <v>1.172E-4</v>
      </c>
      <c r="D49" s="244">
        <v>11966</v>
      </c>
    </row>
    <row r="50" spans="1:4">
      <c r="A50" s="234">
        <v>21550</v>
      </c>
      <c r="B50" s="234" t="s">
        <v>48</v>
      </c>
      <c r="C50" s="206">
        <v>4.00842E-2</v>
      </c>
      <c r="D50" s="244">
        <v>2317813</v>
      </c>
    </row>
    <row r="51" spans="1:4">
      <c r="A51" s="234">
        <v>21570</v>
      </c>
      <c r="B51" s="234" t="s">
        <v>289</v>
      </c>
      <c r="C51" s="206">
        <v>1.7090000000000001E-4</v>
      </c>
      <c r="D51" s="244">
        <v>11826</v>
      </c>
    </row>
    <row r="52" spans="1:4">
      <c r="A52" s="234">
        <v>21800</v>
      </c>
      <c r="B52" s="234" t="s">
        <v>49</v>
      </c>
      <c r="C52" s="206">
        <v>5.7400000000000003E-3</v>
      </c>
      <c r="D52" s="244">
        <v>346556</v>
      </c>
    </row>
    <row r="53" spans="1:4">
      <c r="A53" s="234">
        <v>21900</v>
      </c>
      <c r="B53" s="234" t="s">
        <v>50</v>
      </c>
      <c r="C53" s="206">
        <v>3.2564999999999998E-3</v>
      </c>
      <c r="D53" s="244">
        <v>213433</v>
      </c>
    </row>
    <row r="54" spans="1:4">
      <c r="A54" s="234">
        <v>22000</v>
      </c>
      <c r="B54" s="234" t="s">
        <v>290</v>
      </c>
      <c r="C54" s="206">
        <v>3.2236000000000001E-3</v>
      </c>
      <c r="D54" s="244">
        <v>245282</v>
      </c>
    </row>
    <row r="55" spans="1:4">
      <c r="A55" s="234">
        <v>23000</v>
      </c>
      <c r="B55" s="234" t="s">
        <v>51</v>
      </c>
      <c r="C55" s="206">
        <v>2.6194999999999999E-3</v>
      </c>
      <c r="D55" s="244">
        <v>159069</v>
      </c>
    </row>
    <row r="56" spans="1:4">
      <c r="A56" s="234">
        <v>23100</v>
      </c>
      <c r="B56" s="234" t="s">
        <v>52</v>
      </c>
      <c r="C56" s="206">
        <v>1.5039200000000001E-2</v>
      </c>
      <c r="D56" s="244">
        <v>928114</v>
      </c>
    </row>
    <row r="57" spans="1:4">
      <c r="A57" s="234">
        <v>23200</v>
      </c>
      <c r="B57" s="234" t="s">
        <v>53</v>
      </c>
      <c r="C57" s="206">
        <v>7.6874999999999999E-3</v>
      </c>
      <c r="D57" s="244">
        <v>474107</v>
      </c>
    </row>
    <row r="58" spans="1:4">
      <c r="A58" s="234">
        <v>30000</v>
      </c>
      <c r="B58" s="234" t="s">
        <v>291</v>
      </c>
      <c r="C58" s="206">
        <v>8.7909999999999996E-4</v>
      </c>
      <c r="D58" s="244">
        <v>52748</v>
      </c>
    </row>
    <row r="59" spans="1:4">
      <c r="A59" s="234">
        <v>30100</v>
      </c>
      <c r="B59" s="234" t="s">
        <v>292</v>
      </c>
      <c r="C59" s="206">
        <v>7.5632E-3</v>
      </c>
      <c r="D59" s="244">
        <v>435695</v>
      </c>
    </row>
    <row r="60" spans="1:4">
      <c r="A60" s="234">
        <v>30102</v>
      </c>
      <c r="B60" s="234" t="s">
        <v>293</v>
      </c>
      <c r="C60" s="206">
        <v>1.44E-4</v>
      </c>
      <c r="D60" s="244">
        <v>7757</v>
      </c>
    </row>
    <row r="61" spans="1:4">
      <c r="A61" s="234">
        <v>30103</v>
      </c>
      <c r="B61" s="234" t="s">
        <v>294</v>
      </c>
      <c r="C61" s="206">
        <v>1.8780000000000001E-4</v>
      </c>
      <c r="D61" s="244">
        <v>10297</v>
      </c>
    </row>
    <row r="62" spans="1:4">
      <c r="A62" s="234">
        <v>30104</v>
      </c>
      <c r="B62" s="234" t="s">
        <v>295</v>
      </c>
      <c r="C62" s="206">
        <v>1.206E-4</v>
      </c>
      <c r="D62" s="244">
        <v>5281</v>
      </c>
    </row>
    <row r="63" spans="1:4">
      <c r="A63" s="234">
        <v>30105</v>
      </c>
      <c r="B63" s="234" t="s">
        <v>54</v>
      </c>
      <c r="C63" s="206">
        <v>8.0239999999999999E-4</v>
      </c>
      <c r="D63" s="244">
        <v>52256</v>
      </c>
    </row>
    <row r="64" spans="1:4">
      <c r="A64" s="234">
        <v>30200</v>
      </c>
      <c r="B64" s="234" t="s">
        <v>296</v>
      </c>
      <c r="C64" s="206">
        <v>1.7181E-3</v>
      </c>
      <c r="D64" s="244">
        <v>104308</v>
      </c>
    </row>
    <row r="65" spans="1:4">
      <c r="A65" s="234">
        <v>30300</v>
      </c>
      <c r="B65" s="234" t="s">
        <v>297</v>
      </c>
      <c r="C65" s="206">
        <v>5.5369999999999996E-4</v>
      </c>
      <c r="D65" s="244">
        <v>34603</v>
      </c>
    </row>
    <row r="66" spans="1:4">
      <c r="A66" s="234">
        <v>30400</v>
      </c>
      <c r="B66" s="234" t="s">
        <v>298</v>
      </c>
      <c r="C66" s="206">
        <v>1.0666E-3</v>
      </c>
      <c r="D66" s="244">
        <v>70411</v>
      </c>
    </row>
    <row r="67" spans="1:4">
      <c r="A67" s="234">
        <v>30405</v>
      </c>
      <c r="B67" s="234" t="s">
        <v>55</v>
      </c>
      <c r="C67" s="206">
        <v>7.4379999999999997E-4</v>
      </c>
      <c r="D67" s="244">
        <v>44158</v>
      </c>
    </row>
    <row r="68" spans="1:4">
      <c r="A68" s="234">
        <v>30500</v>
      </c>
      <c r="B68" s="234" t="s">
        <v>299</v>
      </c>
      <c r="C68" s="206">
        <v>1.1188000000000001E-3</v>
      </c>
      <c r="D68" s="244">
        <v>69278</v>
      </c>
    </row>
    <row r="69" spans="1:4">
      <c r="A69" s="234">
        <v>30600</v>
      </c>
      <c r="B69" s="234" t="s">
        <v>300</v>
      </c>
      <c r="C69" s="206">
        <v>8.6399999999999997E-4</v>
      </c>
      <c r="D69" s="244">
        <v>54250</v>
      </c>
    </row>
    <row r="70" spans="1:4">
      <c r="A70" s="234">
        <v>30601</v>
      </c>
      <c r="B70" s="234" t="s">
        <v>301</v>
      </c>
      <c r="C70" s="206">
        <v>2.02E-5</v>
      </c>
      <c r="D70" s="244">
        <v>1159</v>
      </c>
    </row>
    <row r="71" spans="1:4">
      <c r="A71" s="234">
        <v>30700</v>
      </c>
      <c r="B71" s="234" t="s">
        <v>302</v>
      </c>
      <c r="C71" s="206">
        <v>2.2522000000000002E-3</v>
      </c>
      <c r="D71" s="244">
        <v>140571</v>
      </c>
    </row>
    <row r="72" spans="1:4">
      <c r="A72" s="234">
        <v>30705</v>
      </c>
      <c r="B72" s="234" t="s">
        <v>56</v>
      </c>
      <c r="C72" s="206">
        <v>4.283E-4</v>
      </c>
      <c r="D72" s="244">
        <v>27587</v>
      </c>
    </row>
    <row r="73" spans="1:4">
      <c r="A73" s="234">
        <v>30800</v>
      </c>
      <c r="B73" s="234" t="s">
        <v>303</v>
      </c>
      <c r="C73" s="206">
        <v>8.4210000000000003E-4</v>
      </c>
      <c r="D73" s="244">
        <v>54359</v>
      </c>
    </row>
    <row r="74" spans="1:4">
      <c r="A74" s="234">
        <v>30900</v>
      </c>
      <c r="B74" s="234" t="s">
        <v>304</v>
      </c>
      <c r="C74" s="206">
        <v>1.4660000000000001E-3</v>
      </c>
      <c r="D74" s="244">
        <v>95894</v>
      </c>
    </row>
    <row r="75" spans="1:4">
      <c r="A75" s="234">
        <v>30905</v>
      </c>
      <c r="B75" s="234" t="s">
        <v>57</v>
      </c>
      <c r="C75" s="206">
        <v>2.8459999999999998E-4</v>
      </c>
      <c r="D75" s="244">
        <v>22516</v>
      </c>
    </row>
    <row r="76" spans="1:4">
      <c r="A76" s="234">
        <v>31000</v>
      </c>
      <c r="B76" s="234" t="s">
        <v>305</v>
      </c>
      <c r="C76" s="206">
        <v>4.2398000000000002E-3</v>
      </c>
      <c r="D76" s="244">
        <v>262026</v>
      </c>
    </row>
    <row r="77" spans="1:4">
      <c r="A77" s="234">
        <v>31005</v>
      </c>
      <c r="B77" s="234" t="s">
        <v>58</v>
      </c>
      <c r="C77" s="206">
        <v>4.0259999999999997E-4</v>
      </c>
      <c r="D77" s="244">
        <v>28728</v>
      </c>
    </row>
    <row r="78" spans="1:4">
      <c r="A78" s="234">
        <v>31100</v>
      </c>
      <c r="B78" s="234" t="s">
        <v>306</v>
      </c>
      <c r="C78" s="206">
        <v>8.7551999999999994E-3</v>
      </c>
      <c r="D78" s="244">
        <v>525028</v>
      </c>
    </row>
    <row r="79" spans="1:4">
      <c r="A79" s="234">
        <v>31101</v>
      </c>
      <c r="B79" s="234" t="s">
        <v>307</v>
      </c>
      <c r="C79" s="206">
        <v>5.9700000000000001E-5</v>
      </c>
      <c r="D79" s="244">
        <v>3222</v>
      </c>
    </row>
    <row r="80" spans="1:4">
      <c r="A80" s="234">
        <v>31102</v>
      </c>
      <c r="B80" s="234" t="s">
        <v>308</v>
      </c>
      <c r="C80" s="206">
        <v>1.46E-4</v>
      </c>
      <c r="D80" s="244">
        <v>7586</v>
      </c>
    </row>
    <row r="81" spans="1:4">
      <c r="A81" s="234">
        <v>31105</v>
      </c>
      <c r="B81" s="234" t="s">
        <v>59</v>
      </c>
      <c r="C81" s="206">
        <v>1.3917999999999999E-3</v>
      </c>
      <c r="D81" s="244">
        <v>89794</v>
      </c>
    </row>
    <row r="82" spans="1:4">
      <c r="A82" s="234">
        <v>31110</v>
      </c>
      <c r="B82" s="234" t="s">
        <v>309</v>
      </c>
      <c r="C82" s="206">
        <v>1.9932999999999999E-3</v>
      </c>
      <c r="D82" s="244">
        <v>115075</v>
      </c>
    </row>
    <row r="83" spans="1:4">
      <c r="A83" s="234">
        <v>31200</v>
      </c>
      <c r="B83" s="234" t="s">
        <v>310</v>
      </c>
      <c r="C83" s="206">
        <v>3.9153E-3</v>
      </c>
      <c r="D83" s="244">
        <v>239179</v>
      </c>
    </row>
    <row r="84" spans="1:4">
      <c r="A84" s="234">
        <v>31205</v>
      </c>
      <c r="B84" s="234" t="s">
        <v>60</v>
      </c>
      <c r="C84" s="206">
        <v>4.618E-4</v>
      </c>
      <c r="D84" s="244">
        <v>32314</v>
      </c>
    </row>
    <row r="85" spans="1:4">
      <c r="A85" s="234">
        <v>31300</v>
      </c>
      <c r="B85" s="234" t="s">
        <v>311</v>
      </c>
      <c r="C85" s="206">
        <v>1.07221E-2</v>
      </c>
      <c r="D85" s="244">
        <v>599377</v>
      </c>
    </row>
    <row r="86" spans="1:4">
      <c r="A86" s="234">
        <v>31301</v>
      </c>
      <c r="B86" s="234" t="s">
        <v>312</v>
      </c>
      <c r="C86" s="206">
        <v>2.6640000000000002E-4</v>
      </c>
      <c r="D86" s="244">
        <v>13094</v>
      </c>
    </row>
    <row r="87" spans="1:4">
      <c r="A87" s="234">
        <v>31320</v>
      </c>
      <c r="B87" s="234" t="s">
        <v>313</v>
      </c>
      <c r="C87" s="206">
        <v>1.9375E-3</v>
      </c>
      <c r="D87" s="244">
        <v>108245</v>
      </c>
    </row>
    <row r="88" spans="1:4">
      <c r="A88" s="234">
        <v>31400</v>
      </c>
      <c r="B88" s="234" t="s">
        <v>314</v>
      </c>
      <c r="C88" s="206">
        <v>4.0455999999999999E-3</v>
      </c>
      <c r="D88" s="244">
        <v>249258</v>
      </c>
    </row>
    <row r="89" spans="1:4">
      <c r="A89" s="234">
        <v>31405</v>
      </c>
      <c r="B89" s="234" t="s">
        <v>61</v>
      </c>
      <c r="C89" s="206">
        <v>7.8370000000000002E-4</v>
      </c>
      <c r="D89" s="244">
        <v>56872</v>
      </c>
    </row>
    <row r="90" spans="1:4">
      <c r="A90" s="234">
        <v>31500</v>
      </c>
      <c r="B90" s="234" t="s">
        <v>315</v>
      </c>
      <c r="C90" s="206">
        <v>6.1010000000000003E-4</v>
      </c>
      <c r="D90" s="244">
        <v>39747</v>
      </c>
    </row>
    <row r="91" spans="1:4">
      <c r="A91" s="234">
        <v>31600</v>
      </c>
      <c r="B91" s="234" t="s">
        <v>316</v>
      </c>
      <c r="C91" s="206">
        <v>2.8373999999999999E-3</v>
      </c>
      <c r="D91" s="244">
        <v>176059</v>
      </c>
    </row>
    <row r="92" spans="1:4">
      <c r="A92" s="234">
        <v>31605</v>
      </c>
      <c r="B92" s="234" t="s">
        <v>62</v>
      </c>
      <c r="C92" s="206">
        <v>4.2200000000000001E-4</v>
      </c>
      <c r="D92" s="244">
        <v>28878</v>
      </c>
    </row>
    <row r="93" spans="1:4">
      <c r="A93" s="234">
        <v>31700</v>
      </c>
      <c r="B93" s="234" t="s">
        <v>317</v>
      </c>
      <c r="C93" s="206">
        <v>8.6319999999999995E-4</v>
      </c>
      <c r="D93" s="244">
        <v>56152</v>
      </c>
    </row>
    <row r="94" spans="1:4">
      <c r="A94" s="234">
        <v>31800</v>
      </c>
      <c r="B94" s="234" t="s">
        <v>318</v>
      </c>
      <c r="C94" s="206">
        <v>5.1456000000000002E-3</v>
      </c>
      <c r="D94" s="244">
        <v>318427</v>
      </c>
    </row>
    <row r="95" spans="1:4">
      <c r="A95" s="234">
        <v>31805</v>
      </c>
      <c r="B95" s="234" t="s">
        <v>63</v>
      </c>
      <c r="C95" s="206">
        <v>9.9879999999999999E-4</v>
      </c>
      <c r="D95" s="244">
        <v>67964</v>
      </c>
    </row>
    <row r="96" spans="1:4">
      <c r="A96" s="234">
        <v>31810</v>
      </c>
      <c r="B96" s="234" t="s">
        <v>319</v>
      </c>
      <c r="C96" s="206">
        <v>1.3487E-3</v>
      </c>
      <c r="D96" s="244">
        <v>80788</v>
      </c>
    </row>
    <row r="97" spans="1:4">
      <c r="A97" s="234">
        <v>31820</v>
      </c>
      <c r="B97" s="234" t="s">
        <v>320</v>
      </c>
      <c r="C97" s="206">
        <v>1.1471999999999999E-3</v>
      </c>
      <c r="D97" s="244">
        <v>66391</v>
      </c>
    </row>
    <row r="98" spans="1:4">
      <c r="A98" s="234">
        <v>31900</v>
      </c>
      <c r="B98" s="234" t="s">
        <v>321</v>
      </c>
      <c r="C98" s="206">
        <v>3.2399E-3</v>
      </c>
      <c r="D98" s="244">
        <v>189466</v>
      </c>
    </row>
    <row r="99" spans="1:4">
      <c r="A99" s="234">
        <v>32000</v>
      </c>
      <c r="B99" s="234" t="s">
        <v>322</v>
      </c>
      <c r="C99" s="206">
        <v>1.3066E-3</v>
      </c>
      <c r="D99" s="244">
        <v>77878</v>
      </c>
    </row>
    <row r="100" spans="1:4">
      <c r="A100" s="234">
        <v>32005</v>
      </c>
      <c r="B100" s="234" t="s">
        <v>64</v>
      </c>
      <c r="C100" s="206">
        <v>2.898E-4</v>
      </c>
      <c r="D100" s="244">
        <v>19425</v>
      </c>
    </row>
    <row r="101" spans="1:4">
      <c r="A101" s="234">
        <v>32100</v>
      </c>
      <c r="B101" s="234" t="s">
        <v>323</v>
      </c>
      <c r="C101" s="206">
        <v>7.3490000000000003E-4</v>
      </c>
      <c r="D101" s="244">
        <v>47418</v>
      </c>
    </row>
    <row r="102" spans="1:4">
      <c r="A102" s="234">
        <v>32200</v>
      </c>
      <c r="B102" s="234" t="s">
        <v>324</v>
      </c>
      <c r="C102" s="206">
        <v>4.8739999999999998E-4</v>
      </c>
      <c r="D102" s="244">
        <v>30339</v>
      </c>
    </row>
    <row r="103" spans="1:4">
      <c r="A103" s="234">
        <v>32300</v>
      </c>
      <c r="B103" s="234" t="s">
        <v>325</v>
      </c>
      <c r="C103" s="206">
        <v>5.4824000000000001E-3</v>
      </c>
      <c r="D103" s="244">
        <v>322943</v>
      </c>
    </row>
    <row r="104" spans="1:4">
      <c r="A104" s="234">
        <v>32305</v>
      </c>
      <c r="B104" s="234" t="s">
        <v>326</v>
      </c>
      <c r="C104" s="206">
        <v>5.5900000000000004E-4</v>
      </c>
      <c r="D104" s="244">
        <v>37930</v>
      </c>
    </row>
    <row r="105" spans="1:4">
      <c r="A105" s="234">
        <v>32400</v>
      </c>
      <c r="B105" s="234" t="s">
        <v>327</v>
      </c>
      <c r="C105" s="206">
        <v>1.9689999999999998E-3</v>
      </c>
      <c r="D105" s="244">
        <v>125396</v>
      </c>
    </row>
    <row r="106" spans="1:4">
      <c r="A106" s="234">
        <v>32405</v>
      </c>
      <c r="B106" s="234" t="s">
        <v>66</v>
      </c>
      <c r="C106" s="206">
        <v>4.9830000000000002E-4</v>
      </c>
      <c r="D106" s="244">
        <v>33896</v>
      </c>
    </row>
    <row r="107" spans="1:4">
      <c r="A107" s="234">
        <v>32410</v>
      </c>
      <c r="B107" s="234" t="s">
        <v>328</v>
      </c>
      <c r="C107" s="206">
        <v>7.3450000000000002E-4</v>
      </c>
      <c r="D107" s="244">
        <v>49497</v>
      </c>
    </row>
    <row r="108" spans="1:4">
      <c r="A108" s="234">
        <v>32500</v>
      </c>
      <c r="B108" s="234" t="s">
        <v>329</v>
      </c>
      <c r="C108" s="206">
        <v>4.2446999999999997E-3</v>
      </c>
      <c r="D108" s="244">
        <v>256876</v>
      </c>
    </row>
    <row r="109" spans="1:4">
      <c r="A109" s="234">
        <v>32505</v>
      </c>
      <c r="B109" s="234" t="s">
        <v>67</v>
      </c>
      <c r="C109" s="206">
        <v>6.581E-4</v>
      </c>
      <c r="D109" s="244">
        <v>42186</v>
      </c>
    </row>
    <row r="110" spans="1:4">
      <c r="A110" s="234">
        <v>32600</v>
      </c>
      <c r="B110" s="234" t="s">
        <v>330</v>
      </c>
      <c r="C110" s="206">
        <v>1.5234899999999999E-2</v>
      </c>
      <c r="D110" s="244">
        <v>928130</v>
      </c>
    </row>
    <row r="111" spans="1:4">
      <c r="A111" s="234">
        <v>32605</v>
      </c>
      <c r="B111" s="234" t="s">
        <v>68</v>
      </c>
      <c r="C111" s="206">
        <v>2.2406000000000001E-3</v>
      </c>
      <c r="D111" s="244">
        <v>148756</v>
      </c>
    </row>
    <row r="112" spans="1:4">
      <c r="A112" s="234">
        <v>32700</v>
      </c>
      <c r="B112" s="234" t="s">
        <v>331</v>
      </c>
      <c r="C112" s="206">
        <v>1.4205999999999999E-3</v>
      </c>
      <c r="D112" s="244">
        <v>86229</v>
      </c>
    </row>
    <row r="113" spans="1:4">
      <c r="A113" s="234">
        <v>32800</v>
      </c>
      <c r="B113" s="234" t="s">
        <v>332</v>
      </c>
      <c r="C113" s="206">
        <v>1.9001999999999999E-3</v>
      </c>
      <c r="D113" s="244">
        <v>126900</v>
      </c>
    </row>
    <row r="114" spans="1:4">
      <c r="A114" s="234">
        <v>32900</v>
      </c>
      <c r="B114" s="234" t="s">
        <v>333</v>
      </c>
      <c r="C114" s="206">
        <v>5.7412000000000001E-3</v>
      </c>
      <c r="D114" s="244">
        <v>347008</v>
      </c>
    </row>
    <row r="115" spans="1:4">
      <c r="A115" s="234">
        <v>32901</v>
      </c>
      <c r="B115" s="234" t="s">
        <v>334</v>
      </c>
      <c r="C115" s="206">
        <v>1.329E-4</v>
      </c>
      <c r="D115" s="244">
        <v>7446</v>
      </c>
    </row>
    <row r="116" spans="1:4">
      <c r="A116" s="234">
        <v>32905</v>
      </c>
      <c r="B116" s="234" t="s">
        <v>69</v>
      </c>
      <c r="C116" s="206">
        <v>8.4650000000000003E-4</v>
      </c>
      <c r="D116" s="244">
        <v>55441</v>
      </c>
    </row>
    <row r="117" spans="1:4">
      <c r="A117" s="234">
        <v>32910</v>
      </c>
      <c r="B117" s="234" t="s">
        <v>335</v>
      </c>
      <c r="C117" s="206">
        <v>1.0832999999999999E-3</v>
      </c>
      <c r="D117" s="244">
        <v>67672</v>
      </c>
    </row>
    <row r="118" spans="1:4">
      <c r="A118" s="234">
        <v>32920</v>
      </c>
      <c r="B118" s="234" t="s">
        <v>336</v>
      </c>
      <c r="C118" s="206">
        <v>9.0410000000000002E-4</v>
      </c>
      <c r="D118" s="244">
        <v>53481</v>
      </c>
    </row>
    <row r="119" spans="1:4">
      <c r="A119" s="234">
        <v>33000</v>
      </c>
      <c r="B119" s="234" t="s">
        <v>337</v>
      </c>
      <c r="C119" s="206">
        <v>2.1795E-3</v>
      </c>
      <c r="D119" s="244">
        <v>127550</v>
      </c>
    </row>
    <row r="120" spans="1:4">
      <c r="A120" s="234">
        <v>33001</v>
      </c>
      <c r="B120" s="234" t="s">
        <v>338</v>
      </c>
      <c r="C120" s="206">
        <v>7.5599999999999994E-5</v>
      </c>
      <c r="D120" s="244">
        <v>3807</v>
      </c>
    </row>
    <row r="121" spans="1:4">
      <c r="A121" s="234">
        <v>33027</v>
      </c>
      <c r="B121" s="234" t="s">
        <v>339</v>
      </c>
      <c r="C121" s="206">
        <v>2.5589999999999999E-4</v>
      </c>
      <c r="D121" s="244">
        <v>12266</v>
      </c>
    </row>
    <row r="122" spans="1:4">
      <c r="A122" s="234">
        <v>33100</v>
      </c>
      <c r="B122" s="234" t="s">
        <v>340</v>
      </c>
      <c r="C122" s="206">
        <v>3.1421999999999999E-3</v>
      </c>
      <c r="D122" s="244">
        <v>190615</v>
      </c>
    </row>
    <row r="123" spans="1:4">
      <c r="A123" s="234">
        <v>33105</v>
      </c>
      <c r="B123" s="234" t="s">
        <v>70</v>
      </c>
      <c r="C123" s="206">
        <v>3.4890000000000002E-4</v>
      </c>
      <c r="D123" s="244">
        <v>22846</v>
      </c>
    </row>
    <row r="124" spans="1:4">
      <c r="A124" s="234">
        <v>33200</v>
      </c>
      <c r="B124" s="234" t="s">
        <v>341</v>
      </c>
      <c r="C124" s="206">
        <v>1.38841E-2</v>
      </c>
      <c r="D124" s="244">
        <v>794163</v>
      </c>
    </row>
    <row r="125" spans="1:4">
      <c r="A125" s="234">
        <v>33202</v>
      </c>
      <c r="B125" s="234" t="s">
        <v>342</v>
      </c>
      <c r="C125" s="206">
        <v>2.05E-4</v>
      </c>
      <c r="D125" s="244">
        <v>10328</v>
      </c>
    </row>
    <row r="126" spans="1:4">
      <c r="A126" s="234">
        <v>33203</v>
      </c>
      <c r="B126" s="234" t="s">
        <v>343</v>
      </c>
      <c r="C126" s="206">
        <v>1.283E-4</v>
      </c>
      <c r="D126" s="244">
        <v>6017</v>
      </c>
    </row>
    <row r="127" spans="1:4">
      <c r="A127" s="234">
        <v>33204</v>
      </c>
      <c r="B127" s="234" t="s">
        <v>344</v>
      </c>
      <c r="C127" s="206">
        <v>4.215E-4</v>
      </c>
      <c r="D127" s="244">
        <v>20427</v>
      </c>
    </row>
    <row r="128" spans="1:4">
      <c r="A128" s="234">
        <v>33205</v>
      </c>
      <c r="B128" s="234" t="s">
        <v>71</v>
      </c>
      <c r="C128" s="206">
        <v>1.1609999999999999E-3</v>
      </c>
      <c r="D128" s="244">
        <v>73872</v>
      </c>
    </row>
    <row r="129" spans="1:4">
      <c r="A129" s="234">
        <v>33206</v>
      </c>
      <c r="B129" s="234" t="s">
        <v>345</v>
      </c>
      <c r="C129" s="206">
        <v>9.8999999999999994E-5</v>
      </c>
      <c r="D129" s="244">
        <v>5925</v>
      </c>
    </row>
    <row r="130" spans="1:4">
      <c r="A130" s="234">
        <v>33207</v>
      </c>
      <c r="B130" s="234" t="s">
        <v>346</v>
      </c>
      <c r="C130" s="206">
        <v>2.8380000000000001E-4</v>
      </c>
      <c r="D130" s="244">
        <v>11833</v>
      </c>
    </row>
    <row r="131" spans="1:4">
      <c r="A131" s="234">
        <v>33208</v>
      </c>
      <c r="B131" s="234" t="s">
        <v>347</v>
      </c>
      <c r="D131" s="244">
        <v>428</v>
      </c>
    </row>
    <row r="132" spans="1:4">
      <c r="A132" s="234">
        <v>33209</v>
      </c>
      <c r="B132" s="234" t="s">
        <v>348</v>
      </c>
      <c r="C132" s="206">
        <v>6.9300000000000004E-5</v>
      </c>
      <c r="D132" s="244">
        <v>3710</v>
      </c>
    </row>
    <row r="133" spans="1:4">
      <c r="A133" s="234">
        <v>33300</v>
      </c>
      <c r="B133" s="234" t="s">
        <v>349</v>
      </c>
      <c r="C133" s="206">
        <v>2.0338000000000001E-3</v>
      </c>
      <c r="D133" s="244">
        <v>123857</v>
      </c>
    </row>
    <row r="134" spans="1:4">
      <c r="A134" s="234">
        <v>33305</v>
      </c>
      <c r="B134" s="234" t="s">
        <v>72</v>
      </c>
      <c r="C134" s="206">
        <v>4.8710000000000002E-4</v>
      </c>
      <c r="D134" s="244">
        <v>36425</v>
      </c>
    </row>
    <row r="135" spans="1:4">
      <c r="A135" s="234">
        <v>33400</v>
      </c>
      <c r="B135" s="234" t="s">
        <v>350</v>
      </c>
      <c r="C135" s="206">
        <v>1.80564E-2</v>
      </c>
      <c r="D135" s="244">
        <v>1108218</v>
      </c>
    </row>
    <row r="136" spans="1:4">
      <c r="A136" s="234">
        <v>33402</v>
      </c>
      <c r="B136" s="234" t="s">
        <v>351</v>
      </c>
      <c r="C136" s="206">
        <v>1.4579999999999999E-4</v>
      </c>
      <c r="D136" s="244">
        <v>7940</v>
      </c>
    </row>
    <row r="137" spans="1:4">
      <c r="A137" s="234">
        <v>33405</v>
      </c>
      <c r="B137" s="234" t="s">
        <v>73</v>
      </c>
      <c r="C137" s="206">
        <v>1.7166E-3</v>
      </c>
      <c r="D137" s="244">
        <v>115509</v>
      </c>
    </row>
    <row r="138" spans="1:4">
      <c r="A138" s="234">
        <v>33500</v>
      </c>
      <c r="B138" s="234" t="s">
        <v>352</v>
      </c>
      <c r="C138" s="206">
        <v>2.8739E-3</v>
      </c>
      <c r="D138" s="244">
        <v>165051</v>
      </c>
    </row>
    <row r="139" spans="1:4">
      <c r="A139" s="234">
        <v>33501</v>
      </c>
      <c r="B139" s="234" t="s">
        <v>353</v>
      </c>
      <c r="C139" s="206">
        <v>6.7899999999999997E-5</v>
      </c>
      <c r="D139" s="244">
        <v>3661</v>
      </c>
    </row>
    <row r="140" spans="1:4">
      <c r="A140" s="234">
        <v>33600</v>
      </c>
      <c r="B140" s="234" t="s">
        <v>354</v>
      </c>
      <c r="C140" s="206">
        <v>9.7339999999999996E-3</v>
      </c>
      <c r="D140" s="244">
        <v>570399</v>
      </c>
    </row>
    <row r="141" spans="1:4">
      <c r="A141" s="234">
        <v>33605</v>
      </c>
      <c r="B141" s="234" t="s">
        <v>74</v>
      </c>
      <c r="C141" s="206">
        <v>1.2463999999999999E-3</v>
      </c>
      <c r="D141" s="244">
        <v>87643</v>
      </c>
    </row>
    <row r="142" spans="1:4">
      <c r="A142" s="234">
        <v>33700</v>
      </c>
      <c r="B142" s="234" t="s">
        <v>355</v>
      </c>
      <c r="C142" s="206">
        <v>6.6239999999999995E-4</v>
      </c>
      <c r="D142" s="244">
        <v>41193</v>
      </c>
    </row>
    <row r="143" spans="1:4">
      <c r="A143" s="234">
        <v>33800</v>
      </c>
      <c r="B143" s="234" t="s">
        <v>356</v>
      </c>
      <c r="C143" s="206">
        <v>5.1219999999999998E-4</v>
      </c>
      <c r="D143" s="244">
        <v>31137</v>
      </c>
    </row>
    <row r="144" spans="1:4">
      <c r="A144" s="234">
        <v>33900</v>
      </c>
      <c r="B144" s="234" t="s">
        <v>357</v>
      </c>
      <c r="C144" s="206">
        <v>2.5641000000000001E-3</v>
      </c>
      <c r="D144" s="244">
        <v>160658</v>
      </c>
    </row>
    <row r="145" spans="1:4">
      <c r="A145" s="234">
        <v>34000</v>
      </c>
      <c r="B145" s="234" t="s">
        <v>358</v>
      </c>
      <c r="C145" s="206">
        <v>1.1677E-3</v>
      </c>
      <c r="D145" s="244">
        <v>67652</v>
      </c>
    </row>
    <row r="146" spans="1:4">
      <c r="A146" s="234">
        <v>34100</v>
      </c>
      <c r="B146" s="234" t="s">
        <v>359</v>
      </c>
      <c r="C146" s="206">
        <v>2.61458E-2</v>
      </c>
      <c r="D146" s="244">
        <v>1513304</v>
      </c>
    </row>
    <row r="147" spans="1:4">
      <c r="A147" s="234">
        <v>34105</v>
      </c>
      <c r="B147" s="234" t="s">
        <v>75</v>
      </c>
      <c r="C147" s="206">
        <v>2.2208000000000002E-3</v>
      </c>
      <c r="D147" s="244">
        <v>147116</v>
      </c>
    </row>
    <row r="148" spans="1:4">
      <c r="A148" s="234">
        <v>34200</v>
      </c>
      <c r="B148" s="234" t="s">
        <v>360</v>
      </c>
      <c r="C148" s="206">
        <v>8.3549999999999998E-4</v>
      </c>
      <c r="D148" s="244">
        <v>56491</v>
      </c>
    </row>
    <row r="149" spans="1:4">
      <c r="A149" s="234">
        <v>34205</v>
      </c>
      <c r="B149" s="234" t="s">
        <v>76</v>
      </c>
      <c r="C149" s="206">
        <v>4.0170000000000001E-4</v>
      </c>
      <c r="D149" s="244">
        <v>27731</v>
      </c>
    </row>
    <row r="150" spans="1:4">
      <c r="A150" s="234">
        <v>34220</v>
      </c>
      <c r="B150" s="234" t="s">
        <v>361</v>
      </c>
      <c r="C150" s="206">
        <v>9.4919999999999998E-4</v>
      </c>
      <c r="D150" s="244">
        <v>61558</v>
      </c>
    </row>
    <row r="151" spans="1:4">
      <c r="A151" s="234">
        <v>34230</v>
      </c>
      <c r="B151" s="234" t="s">
        <v>362</v>
      </c>
      <c r="C151" s="206">
        <v>3.8259999999999998E-4</v>
      </c>
      <c r="D151" s="244">
        <v>24011</v>
      </c>
    </row>
    <row r="152" spans="1:4">
      <c r="A152" s="234">
        <v>34300</v>
      </c>
      <c r="B152" s="234" t="s">
        <v>363</v>
      </c>
      <c r="C152" s="206">
        <v>6.3657000000000002E-3</v>
      </c>
      <c r="D152" s="244">
        <v>363947</v>
      </c>
    </row>
    <row r="153" spans="1:4">
      <c r="A153" s="234">
        <v>34400</v>
      </c>
      <c r="B153" s="234" t="s">
        <v>364</v>
      </c>
      <c r="C153" s="206">
        <v>2.4949E-3</v>
      </c>
      <c r="D153" s="244">
        <v>147297</v>
      </c>
    </row>
    <row r="154" spans="1:4">
      <c r="A154" s="234">
        <v>34405</v>
      </c>
      <c r="B154" s="234" t="s">
        <v>77</v>
      </c>
      <c r="C154" s="206">
        <v>4.9669999999999998E-4</v>
      </c>
      <c r="D154" s="244">
        <v>31269</v>
      </c>
    </row>
    <row r="155" spans="1:4">
      <c r="A155" s="234">
        <v>34500</v>
      </c>
      <c r="B155" s="234" t="s">
        <v>365</v>
      </c>
      <c r="C155" s="206">
        <v>4.4920000000000003E-3</v>
      </c>
      <c r="D155" s="244">
        <v>266727</v>
      </c>
    </row>
    <row r="156" spans="1:4">
      <c r="A156" s="234">
        <v>34501</v>
      </c>
      <c r="B156" s="234" t="s">
        <v>366</v>
      </c>
      <c r="C156" s="206">
        <v>5.5300000000000002E-5</v>
      </c>
      <c r="D156" s="244">
        <v>3062</v>
      </c>
    </row>
    <row r="157" spans="1:4">
      <c r="A157" s="234">
        <v>34505</v>
      </c>
      <c r="B157" s="234" t="s">
        <v>78</v>
      </c>
      <c r="C157" s="206">
        <v>5.7729999999999999E-4</v>
      </c>
      <c r="D157" s="244">
        <v>39360</v>
      </c>
    </row>
    <row r="158" spans="1:4">
      <c r="A158" s="234">
        <v>34600</v>
      </c>
      <c r="B158" s="234" t="s">
        <v>367</v>
      </c>
      <c r="C158" s="206">
        <v>1.0660999999999999E-3</v>
      </c>
      <c r="D158" s="244">
        <v>67895</v>
      </c>
    </row>
    <row r="159" spans="1:4">
      <c r="A159" s="234">
        <v>34605</v>
      </c>
      <c r="B159" s="234" t="s">
        <v>79</v>
      </c>
      <c r="C159" s="206">
        <v>2.1880000000000001E-4</v>
      </c>
      <c r="D159" s="244">
        <v>14564</v>
      </c>
    </row>
    <row r="160" spans="1:4">
      <c r="A160" s="234">
        <v>34700</v>
      </c>
      <c r="B160" s="234" t="s">
        <v>368</v>
      </c>
      <c r="C160" s="206">
        <v>2.9867000000000001E-3</v>
      </c>
      <c r="D160" s="244">
        <v>161601</v>
      </c>
    </row>
    <row r="161" spans="1:4">
      <c r="A161" s="234">
        <v>34800</v>
      </c>
      <c r="B161" s="234" t="s">
        <v>369</v>
      </c>
      <c r="C161" s="206">
        <v>3.2909999999999998E-4</v>
      </c>
      <c r="D161" s="244">
        <v>21832</v>
      </c>
    </row>
    <row r="162" spans="1:4">
      <c r="A162" s="234">
        <v>34900</v>
      </c>
      <c r="B162" s="234" t="s">
        <v>370</v>
      </c>
      <c r="C162" s="206">
        <v>6.4346000000000004E-3</v>
      </c>
      <c r="D162" s="244">
        <v>389780</v>
      </c>
    </row>
    <row r="163" spans="1:4">
      <c r="A163" s="234">
        <v>34901</v>
      </c>
      <c r="B163" s="234" t="s">
        <v>371</v>
      </c>
      <c r="C163" s="206">
        <v>1.593E-4</v>
      </c>
      <c r="D163" s="244">
        <v>8350</v>
      </c>
    </row>
    <row r="164" spans="1:4">
      <c r="A164" s="234">
        <v>34903</v>
      </c>
      <c r="B164" s="234" t="s">
        <v>372</v>
      </c>
      <c r="C164" s="206">
        <v>1.01E-5</v>
      </c>
      <c r="D164" s="244">
        <v>982</v>
      </c>
    </row>
    <row r="165" spans="1:4">
      <c r="A165" s="234">
        <v>34905</v>
      </c>
      <c r="B165" s="234" t="s">
        <v>80</v>
      </c>
      <c r="C165" s="206">
        <v>6.3719999999999998E-4</v>
      </c>
      <c r="D165" s="244">
        <v>39702</v>
      </c>
    </row>
    <row r="166" spans="1:4">
      <c r="A166" s="234">
        <v>34910</v>
      </c>
      <c r="B166" s="234" t="s">
        <v>373</v>
      </c>
      <c r="C166" s="206">
        <v>2.0162000000000001E-3</v>
      </c>
      <c r="D166" s="244">
        <v>114987</v>
      </c>
    </row>
    <row r="167" spans="1:4">
      <c r="A167" s="234">
        <v>35000</v>
      </c>
      <c r="B167" s="234" t="s">
        <v>374</v>
      </c>
      <c r="C167" s="206">
        <v>1.3412999999999999E-3</v>
      </c>
      <c r="D167" s="244">
        <v>77855</v>
      </c>
    </row>
    <row r="168" spans="1:4">
      <c r="A168" s="234">
        <v>35005</v>
      </c>
      <c r="B168" s="234" t="s">
        <v>81</v>
      </c>
      <c r="C168" s="206">
        <v>6.1209999999999997E-4</v>
      </c>
      <c r="D168" s="244">
        <v>39300</v>
      </c>
    </row>
    <row r="169" spans="1:4">
      <c r="A169" s="234">
        <v>35100</v>
      </c>
      <c r="B169" s="234" t="s">
        <v>375</v>
      </c>
      <c r="C169" s="206">
        <v>1.17844E-2</v>
      </c>
      <c r="D169" s="244">
        <v>663328</v>
      </c>
    </row>
    <row r="170" spans="1:4">
      <c r="A170" s="234">
        <v>35105</v>
      </c>
      <c r="B170" s="234" t="s">
        <v>82</v>
      </c>
      <c r="C170" s="206">
        <v>1.0185000000000001E-3</v>
      </c>
      <c r="D170" s="244">
        <v>61205</v>
      </c>
    </row>
    <row r="171" spans="1:4">
      <c r="A171" s="234">
        <v>35106</v>
      </c>
      <c r="B171" s="234" t="s">
        <v>376</v>
      </c>
      <c r="C171" s="206">
        <v>2.5569999999999998E-4</v>
      </c>
      <c r="D171" s="244">
        <v>13107</v>
      </c>
    </row>
    <row r="172" spans="1:4">
      <c r="A172" s="234">
        <v>35200</v>
      </c>
      <c r="B172" s="234" t="s">
        <v>377</v>
      </c>
      <c r="C172" s="206">
        <v>4.8859999999999995E-4</v>
      </c>
      <c r="D172" s="244">
        <v>32505</v>
      </c>
    </row>
    <row r="173" spans="1:4">
      <c r="A173" s="234">
        <v>35300</v>
      </c>
      <c r="B173" s="234" t="s">
        <v>378</v>
      </c>
      <c r="C173" s="206">
        <v>3.6235999999999998E-3</v>
      </c>
      <c r="D173" s="244">
        <v>203327</v>
      </c>
    </row>
    <row r="174" spans="1:4">
      <c r="A174" s="234">
        <v>35305</v>
      </c>
      <c r="B174" s="234" t="s">
        <v>83</v>
      </c>
      <c r="C174" s="206">
        <v>1.2482000000000001E-3</v>
      </c>
      <c r="D174" s="244">
        <v>78815</v>
      </c>
    </row>
    <row r="175" spans="1:4">
      <c r="A175" s="234">
        <v>35400</v>
      </c>
      <c r="B175" s="234" t="s">
        <v>379</v>
      </c>
      <c r="C175" s="206">
        <v>2.6048E-3</v>
      </c>
      <c r="D175" s="244">
        <v>164104</v>
      </c>
    </row>
    <row r="176" spans="1:4">
      <c r="A176" s="234">
        <v>35401</v>
      </c>
      <c r="B176" s="234" t="s">
        <v>380</v>
      </c>
      <c r="C176" s="206">
        <v>3.2499999999999997E-5</v>
      </c>
      <c r="D176" s="244">
        <v>1718</v>
      </c>
    </row>
    <row r="177" spans="1:4">
      <c r="A177" s="234">
        <v>35405</v>
      </c>
      <c r="B177" s="234" t="s">
        <v>84</v>
      </c>
      <c r="C177" s="206">
        <v>9.1980000000000002E-4</v>
      </c>
      <c r="D177" s="244">
        <v>55186</v>
      </c>
    </row>
    <row r="178" spans="1:4">
      <c r="A178" s="234">
        <v>35500</v>
      </c>
      <c r="B178" s="234" t="s">
        <v>381</v>
      </c>
      <c r="C178" s="206">
        <v>3.6135E-3</v>
      </c>
      <c r="D178" s="244">
        <v>214544</v>
      </c>
    </row>
    <row r="179" spans="1:4">
      <c r="A179" s="234">
        <v>35600</v>
      </c>
      <c r="B179" s="234" t="s">
        <v>382</v>
      </c>
      <c r="C179" s="206">
        <v>1.5342999999999999E-3</v>
      </c>
      <c r="D179" s="244">
        <v>92647</v>
      </c>
    </row>
    <row r="180" spans="1:4">
      <c r="A180" s="234">
        <v>35700</v>
      </c>
      <c r="B180" s="234" t="s">
        <v>383</v>
      </c>
      <c r="C180" s="206">
        <v>8.3239999999999996E-4</v>
      </c>
      <c r="D180" s="244">
        <v>51154</v>
      </c>
    </row>
    <row r="181" spans="1:4">
      <c r="A181" s="234">
        <v>35800</v>
      </c>
      <c r="B181" s="234" t="s">
        <v>384</v>
      </c>
      <c r="C181" s="206">
        <v>1.1681E-3</v>
      </c>
      <c r="D181" s="244">
        <v>77568</v>
      </c>
    </row>
    <row r="182" spans="1:4">
      <c r="A182" s="234">
        <v>35805</v>
      </c>
      <c r="B182" s="234" t="s">
        <v>85</v>
      </c>
      <c r="C182" s="206">
        <v>2.107E-4</v>
      </c>
      <c r="D182" s="244">
        <v>15158</v>
      </c>
    </row>
    <row r="183" spans="1:4">
      <c r="A183" s="234">
        <v>35900</v>
      </c>
      <c r="B183" s="234" t="s">
        <v>385</v>
      </c>
      <c r="C183" s="206">
        <v>2.1868E-3</v>
      </c>
      <c r="D183" s="244">
        <v>131767</v>
      </c>
    </row>
    <row r="184" spans="1:4">
      <c r="A184" s="234">
        <v>35905</v>
      </c>
      <c r="B184" s="234" t="s">
        <v>86</v>
      </c>
      <c r="C184" s="206">
        <v>3.009E-4</v>
      </c>
      <c r="D184" s="244">
        <v>22532</v>
      </c>
    </row>
    <row r="185" spans="1:4">
      <c r="A185" s="234">
        <v>36000</v>
      </c>
      <c r="B185" s="234" t="s">
        <v>386</v>
      </c>
      <c r="C185" s="206">
        <v>5.37365E-2</v>
      </c>
      <c r="D185" s="244">
        <v>2977938</v>
      </c>
    </row>
    <row r="186" spans="1:4">
      <c r="A186" s="234">
        <v>36001</v>
      </c>
      <c r="B186" s="234" t="s">
        <v>387</v>
      </c>
      <c r="C186" s="206">
        <v>2.5999999999999998E-5</v>
      </c>
      <c r="D186" s="244">
        <v>1690</v>
      </c>
    </row>
    <row r="187" spans="1:4">
      <c r="A187" s="234">
        <v>36003</v>
      </c>
      <c r="B187" s="234" t="s">
        <v>388</v>
      </c>
      <c r="C187" s="206">
        <v>3.8870000000000002E-4</v>
      </c>
      <c r="D187" s="244">
        <v>19522</v>
      </c>
    </row>
    <row r="188" spans="1:4">
      <c r="A188" s="234">
        <v>36004</v>
      </c>
      <c r="B188" s="234" t="s">
        <v>389</v>
      </c>
      <c r="C188" s="206">
        <v>2.2029999999999999E-4</v>
      </c>
      <c r="D188" s="244">
        <v>10315</v>
      </c>
    </row>
    <row r="189" spans="1:4">
      <c r="A189" s="234">
        <v>36005</v>
      </c>
      <c r="B189" s="234" t="s">
        <v>87</v>
      </c>
      <c r="C189" s="206">
        <v>4.4781999999999999E-3</v>
      </c>
      <c r="D189" s="244">
        <v>278100</v>
      </c>
    </row>
    <row r="190" spans="1:4">
      <c r="A190" s="234">
        <v>36006</v>
      </c>
      <c r="B190" s="234" t="s">
        <v>390</v>
      </c>
      <c r="C190" s="206">
        <v>4.8999999999999998E-4</v>
      </c>
      <c r="D190" s="244">
        <v>25314</v>
      </c>
    </row>
    <row r="191" spans="1:4">
      <c r="A191" s="234">
        <v>36007</v>
      </c>
      <c r="B191" s="234" t="s">
        <v>391</v>
      </c>
      <c r="C191" s="206">
        <v>1.7369999999999999E-4</v>
      </c>
      <c r="D191" s="244">
        <v>9309</v>
      </c>
    </row>
    <row r="192" spans="1:4">
      <c r="A192" s="234">
        <v>36008</v>
      </c>
      <c r="B192" s="234" t="s">
        <v>392</v>
      </c>
      <c r="C192" s="206">
        <v>5.5199999999999997E-4</v>
      </c>
      <c r="D192" s="244">
        <v>26211</v>
      </c>
    </row>
    <row r="193" spans="1:4">
      <c r="A193" s="234">
        <v>36009</v>
      </c>
      <c r="B193" s="234" t="s">
        <v>393</v>
      </c>
      <c r="C193" s="206">
        <v>1.3090000000000001E-4</v>
      </c>
      <c r="D193" s="244">
        <v>6473</v>
      </c>
    </row>
    <row r="194" spans="1:4">
      <c r="A194" s="234">
        <v>36100</v>
      </c>
      <c r="B194" s="234" t="s">
        <v>394</v>
      </c>
      <c r="C194" s="206">
        <v>6.5490000000000004E-4</v>
      </c>
      <c r="D194" s="244">
        <v>42782</v>
      </c>
    </row>
    <row r="195" spans="1:4">
      <c r="A195" s="234">
        <v>36102</v>
      </c>
      <c r="B195" s="234" t="s">
        <v>395</v>
      </c>
      <c r="C195" s="206">
        <v>2.0039999999999999E-4</v>
      </c>
      <c r="D195" s="244">
        <v>9284</v>
      </c>
    </row>
    <row r="196" spans="1:4">
      <c r="A196" s="234">
        <v>36105</v>
      </c>
      <c r="B196" s="234" t="s">
        <v>88</v>
      </c>
      <c r="C196" s="206">
        <v>3.5750000000000002E-4</v>
      </c>
      <c r="D196" s="244">
        <v>24021</v>
      </c>
    </row>
    <row r="197" spans="1:4">
      <c r="A197" s="234">
        <v>36200</v>
      </c>
      <c r="B197" s="234" t="s">
        <v>396</v>
      </c>
      <c r="C197" s="206">
        <v>1.3937000000000001E-3</v>
      </c>
      <c r="D197" s="244">
        <v>87686</v>
      </c>
    </row>
    <row r="198" spans="1:4">
      <c r="A198" s="234">
        <v>36205</v>
      </c>
      <c r="B198" s="234" t="s">
        <v>89</v>
      </c>
      <c r="C198" s="206">
        <v>2.5270000000000002E-4</v>
      </c>
      <c r="D198" s="244">
        <v>15509</v>
      </c>
    </row>
    <row r="199" spans="1:4">
      <c r="A199" s="234">
        <v>36300</v>
      </c>
      <c r="B199" s="234" t="s">
        <v>397</v>
      </c>
      <c r="C199" s="206">
        <v>4.4821000000000001E-3</v>
      </c>
      <c r="D199" s="244">
        <v>262978</v>
      </c>
    </row>
    <row r="200" spans="1:4">
      <c r="A200" s="234">
        <v>36301</v>
      </c>
      <c r="B200" s="234" t="s">
        <v>398</v>
      </c>
      <c r="C200" s="206">
        <v>7.2299999999999996E-5</v>
      </c>
      <c r="D200" s="244">
        <v>3494</v>
      </c>
    </row>
    <row r="201" spans="1:4">
      <c r="A201" s="234">
        <v>36302</v>
      </c>
      <c r="B201" s="234" t="s">
        <v>399</v>
      </c>
      <c r="C201" s="206">
        <v>1.0679999999999999E-4</v>
      </c>
      <c r="D201" s="244">
        <v>5464</v>
      </c>
    </row>
    <row r="202" spans="1:4">
      <c r="A202" s="234">
        <v>36303</v>
      </c>
      <c r="B202" s="234" t="s">
        <v>400</v>
      </c>
      <c r="D202" s="244">
        <v>2429</v>
      </c>
    </row>
    <row r="203" spans="1:4">
      <c r="A203" s="234">
        <v>36305</v>
      </c>
      <c r="B203" s="234" t="s">
        <v>90</v>
      </c>
      <c r="C203" s="206">
        <v>8.1789999999999999E-4</v>
      </c>
      <c r="D203" s="244">
        <v>58085</v>
      </c>
    </row>
    <row r="204" spans="1:4">
      <c r="A204" s="234">
        <v>36310</v>
      </c>
      <c r="B204" s="234" t="s">
        <v>401</v>
      </c>
      <c r="C204" s="206">
        <v>3.4999999999999997E-5</v>
      </c>
      <c r="D204" s="244">
        <v>1876</v>
      </c>
    </row>
    <row r="205" spans="1:4">
      <c r="A205" s="234">
        <v>36400</v>
      </c>
      <c r="B205" s="234" t="s">
        <v>402</v>
      </c>
      <c r="C205" s="206">
        <v>4.9451E-3</v>
      </c>
      <c r="D205" s="244">
        <v>309620</v>
      </c>
    </row>
    <row r="206" spans="1:4">
      <c r="A206" s="234">
        <v>36405</v>
      </c>
      <c r="B206" s="234" t="s">
        <v>403</v>
      </c>
      <c r="C206" s="206">
        <v>8.6149999999999996E-4</v>
      </c>
      <c r="D206" s="244">
        <v>50823</v>
      </c>
    </row>
    <row r="207" spans="1:4">
      <c r="A207" s="234">
        <v>36500</v>
      </c>
      <c r="B207" s="234" t="s">
        <v>404</v>
      </c>
      <c r="C207" s="206">
        <v>9.7397000000000004E-3</v>
      </c>
      <c r="D207" s="244">
        <v>572250</v>
      </c>
    </row>
    <row r="208" spans="1:4">
      <c r="A208" s="234">
        <v>36501</v>
      </c>
      <c r="B208" s="234" t="s">
        <v>405</v>
      </c>
      <c r="C208" s="206">
        <v>1.2860000000000001E-4</v>
      </c>
      <c r="D208" s="244">
        <v>6506</v>
      </c>
    </row>
    <row r="209" spans="1:4">
      <c r="A209" s="234">
        <v>36502</v>
      </c>
      <c r="B209" s="234" t="s">
        <v>406</v>
      </c>
      <c r="C209" s="206">
        <v>4.49E-5</v>
      </c>
      <c r="D209" s="244">
        <v>2331</v>
      </c>
    </row>
    <row r="210" spans="1:4">
      <c r="A210" s="234">
        <v>36505</v>
      </c>
      <c r="B210" s="234" t="s">
        <v>92</v>
      </c>
      <c r="C210" s="206">
        <v>1.9540999999999998E-3</v>
      </c>
      <c r="D210" s="244">
        <v>123302</v>
      </c>
    </row>
    <row r="211" spans="1:4">
      <c r="A211" s="234">
        <v>36600</v>
      </c>
      <c r="B211" s="234" t="s">
        <v>407</v>
      </c>
      <c r="C211" s="206">
        <v>6.8749999999999996E-4</v>
      </c>
      <c r="D211" s="244">
        <v>47155</v>
      </c>
    </row>
    <row r="212" spans="1:4">
      <c r="A212" s="234">
        <v>36601</v>
      </c>
      <c r="B212" s="234" t="s">
        <v>408</v>
      </c>
      <c r="C212" s="206">
        <v>4.2230000000000002E-4</v>
      </c>
      <c r="D212" s="244">
        <v>20183</v>
      </c>
    </row>
    <row r="213" spans="1:4">
      <c r="A213" s="234">
        <v>36700</v>
      </c>
      <c r="B213" s="234" t="s">
        <v>409</v>
      </c>
      <c r="C213" s="206">
        <v>8.1998999999999996E-3</v>
      </c>
      <c r="D213" s="244">
        <v>474902</v>
      </c>
    </row>
    <row r="214" spans="1:4">
      <c r="A214" s="234">
        <v>36701</v>
      </c>
      <c r="B214" s="234" t="s">
        <v>410</v>
      </c>
      <c r="C214" s="206">
        <v>2.9799999999999999E-5</v>
      </c>
      <c r="D214" s="244">
        <v>1320</v>
      </c>
    </row>
    <row r="215" spans="1:4">
      <c r="A215" s="234">
        <v>36705</v>
      </c>
      <c r="B215" s="234" t="s">
        <v>93</v>
      </c>
      <c r="C215" s="206">
        <v>9.6460000000000003E-4</v>
      </c>
      <c r="D215" s="244">
        <v>60358</v>
      </c>
    </row>
    <row r="216" spans="1:4">
      <c r="A216" s="234">
        <v>36800</v>
      </c>
      <c r="B216" s="234" t="s">
        <v>411</v>
      </c>
      <c r="C216" s="206">
        <v>3.0942000000000001E-3</v>
      </c>
      <c r="D216" s="244">
        <v>190882</v>
      </c>
    </row>
    <row r="217" spans="1:4">
      <c r="A217" s="234">
        <v>36802</v>
      </c>
      <c r="B217" s="234" t="s">
        <v>412</v>
      </c>
      <c r="C217" s="206">
        <v>1.1340000000000001E-4</v>
      </c>
      <c r="D217" s="244">
        <v>5295</v>
      </c>
    </row>
    <row r="218" spans="1:4">
      <c r="A218" s="234">
        <v>36810</v>
      </c>
      <c r="B218" s="234" t="s">
        <v>413</v>
      </c>
      <c r="C218" s="206">
        <v>5.8441999999999999E-3</v>
      </c>
      <c r="D218" s="244">
        <v>341582</v>
      </c>
    </row>
    <row r="219" spans="1:4">
      <c r="A219" s="234">
        <v>36900</v>
      </c>
      <c r="B219" s="234" t="s">
        <v>414</v>
      </c>
      <c r="C219" s="206">
        <v>5.7249999999999998E-4</v>
      </c>
      <c r="D219" s="244">
        <v>35198</v>
      </c>
    </row>
    <row r="220" spans="1:4">
      <c r="A220" s="234">
        <v>36901</v>
      </c>
      <c r="B220" s="234" t="s">
        <v>415</v>
      </c>
      <c r="C220" s="206">
        <v>1.94E-4</v>
      </c>
      <c r="D220" s="244">
        <v>12048</v>
      </c>
    </row>
    <row r="221" spans="1:4">
      <c r="A221" s="234">
        <v>36905</v>
      </c>
      <c r="B221" s="234" t="s">
        <v>94</v>
      </c>
      <c r="C221" s="206">
        <v>1.9149999999999999E-4</v>
      </c>
      <c r="D221" s="244">
        <v>13593</v>
      </c>
    </row>
    <row r="222" spans="1:4">
      <c r="A222" s="234">
        <v>37000</v>
      </c>
      <c r="B222" s="234" t="s">
        <v>416</v>
      </c>
      <c r="C222" s="206">
        <v>1.9151999999999999E-3</v>
      </c>
      <c r="D222" s="244">
        <v>116348</v>
      </c>
    </row>
    <row r="223" spans="1:4">
      <c r="A223" s="234">
        <v>37001</v>
      </c>
      <c r="B223" s="234" t="s">
        <v>417</v>
      </c>
      <c r="C223" s="206">
        <v>7.9599999999999997E-5</v>
      </c>
      <c r="D223" s="244">
        <v>3917</v>
      </c>
    </row>
    <row r="224" spans="1:4">
      <c r="A224" s="234">
        <v>37005</v>
      </c>
      <c r="B224" s="234" t="s">
        <v>95</v>
      </c>
      <c r="C224" s="206">
        <v>4.572E-4</v>
      </c>
      <c r="D224" s="244">
        <v>32154</v>
      </c>
    </row>
    <row r="225" spans="1:4">
      <c r="A225" s="234">
        <v>37100</v>
      </c>
      <c r="B225" s="234" t="s">
        <v>418</v>
      </c>
      <c r="C225" s="206">
        <v>2.9053E-3</v>
      </c>
      <c r="D225" s="244">
        <v>167058</v>
      </c>
    </row>
    <row r="226" spans="1:4">
      <c r="A226" s="234">
        <v>37200</v>
      </c>
      <c r="B226" s="234" t="s">
        <v>419</v>
      </c>
      <c r="C226" s="206">
        <v>6.4570000000000003E-4</v>
      </c>
      <c r="D226" s="244">
        <v>38634</v>
      </c>
    </row>
    <row r="227" spans="1:4">
      <c r="A227" s="234">
        <v>37300</v>
      </c>
      <c r="B227" s="234" t="s">
        <v>420</v>
      </c>
      <c r="C227" s="206">
        <v>1.7251E-3</v>
      </c>
      <c r="D227" s="244">
        <v>98821</v>
      </c>
    </row>
    <row r="228" spans="1:4">
      <c r="A228" s="234">
        <v>37301</v>
      </c>
      <c r="B228" s="234" t="s">
        <v>421</v>
      </c>
      <c r="C228" s="206">
        <v>1.8780000000000001E-4</v>
      </c>
      <c r="D228" s="244">
        <v>10804</v>
      </c>
    </row>
    <row r="229" spans="1:4">
      <c r="A229" s="234">
        <v>37305</v>
      </c>
      <c r="B229" s="234" t="s">
        <v>96</v>
      </c>
      <c r="C229" s="206">
        <v>4.4040000000000003E-4</v>
      </c>
      <c r="D229" s="244">
        <v>34140</v>
      </c>
    </row>
    <row r="230" spans="1:4">
      <c r="A230" s="234">
        <v>37400</v>
      </c>
      <c r="B230" s="234" t="s">
        <v>422</v>
      </c>
      <c r="C230" s="206">
        <v>8.0526999999999994E-3</v>
      </c>
      <c r="D230" s="244">
        <v>454142</v>
      </c>
    </row>
    <row r="231" spans="1:4">
      <c r="A231" s="234">
        <v>37405</v>
      </c>
      <c r="B231" s="234" t="s">
        <v>97</v>
      </c>
      <c r="C231" s="206">
        <v>1.864E-3</v>
      </c>
      <c r="D231" s="244">
        <v>110550</v>
      </c>
    </row>
    <row r="232" spans="1:4">
      <c r="A232" s="234">
        <v>37500</v>
      </c>
      <c r="B232" s="234" t="s">
        <v>423</v>
      </c>
      <c r="C232" s="206">
        <v>8.9360000000000004E-4</v>
      </c>
      <c r="D232" s="244">
        <v>56260</v>
      </c>
    </row>
    <row r="233" spans="1:4">
      <c r="A233" s="234">
        <v>37600</v>
      </c>
      <c r="B233" s="234" t="s">
        <v>424</v>
      </c>
      <c r="C233" s="206">
        <v>5.6343000000000001E-3</v>
      </c>
      <c r="D233" s="244">
        <v>327897</v>
      </c>
    </row>
    <row r="234" spans="1:4">
      <c r="A234" s="234">
        <v>37601</v>
      </c>
      <c r="B234" s="234" t="s">
        <v>425</v>
      </c>
      <c r="C234" s="206">
        <v>2.3470000000000001E-4</v>
      </c>
      <c r="D234" s="244">
        <v>11453</v>
      </c>
    </row>
    <row r="235" spans="1:4">
      <c r="A235" s="234">
        <v>37605</v>
      </c>
      <c r="B235" s="234" t="s">
        <v>98</v>
      </c>
      <c r="C235" s="206">
        <v>6.9490000000000003E-4</v>
      </c>
      <c r="D235" s="244">
        <v>41157</v>
      </c>
    </row>
    <row r="236" spans="1:4">
      <c r="A236" s="234">
        <v>37610</v>
      </c>
      <c r="B236" s="234" t="s">
        <v>426</v>
      </c>
      <c r="C236" s="206">
        <v>1.7455999999999999E-3</v>
      </c>
      <c r="D236" s="244">
        <v>96267</v>
      </c>
    </row>
    <row r="237" spans="1:4">
      <c r="A237" s="234">
        <v>37700</v>
      </c>
      <c r="B237" s="234" t="s">
        <v>427</v>
      </c>
      <c r="C237" s="206">
        <v>2.3754000000000002E-3</v>
      </c>
      <c r="D237" s="244">
        <v>144058</v>
      </c>
    </row>
    <row r="238" spans="1:4">
      <c r="A238" s="234">
        <v>37705</v>
      </c>
      <c r="B238" s="234" t="s">
        <v>99</v>
      </c>
      <c r="C238" s="206">
        <v>7.0790000000000002E-4</v>
      </c>
      <c r="D238" s="244">
        <v>44473</v>
      </c>
    </row>
    <row r="239" spans="1:4">
      <c r="A239" s="234">
        <v>37800</v>
      </c>
      <c r="B239" s="234" t="s">
        <v>428</v>
      </c>
      <c r="C239" s="206">
        <v>7.3393E-3</v>
      </c>
      <c r="D239" s="244">
        <v>449392</v>
      </c>
    </row>
    <row r="240" spans="1:4">
      <c r="A240" s="234">
        <v>37801</v>
      </c>
      <c r="B240" s="234" t="s">
        <v>429</v>
      </c>
      <c r="C240" s="206">
        <v>5.6400000000000002E-5</v>
      </c>
      <c r="D240" s="244">
        <v>2733</v>
      </c>
    </row>
    <row r="241" spans="1:4">
      <c r="A241" s="234">
        <v>37805</v>
      </c>
      <c r="B241" s="234" t="s">
        <v>100</v>
      </c>
      <c r="C241" s="206">
        <v>5.4929999999999996E-4</v>
      </c>
      <c r="D241" s="244">
        <v>36759</v>
      </c>
    </row>
    <row r="242" spans="1:4">
      <c r="A242" s="234">
        <v>37900</v>
      </c>
      <c r="B242" s="234" t="s">
        <v>430</v>
      </c>
      <c r="C242" s="206">
        <v>3.8422999999999999E-3</v>
      </c>
      <c r="D242" s="244">
        <v>238928</v>
      </c>
    </row>
    <row r="243" spans="1:4">
      <c r="A243" s="234">
        <v>37901</v>
      </c>
      <c r="B243" s="234" t="s">
        <v>431</v>
      </c>
      <c r="C243" s="206">
        <v>5.2200000000000002E-5</v>
      </c>
      <c r="D243" s="244">
        <v>3306</v>
      </c>
    </row>
    <row r="244" spans="1:4">
      <c r="A244" s="234">
        <v>37905</v>
      </c>
      <c r="B244" s="234" t="s">
        <v>101</v>
      </c>
      <c r="C244" s="206">
        <v>4.6309999999999998E-4</v>
      </c>
      <c r="D244" s="244">
        <v>31794</v>
      </c>
    </row>
    <row r="245" spans="1:4">
      <c r="A245" s="234">
        <v>38000</v>
      </c>
      <c r="B245" s="234" t="s">
        <v>432</v>
      </c>
      <c r="C245" s="206">
        <v>6.3971999999999996E-3</v>
      </c>
      <c r="D245" s="244">
        <v>381706</v>
      </c>
    </row>
    <row r="246" spans="1:4">
      <c r="A246" s="234">
        <v>38005</v>
      </c>
      <c r="B246" s="234" t="s">
        <v>102</v>
      </c>
      <c r="C246" s="206">
        <v>1.2283999999999999E-3</v>
      </c>
      <c r="D246" s="244">
        <v>76597</v>
      </c>
    </row>
    <row r="247" spans="1:4">
      <c r="A247" s="234">
        <v>38100</v>
      </c>
      <c r="B247" s="234" t="s">
        <v>433</v>
      </c>
      <c r="C247" s="206">
        <v>2.8528E-3</v>
      </c>
      <c r="D247" s="244">
        <v>177404</v>
      </c>
    </row>
    <row r="248" spans="1:4">
      <c r="A248" s="234">
        <v>38105</v>
      </c>
      <c r="B248" s="234" t="s">
        <v>103</v>
      </c>
      <c r="C248" s="206">
        <v>5.7609999999999996E-4</v>
      </c>
      <c r="D248" s="244">
        <v>35939</v>
      </c>
    </row>
    <row r="249" spans="1:4">
      <c r="A249" s="234">
        <v>38200</v>
      </c>
      <c r="B249" s="234" t="s">
        <v>434</v>
      </c>
      <c r="C249" s="206">
        <v>2.7244000000000001E-3</v>
      </c>
      <c r="D249" s="244">
        <v>162965</v>
      </c>
    </row>
    <row r="250" spans="1:4">
      <c r="A250" s="234">
        <v>38205</v>
      </c>
      <c r="B250" s="234" t="s">
        <v>104</v>
      </c>
      <c r="C250" s="206">
        <v>3.992E-4</v>
      </c>
      <c r="D250" s="244">
        <v>27024</v>
      </c>
    </row>
    <row r="251" spans="1:4">
      <c r="A251" s="234">
        <v>38210</v>
      </c>
      <c r="B251" s="234" t="s">
        <v>435</v>
      </c>
      <c r="C251" s="206">
        <v>1.0332E-3</v>
      </c>
      <c r="D251" s="244">
        <v>61310</v>
      </c>
    </row>
    <row r="252" spans="1:4">
      <c r="A252" s="234">
        <v>38300</v>
      </c>
      <c r="B252" s="234" t="s">
        <v>436</v>
      </c>
      <c r="C252" s="206">
        <v>2.1595E-3</v>
      </c>
      <c r="D252" s="244">
        <v>130519</v>
      </c>
    </row>
    <row r="253" spans="1:4">
      <c r="A253" s="234">
        <v>38400</v>
      </c>
      <c r="B253" s="234" t="s">
        <v>437</v>
      </c>
      <c r="C253" s="206">
        <v>2.6337999999999999E-3</v>
      </c>
      <c r="D253" s="244">
        <v>162424</v>
      </c>
    </row>
    <row r="254" spans="1:4">
      <c r="A254" s="234">
        <v>38402</v>
      </c>
      <c r="B254" s="234" t="s">
        <v>438</v>
      </c>
      <c r="C254" s="206">
        <v>1.12E-4</v>
      </c>
      <c r="D254" s="244">
        <v>5917</v>
      </c>
    </row>
    <row r="255" spans="1:4">
      <c r="A255" s="234">
        <v>38405</v>
      </c>
      <c r="B255" s="234" t="s">
        <v>105</v>
      </c>
      <c r="C255" s="206">
        <v>7.0279999999999995E-4</v>
      </c>
      <c r="D255" s="244">
        <v>40918</v>
      </c>
    </row>
    <row r="256" spans="1:4">
      <c r="A256" s="234">
        <v>38500</v>
      </c>
      <c r="B256" s="234" t="s">
        <v>439</v>
      </c>
      <c r="C256" s="206">
        <v>2.0376999999999999E-3</v>
      </c>
      <c r="D256" s="244">
        <v>127166</v>
      </c>
    </row>
    <row r="257" spans="1:4">
      <c r="A257" s="234">
        <v>38600</v>
      </c>
      <c r="B257" s="234" t="s">
        <v>440</v>
      </c>
      <c r="C257" s="206">
        <v>2.6662000000000001E-3</v>
      </c>
      <c r="D257" s="244">
        <v>161419</v>
      </c>
    </row>
    <row r="258" spans="1:4">
      <c r="A258" s="234">
        <v>38601</v>
      </c>
      <c r="B258" s="234" t="s">
        <v>441</v>
      </c>
      <c r="C258" s="206">
        <v>3.18E-5</v>
      </c>
      <c r="D258" s="244">
        <v>1758</v>
      </c>
    </row>
    <row r="259" spans="1:4">
      <c r="A259" s="234">
        <v>38602</v>
      </c>
      <c r="B259" s="234" t="s">
        <v>442</v>
      </c>
      <c r="C259" s="206">
        <v>1.9929999999999999E-4</v>
      </c>
      <c r="D259" s="244">
        <v>11491</v>
      </c>
    </row>
    <row r="260" spans="1:4">
      <c r="A260" s="234">
        <v>38605</v>
      </c>
      <c r="B260" s="234" t="s">
        <v>106</v>
      </c>
      <c r="C260" s="206">
        <v>7.4120000000000002E-4</v>
      </c>
      <c r="D260" s="244">
        <v>45446</v>
      </c>
    </row>
    <row r="261" spans="1:4">
      <c r="A261" s="234">
        <v>38610</v>
      </c>
      <c r="B261" s="234" t="s">
        <v>443</v>
      </c>
      <c r="C261" s="206">
        <v>5.1929999999999999E-4</v>
      </c>
      <c r="D261" s="244">
        <v>34321</v>
      </c>
    </row>
    <row r="262" spans="1:4">
      <c r="A262" s="234">
        <v>38620</v>
      </c>
      <c r="B262" s="234" t="s">
        <v>444</v>
      </c>
      <c r="C262" s="206">
        <v>4.3080000000000001E-4</v>
      </c>
      <c r="D262" s="244">
        <v>27051</v>
      </c>
    </row>
    <row r="263" spans="1:4">
      <c r="A263" s="234">
        <v>38700</v>
      </c>
      <c r="B263" s="234" t="s">
        <v>445</v>
      </c>
      <c r="C263" s="206">
        <v>8.0769999999999995E-4</v>
      </c>
      <c r="D263" s="244">
        <v>46512</v>
      </c>
    </row>
    <row r="264" spans="1:4">
      <c r="A264" s="234">
        <v>38701</v>
      </c>
      <c r="B264" s="234" t="s">
        <v>446</v>
      </c>
      <c r="C264" s="206">
        <v>4.4100000000000001E-5</v>
      </c>
      <c r="D264" s="244">
        <v>3119</v>
      </c>
    </row>
    <row r="265" spans="1:4">
      <c r="A265" s="234">
        <v>38800</v>
      </c>
      <c r="B265" s="234" t="s">
        <v>447</v>
      </c>
      <c r="C265" s="206">
        <v>1.3588000000000001E-3</v>
      </c>
      <c r="D265" s="244">
        <v>81110</v>
      </c>
    </row>
    <row r="266" spans="1:4">
      <c r="A266" s="234">
        <v>38801</v>
      </c>
      <c r="B266" s="234" t="s">
        <v>448</v>
      </c>
      <c r="C266" s="206">
        <v>1.1519999999999999E-4</v>
      </c>
      <c r="D266" s="244">
        <v>5747</v>
      </c>
    </row>
    <row r="267" spans="1:4">
      <c r="A267" s="234">
        <v>38900</v>
      </c>
      <c r="B267" s="234" t="s">
        <v>449</v>
      </c>
      <c r="C267" s="206">
        <v>2.9349999999999998E-4</v>
      </c>
      <c r="D267" s="244">
        <v>18176</v>
      </c>
    </row>
    <row r="268" spans="1:4">
      <c r="A268" s="234">
        <v>39000</v>
      </c>
      <c r="B268" s="234" t="s">
        <v>450</v>
      </c>
      <c r="C268" s="206">
        <v>1.4090699999999999E-2</v>
      </c>
      <c r="D268" s="244">
        <v>795524</v>
      </c>
    </row>
    <row r="269" spans="1:4">
      <c r="A269" s="234">
        <v>39100</v>
      </c>
      <c r="B269" s="234" t="s">
        <v>451</v>
      </c>
      <c r="C269" s="206">
        <v>2.0573000000000002E-3</v>
      </c>
      <c r="D269" s="244">
        <v>134585</v>
      </c>
    </row>
    <row r="270" spans="1:4">
      <c r="A270" s="234">
        <v>39101</v>
      </c>
      <c r="B270" s="234" t="s">
        <v>452</v>
      </c>
      <c r="C270" s="206">
        <v>1.6899999999999999E-4</v>
      </c>
      <c r="D270" s="244">
        <v>10762</v>
      </c>
    </row>
    <row r="271" spans="1:4">
      <c r="A271" s="234">
        <v>39105</v>
      </c>
      <c r="B271" s="234" t="s">
        <v>107</v>
      </c>
      <c r="C271" s="206">
        <v>8.4730000000000005E-4</v>
      </c>
      <c r="D271" s="244">
        <v>53597</v>
      </c>
    </row>
    <row r="272" spans="1:4">
      <c r="A272" s="234">
        <v>39200</v>
      </c>
      <c r="B272" s="234" t="s">
        <v>453</v>
      </c>
      <c r="C272" s="206">
        <v>5.8469500000000001E-2</v>
      </c>
      <c r="D272" s="244">
        <v>3324168</v>
      </c>
    </row>
    <row r="273" spans="1:4">
      <c r="A273" s="234">
        <v>39201</v>
      </c>
      <c r="B273" s="234" t="s">
        <v>454</v>
      </c>
      <c r="C273" s="206">
        <v>1.7530000000000001E-4</v>
      </c>
      <c r="D273" s="244">
        <v>8158</v>
      </c>
    </row>
    <row r="274" spans="1:4">
      <c r="A274" s="234">
        <v>39204</v>
      </c>
      <c r="B274" s="234" t="s">
        <v>455</v>
      </c>
      <c r="C274" s="206">
        <v>1.641E-4</v>
      </c>
      <c r="D274" s="244">
        <v>8268</v>
      </c>
    </row>
    <row r="275" spans="1:4">
      <c r="A275" s="234">
        <v>39205</v>
      </c>
      <c r="B275" s="234" t="s">
        <v>108</v>
      </c>
      <c r="C275" s="206">
        <v>4.7406999999999996E-3</v>
      </c>
      <c r="D275" s="244">
        <v>294890</v>
      </c>
    </row>
    <row r="276" spans="1:4">
      <c r="A276" s="234">
        <v>39208</v>
      </c>
      <c r="B276" s="234" t="s">
        <v>456</v>
      </c>
      <c r="C276" s="206">
        <v>3.4610000000000001E-4</v>
      </c>
      <c r="D276" s="244">
        <v>17640</v>
      </c>
    </row>
    <row r="277" spans="1:4">
      <c r="A277" s="234">
        <v>39209</v>
      </c>
      <c r="B277" s="234" t="s">
        <v>457</v>
      </c>
      <c r="C277" s="206">
        <v>1.916E-4</v>
      </c>
      <c r="D277" s="244">
        <v>9200</v>
      </c>
    </row>
    <row r="278" spans="1:4">
      <c r="A278" s="234">
        <v>39300</v>
      </c>
      <c r="B278" s="234" t="s">
        <v>458</v>
      </c>
      <c r="C278" s="206">
        <v>7.6119999999999996E-4</v>
      </c>
      <c r="D278" s="244">
        <v>49111</v>
      </c>
    </row>
    <row r="279" spans="1:4">
      <c r="A279" s="234">
        <v>39301</v>
      </c>
      <c r="B279" s="234" t="s">
        <v>459</v>
      </c>
      <c r="C279" s="206">
        <v>5.3900000000000002E-5</v>
      </c>
      <c r="D279" s="244">
        <v>3070</v>
      </c>
    </row>
    <row r="280" spans="1:4">
      <c r="A280" s="234">
        <v>39400</v>
      </c>
      <c r="B280" s="234" t="s">
        <v>460</v>
      </c>
      <c r="C280" s="206">
        <v>5.419E-4</v>
      </c>
      <c r="D280" s="244">
        <v>37358</v>
      </c>
    </row>
    <row r="281" spans="1:4">
      <c r="A281" s="234">
        <v>39401</v>
      </c>
      <c r="B281" s="234" t="s">
        <v>461</v>
      </c>
      <c r="C281" s="206">
        <v>3.1119999999999997E-4</v>
      </c>
      <c r="D281" s="244">
        <v>13347</v>
      </c>
    </row>
    <row r="282" spans="1:4">
      <c r="A282" s="234">
        <v>39500</v>
      </c>
      <c r="B282" s="234" t="s">
        <v>462</v>
      </c>
      <c r="C282" s="206">
        <v>1.745E-3</v>
      </c>
      <c r="D282" s="244">
        <v>104563</v>
      </c>
    </row>
    <row r="283" spans="1:4">
      <c r="A283" s="234">
        <v>39501</v>
      </c>
      <c r="B283" s="234" t="s">
        <v>463</v>
      </c>
      <c r="C283" s="206">
        <v>6.0399999999999998E-5</v>
      </c>
      <c r="D283" s="244">
        <v>3284</v>
      </c>
    </row>
    <row r="284" spans="1:4">
      <c r="A284" s="234">
        <v>39600</v>
      </c>
      <c r="B284" s="234" t="s">
        <v>464</v>
      </c>
      <c r="C284" s="206">
        <v>5.7155000000000001E-3</v>
      </c>
      <c r="D284" s="244">
        <v>356807</v>
      </c>
    </row>
    <row r="285" spans="1:4">
      <c r="A285" s="234">
        <v>39605</v>
      </c>
      <c r="B285" s="234" t="s">
        <v>109</v>
      </c>
      <c r="C285" s="206">
        <v>8.4079999999999995E-4</v>
      </c>
      <c r="D285" s="244">
        <v>52920</v>
      </c>
    </row>
    <row r="286" spans="1:4">
      <c r="A286" s="234">
        <v>39700</v>
      </c>
      <c r="B286" s="234" t="s">
        <v>465</v>
      </c>
      <c r="C286" s="206">
        <v>3.3145000000000002E-3</v>
      </c>
      <c r="D286" s="244">
        <v>197244</v>
      </c>
    </row>
    <row r="287" spans="1:4">
      <c r="A287" s="234">
        <v>39703</v>
      </c>
      <c r="B287" s="234" t="s">
        <v>466</v>
      </c>
      <c r="C287" s="206">
        <v>1.4329999999999999E-4</v>
      </c>
      <c r="D287" s="244">
        <v>6743</v>
      </c>
    </row>
    <row r="288" spans="1:4">
      <c r="A288" s="234">
        <v>39705</v>
      </c>
      <c r="B288" s="234" t="s">
        <v>110</v>
      </c>
      <c r="C288" s="206">
        <v>7.8140000000000002E-4</v>
      </c>
      <c r="D288" s="11">
        <v>51964</v>
      </c>
    </row>
    <row r="289" spans="1:4">
      <c r="A289" s="234">
        <v>39800</v>
      </c>
      <c r="B289" s="234" t="s">
        <v>467</v>
      </c>
      <c r="C289" s="206">
        <v>3.7190999999999999E-3</v>
      </c>
      <c r="D289" s="244">
        <v>229479</v>
      </c>
    </row>
    <row r="290" spans="1:4">
      <c r="A290" s="234">
        <v>39805</v>
      </c>
      <c r="B290" s="234" t="s">
        <v>111</v>
      </c>
      <c r="C290" s="206">
        <v>4.4000000000000002E-4</v>
      </c>
      <c r="D290" s="244">
        <v>29084</v>
      </c>
    </row>
    <row r="291" spans="1:4">
      <c r="A291" s="234">
        <v>39900</v>
      </c>
      <c r="B291" s="234" t="s">
        <v>468</v>
      </c>
      <c r="C291" s="206">
        <v>1.8667E-3</v>
      </c>
      <c r="D291" s="245">
        <v>116736</v>
      </c>
    </row>
    <row r="292" spans="1:4">
      <c r="A292" s="234">
        <v>51000</v>
      </c>
      <c r="B292" s="234" t="s">
        <v>469</v>
      </c>
      <c r="C292" s="206">
        <v>2.6253800000000001E-2</v>
      </c>
      <c r="D292" s="246">
        <v>1964155</v>
      </c>
    </row>
    <row r="293" spans="1:4">
      <c r="A293" s="234">
        <v>51000.2</v>
      </c>
      <c r="B293" s="234" t="s">
        <v>470</v>
      </c>
      <c r="C293" s="206">
        <v>1.63E-5</v>
      </c>
      <c r="D293" s="11">
        <v>1736</v>
      </c>
    </row>
    <row r="294" spans="1:4">
      <c r="A294" s="234">
        <v>51000.3</v>
      </c>
      <c r="B294" s="234" t="s">
        <v>471</v>
      </c>
      <c r="C294" s="206">
        <v>6.3610000000000001E-4</v>
      </c>
      <c r="D294" s="11">
        <v>47480</v>
      </c>
    </row>
    <row r="297" spans="1:4">
      <c r="C297" s="12">
        <f>SUM(C3:C296)</f>
        <v>0.99999999999999911</v>
      </c>
      <c r="D297" s="11">
        <f>SUM(D3:D296)</f>
        <v>61650937</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7"/>
  <sheetViews>
    <sheetView workbookViewId="0">
      <selection activeCell="D38" sqref="D38"/>
    </sheetView>
  </sheetViews>
  <sheetFormatPr defaultRowHeight="12.75"/>
  <cols>
    <col min="1" max="1" width="10.7109375" customWidth="1"/>
    <col min="2" max="2" width="64.42578125" bestFit="1" customWidth="1"/>
    <col min="3" max="3" width="15.42578125" style="11" bestFit="1" customWidth="1"/>
    <col min="4" max="4" width="15.5703125" style="12" customWidth="1"/>
  </cols>
  <sheetData>
    <row r="1" spans="1:4">
      <c r="A1" s="164">
        <v>1</v>
      </c>
      <c r="B1" s="164">
        <v>2</v>
      </c>
      <c r="C1" s="249">
        <v>3</v>
      </c>
      <c r="D1" s="249">
        <v>4</v>
      </c>
    </row>
    <row r="3" spans="1:4" s="235" customFormat="1" ht="51">
      <c r="A3" s="163" t="s">
        <v>162</v>
      </c>
      <c r="B3" s="163" t="s">
        <v>163</v>
      </c>
      <c r="C3" s="247" t="s">
        <v>472</v>
      </c>
      <c r="D3" s="248" t="s">
        <v>473</v>
      </c>
    </row>
    <row r="5" spans="1:4">
      <c r="A5">
        <v>10200</v>
      </c>
      <c r="B5" t="s">
        <v>256</v>
      </c>
      <c r="C5" s="11">
        <v>150082225</v>
      </c>
      <c r="D5" s="12">
        <v>9.8879999999999997E-4</v>
      </c>
    </row>
    <row r="6" spans="1:4">
      <c r="A6">
        <v>10400</v>
      </c>
      <c r="B6" t="s">
        <v>257</v>
      </c>
      <c r="C6" s="11">
        <v>439197704</v>
      </c>
      <c r="D6" s="12">
        <v>2.8936000000000001E-3</v>
      </c>
    </row>
    <row r="7" spans="1:4">
      <c r="A7">
        <v>10500</v>
      </c>
      <c r="B7" t="s">
        <v>474</v>
      </c>
      <c r="C7" s="11">
        <v>100764028</v>
      </c>
      <c r="D7" s="12">
        <v>6.6390000000000004E-4</v>
      </c>
    </row>
    <row r="8" spans="1:4">
      <c r="A8">
        <v>10700</v>
      </c>
      <c r="B8" t="s">
        <v>259</v>
      </c>
      <c r="C8" s="11">
        <v>610286815</v>
      </c>
      <c r="D8" s="12">
        <v>4.0207999999999997E-3</v>
      </c>
    </row>
    <row r="9" spans="1:4">
      <c r="A9">
        <v>10800</v>
      </c>
      <c r="B9" t="s">
        <v>260</v>
      </c>
      <c r="C9" s="11">
        <v>2578139031</v>
      </c>
      <c r="D9" s="12">
        <v>1.69856E-2</v>
      </c>
    </row>
    <row r="10" spans="1:4">
      <c r="A10">
        <v>10850</v>
      </c>
      <c r="B10" t="s">
        <v>475</v>
      </c>
      <c r="C10" s="11">
        <v>18066860</v>
      </c>
      <c r="D10" s="12">
        <v>1.1900000000000001E-4</v>
      </c>
    </row>
    <row r="11" spans="1:4">
      <c r="A11">
        <v>10900</v>
      </c>
      <c r="B11" t="s">
        <v>262</v>
      </c>
      <c r="C11" s="11">
        <v>249851271</v>
      </c>
      <c r="D11" s="12">
        <v>1.6461E-3</v>
      </c>
    </row>
    <row r="12" spans="1:4">
      <c r="A12">
        <v>10910</v>
      </c>
      <c r="B12" t="s">
        <v>476</v>
      </c>
      <c r="C12" s="11">
        <v>36346286</v>
      </c>
      <c r="D12" s="12">
        <v>2.3949999999999999E-4</v>
      </c>
    </row>
    <row r="13" spans="1:4">
      <c r="A13">
        <v>10930</v>
      </c>
      <c r="B13" t="s">
        <v>477</v>
      </c>
      <c r="C13" s="11">
        <v>331212537</v>
      </c>
      <c r="D13" s="12">
        <v>2.1821000000000002E-3</v>
      </c>
    </row>
    <row r="14" spans="1:4">
      <c r="A14">
        <v>10940</v>
      </c>
      <c r="B14" t="s">
        <v>478</v>
      </c>
      <c r="C14" s="11">
        <v>91351666</v>
      </c>
      <c r="D14" s="12">
        <v>6.0190000000000005E-4</v>
      </c>
    </row>
    <row r="15" spans="1:4">
      <c r="A15">
        <v>10950</v>
      </c>
      <c r="B15" t="s">
        <v>479</v>
      </c>
      <c r="C15" s="11">
        <v>117412713</v>
      </c>
      <c r="D15" s="12">
        <v>7.7360000000000005E-4</v>
      </c>
    </row>
    <row r="16" spans="1:4">
      <c r="A16">
        <v>11300</v>
      </c>
      <c r="B16" t="s">
        <v>480</v>
      </c>
      <c r="C16" s="11">
        <v>692895023</v>
      </c>
      <c r="D16" s="12">
        <v>4.5649999999999996E-3</v>
      </c>
    </row>
    <row r="17" spans="1:4">
      <c r="A17">
        <v>11310</v>
      </c>
      <c r="B17" t="s">
        <v>481</v>
      </c>
      <c r="C17" s="11">
        <v>65785640</v>
      </c>
      <c r="D17" s="12">
        <v>4.3340000000000002E-4</v>
      </c>
    </row>
    <row r="18" spans="1:4">
      <c r="A18">
        <v>11600</v>
      </c>
      <c r="B18" t="s">
        <v>267</v>
      </c>
      <c r="C18" s="11">
        <v>288005763</v>
      </c>
      <c r="D18" s="12">
        <v>1.8975000000000001E-3</v>
      </c>
    </row>
    <row r="19" spans="1:4">
      <c r="A19">
        <v>11900</v>
      </c>
      <c r="B19" t="s">
        <v>268</v>
      </c>
      <c r="C19" s="11">
        <v>33181952</v>
      </c>
      <c r="D19" s="12">
        <v>2.186E-4</v>
      </c>
    </row>
    <row r="20" spans="1:4">
      <c r="A20">
        <v>12100</v>
      </c>
      <c r="B20" t="s">
        <v>482</v>
      </c>
      <c r="C20" s="11">
        <v>36366305</v>
      </c>
      <c r="D20" s="12">
        <v>2.396E-4</v>
      </c>
    </row>
    <row r="21" spans="1:4">
      <c r="A21">
        <v>12150</v>
      </c>
      <c r="B21" t="s">
        <v>483</v>
      </c>
      <c r="C21" s="11">
        <v>5622395</v>
      </c>
      <c r="D21" s="12">
        <v>3.6999999999999998E-5</v>
      </c>
    </row>
    <row r="22" spans="1:4">
      <c r="A22">
        <v>12160</v>
      </c>
      <c r="B22" t="s">
        <v>271</v>
      </c>
      <c r="C22" s="11">
        <v>257532304</v>
      </c>
      <c r="D22" s="12">
        <v>1.6967E-3</v>
      </c>
    </row>
    <row r="23" spans="1:4">
      <c r="A23">
        <v>12220</v>
      </c>
      <c r="B23" t="s">
        <v>484</v>
      </c>
      <c r="C23" s="11">
        <v>6355784878</v>
      </c>
      <c r="D23" s="12">
        <v>4.1874000000000001E-2</v>
      </c>
    </row>
    <row r="24" spans="1:4">
      <c r="A24">
        <v>12510</v>
      </c>
      <c r="B24" t="s">
        <v>273</v>
      </c>
      <c r="C24" s="11">
        <v>710657995</v>
      </c>
      <c r="D24" s="12">
        <v>4.6820000000000004E-3</v>
      </c>
    </row>
    <row r="25" spans="1:4">
      <c r="A25">
        <v>12600</v>
      </c>
      <c r="B25" t="s">
        <v>485</v>
      </c>
      <c r="C25" s="11">
        <v>196552291</v>
      </c>
      <c r="D25" s="12">
        <v>1.2949000000000001E-3</v>
      </c>
    </row>
    <row r="26" spans="1:4">
      <c r="A26">
        <v>12700</v>
      </c>
      <c r="B26" t="s">
        <v>486</v>
      </c>
      <c r="C26" s="11">
        <v>150608367</v>
      </c>
      <c r="D26" s="12">
        <v>9.923E-4</v>
      </c>
    </row>
    <row r="27" spans="1:4">
      <c r="A27">
        <v>13500</v>
      </c>
      <c r="B27" t="s">
        <v>487</v>
      </c>
      <c r="C27" s="11">
        <v>583940451</v>
      </c>
      <c r="D27" s="12">
        <v>3.8471999999999998E-3</v>
      </c>
    </row>
    <row r="28" spans="1:4">
      <c r="A28">
        <v>13700</v>
      </c>
      <c r="B28" t="s">
        <v>488</v>
      </c>
      <c r="C28" s="11">
        <v>68384877</v>
      </c>
      <c r="D28" s="12">
        <v>4.505E-4</v>
      </c>
    </row>
    <row r="29" spans="1:4">
      <c r="A29">
        <v>14300</v>
      </c>
      <c r="B29" t="s">
        <v>489</v>
      </c>
      <c r="C29" s="11">
        <v>203174761</v>
      </c>
      <c r="D29" s="12">
        <v>1.3385999999999999E-3</v>
      </c>
    </row>
    <row r="30" spans="1:4">
      <c r="A30">
        <v>14300.2</v>
      </c>
      <c r="B30" t="s">
        <v>490</v>
      </c>
      <c r="C30" s="11">
        <v>22487117</v>
      </c>
      <c r="D30" s="12">
        <v>1.482E-4</v>
      </c>
    </row>
    <row r="31" spans="1:4">
      <c r="A31">
        <v>18400</v>
      </c>
      <c r="B31" t="s">
        <v>491</v>
      </c>
      <c r="C31" s="11">
        <v>751958551</v>
      </c>
      <c r="D31" s="12">
        <v>4.9541000000000003E-3</v>
      </c>
    </row>
    <row r="32" spans="1:4">
      <c r="A32">
        <v>18600</v>
      </c>
      <c r="B32" t="s">
        <v>492</v>
      </c>
      <c r="C32" s="11">
        <v>2888382</v>
      </c>
      <c r="D32" s="12">
        <v>1.9000000000000001E-5</v>
      </c>
    </row>
    <row r="33" spans="1:4">
      <c r="A33">
        <v>18690</v>
      </c>
      <c r="B33" t="s">
        <v>493</v>
      </c>
      <c r="C33" s="11">
        <v>620275</v>
      </c>
      <c r="D33" s="12">
        <v>4.0999999999999997E-6</v>
      </c>
    </row>
    <row r="34" spans="1:4">
      <c r="A34">
        <v>18740</v>
      </c>
      <c r="B34" t="s">
        <v>494</v>
      </c>
      <c r="C34" s="11">
        <v>979443</v>
      </c>
      <c r="D34" s="12">
        <v>6.4999999999999996E-6</v>
      </c>
    </row>
    <row r="35" spans="1:4">
      <c r="A35">
        <v>18780</v>
      </c>
      <c r="B35" t="s">
        <v>495</v>
      </c>
      <c r="C35" s="11">
        <v>2067230</v>
      </c>
      <c r="D35" s="12">
        <v>1.36E-5</v>
      </c>
    </row>
    <row r="36" spans="1:4">
      <c r="A36">
        <v>19005</v>
      </c>
      <c r="B36" t="s">
        <v>496</v>
      </c>
      <c r="C36" s="11">
        <v>99736182</v>
      </c>
      <c r="D36" s="12">
        <v>6.5709999999999998E-4</v>
      </c>
    </row>
    <row r="37" spans="1:4">
      <c r="A37">
        <v>19100</v>
      </c>
      <c r="B37" t="s">
        <v>286</v>
      </c>
      <c r="C37" s="11">
        <v>9372079339</v>
      </c>
      <c r="D37" s="12">
        <v>6.1746299999999997E-2</v>
      </c>
    </row>
    <row r="38" spans="1:4">
      <c r="A38">
        <v>20100</v>
      </c>
      <c r="B38" t="s">
        <v>37</v>
      </c>
      <c r="C38" s="11">
        <v>1543813970</v>
      </c>
      <c r="D38" s="12">
        <v>1.0171100000000001E-2</v>
      </c>
    </row>
    <row r="39" spans="1:4">
      <c r="A39">
        <v>20200</v>
      </c>
      <c r="B39" t="s">
        <v>497</v>
      </c>
      <c r="C39" s="11">
        <v>201453308</v>
      </c>
      <c r="D39" s="12">
        <v>1.3272E-3</v>
      </c>
    </row>
    <row r="40" spans="1:4">
      <c r="A40">
        <v>20300</v>
      </c>
      <c r="B40" t="s">
        <v>39</v>
      </c>
      <c r="C40" s="11">
        <v>3678786531</v>
      </c>
      <c r="D40" s="12">
        <v>2.4237000000000002E-2</v>
      </c>
    </row>
    <row r="41" spans="1:4">
      <c r="A41">
        <v>20400</v>
      </c>
      <c r="B41" t="s">
        <v>40</v>
      </c>
      <c r="C41" s="11">
        <v>179942953</v>
      </c>
      <c r="D41" s="12">
        <v>1.1854999999999999E-3</v>
      </c>
    </row>
    <row r="42" spans="1:4">
      <c r="A42">
        <v>20600</v>
      </c>
      <c r="B42" t="s">
        <v>41</v>
      </c>
      <c r="C42" s="11">
        <v>398482436</v>
      </c>
      <c r="D42" s="12">
        <v>2.6253000000000001E-3</v>
      </c>
    </row>
    <row r="43" spans="1:4">
      <c r="A43">
        <v>20700</v>
      </c>
      <c r="B43" t="s">
        <v>498</v>
      </c>
      <c r="C43" s="11">
        <v>883836682</v>
      </c>
      <c r="D43" s="12">
        <v>5.8230000000000001E-3</v>
      </c>
    </row>
    <row r="44" spans="1:4">
      <c r="A44">
        <v>20800</v>
      </c>
      <c r="B44" t="s">
        <v>499</v>
      </c>
      <c r="C44" s="11">
        <v>705045440</v>
      </c>
      <c r="D44" s="12">
        <v>4.6451000000000001E-3</v>
      </c>
    </row>
    <row r="45" spans="1:4">
      <c r="A45">
        <v>20900</v>
      </c>
      <c r="B45" t="s">
        <v>44</v>
      </c>
      <c r="C45" s="11">
        <v>1374155137</v>
      </c>
      <c r="D45" s="12">
        <v>9.0533999999999996E-3</v>
      </c>
    </row>
    <row r="46" spans="1:4">
      <c r="A46">
        <v>21200</v>
      </c>
      <c r="B46" t="s">
        <v>500</v>
      </c>
      <c r="C46" s="11">
        <v>467564724</v>
      </c>
      <c r="D46" s="12">
        <v>3.0804999999999999E-3</v>
      </c>
    </row>
    <row r="47" spans="1:4">
      <c r="A47">
        <v>21300</v>
      </c>
      <c r="B47" t="s">
        <v>501</v>
      </c>
      <c r="C47" s="11">
        <v>5644555931</v>
      </c>
      <c r="D47" s="12">
        <v>3.7188199999999998E-2</v>
      </c>
    </row>
    <row r="48" spans="1:4">
      <c r="A48">
        <v>21520</v>
      </c>
      <c r="B48" t="s">
        <v>287</v>
      </c>
      <c r="C48" s="11">
        <v>10109446000</v>
      </c>
      <c r="D48" s="12">
        <v>6.6604300000000005E-2</v>
      </c>
    </row>
    <row r="49" spans="1:4">
      <c r="A49">
        <v>21525</v>
      </c>
      <c r="B49" t="s">
        <v>502</v>
      </c>
      <c r="C49" s="11">
        <v>252544944</v>
      </c>
      <c r="D49" s="12">
        <v>1.6638E-3</v>
      </c>
    </row>
    <row r="50" spans="1:4">
      <c r="A50">
        <v>21525.200000000001</v>
      </c>
      <c r="B50" t="s">
        <v>503</v>
      </c>
      <c r="C50" s="11">
        <v>15814614</v>
      </c>
      <c r="D50" s="12">
        <v>1.042E-4</v>
      </c>
    </row>
    <row r="51" spans="1:4">
      <c r="A51">
        <v>21550</v>
      </c>
      <c r="B51" t="s">
        <v>48</v>
      </c>
      <c r="C51" s="11">
        <v>5606143852</v>
      </c>
      <c r="D51" s="12">
        <v>3.6935099999999998E-2</v>
      </c>
    </row>
    <row r="52" spans="1:4">
      <c r="A52">
        <v>21570</v>
      </c>
      <c r="B52" t="s">
        <v>289</v>
      </c>
      <c r="C52" s="11">
        <v>24727915</v>
      </c>
      <c r="D52" s="12">
        <v>1.629E-4</v>
      </c>
    </row>
    <row r="53" spans="1:4">
      <c r="A53">
        <v>21800</v>
      </c>
      <c r="B53" t="s">
        <v>49</v>
      </c>
      <c r="C53" s="11">
        <v>845506714</v>
      </c>
      <c r="D53" s="12">
        <v>5.5704999999999999E-3</v>
      </c>
    </row>
    <row r="54" spans="1:4">
      <c r="A54">
        <v>21900</v>
      </c>
      <c r="B54" t="s">
        <v>50</v>
      </c>
      <c r="C54" s="11">
        <v>494288849</v>
      </c>
      <c r="D54" s="12">
        <v>3.2564999999999998E-3</v>
      </c>
    </row>
    <row r="55" spans="1:4">
      <c r="A55">
        <v>22000</v>
      </c>
      <c r="B55" t="s">
        <v>290</v>
      </c>
      <c r="C55" s="11">
        <v>503547933</v>
      </c>
      <c r="D55" s="12">
        <v>3.3175000000000001E-3</v>
      </c>
    </row>
    <row r="56" spans="1:4">
      <c r="A56">
        <v>23000</v>
      </c>
      <c r="B56" t="s">
        <v>51</v>
      </c>
      <c r="C56" s="11">
        <v>371457823</v>
      </c>
      <c r="D56" s="12">
        <v>2.4472999999999999E-3</v>
      </c>
    </row>
    <row r="57" spans="1:4">
      <c r="A57">
        <v>23100</v>
      </c>
      <c r="B57" t="s">
        <v>52</v>
      </c>
      <c r="C57" s="11">
        <v>2062525258</v>
      </c>
      <c r="D57" s="12">
        <v>1.3588599999999999E-2</v>
      </c>
    </row>
    <row r="58" spans="1:4">
      <c r="A58">
        <v>23200</v>
      </c>
      <c r="B58" t="s">
        <v>53</v>
      </c>
      <c r="C58" s="11">
        <v>1106838483</v>
      </c>
      <c r="D58" s="12">
        <v>7.2922000000000004E-3</v>
      </c>
    </row>
    <row r="59" spans="1:4">
      <c r="A59">
        <v>30000</v>
      </c>
      <c r="B59" t="s">
        <v>291</v>
      </c>
      <c r="C59" s="11">
        <v>135481551</v>
      </c>
      <c r="D59" s="12">
        <v>8.9260000000000001E-4</v>
      </c>
    </row>
    <row r="60" spans="1:4">
      <c r="A60">
        <v>30100</v>
      </c>
      <c r="B60" t="s">
        <v>292</v>
      </c>
      <c r="C60" s="11">
        <v>1204198784</v>
      </c>
      <c r="D60" s="12">
        <v>7.9336000000000007E-3</v>
      </c>
    </row>
    <row r="61" spans="1:4">
      <c r="A61">
        <v>30102</v>
      </c>
      <c r="B61" t="s">
        <v>293</v>
      </c>
      <c r="C61" s="11">
        <v>21776394</v>
      </c>
      <c r="D61" s="12">
        <v>1.4349999999999999E-4</v>
      </c>
    </row>
    <row r="62" spans="1:4">
      <c r="A62">
        <v>30103</v>
      </c>
      <c r="B62" t="s">
        <v>294</v>
      </c>
      <c r="C62" s="11">
        <v>26034124</v>
      </c>
      <c r="D62" s="12">
        <v>1.7149999999999999E-4</v>
      </c>
    </row>
    <row r="63" spans="1:4">
      <c r="A63">
        <v>30104</v>
      </c>
      <c r="B63" t="s">
        <v>295</v>
      </c>
      <c r="C63" s="11">
        <v>15381171</v>
      </c>
      <c r="D63" s="12">
        <v>1.013E-4</v>
      </c>
    </row>
    <row r="64" spans="1:4">
      <c r="A64">
        <v>30105</v>
      </c>
      <c r="B64" t="s">
        <v>54</v>
      </c>
      <c r="C64" s="11">
        <v>112986262</v>
      </c>
      <c r="D64" s="12">
        <v>7.4439999999999999E-4</v>
      </c>
    </row>
    <row r="65" spans="1:4">
      <c r="A65">
        <v>30200</v>
      </c>
      <c r="B65" t="s">
        <v>296</v>
      </c>
      <c r="C65" s="11">
        <v>263137076</v>
      </c>
      <c r="D65" s="12">
        <v>1.7336000000000001E-3</v>
      </c>
    </row>
    <row r="66" spans="1:4">
      <c r="A66">
        <v>30300</v>
      </c>
      <c r="B66" t="s">
        <v>297</v>
      </c>
      <c r="C66" s="11">
        <v>91537295</v>
      </c>
      <c r="D66" s="12">
        <v>6.0309999999999997E-4</v>
      </c>
    </row>
    <row r="67" spans="1:4">
      <c r="A67">
        <v>30400</v>
      </c>
      <c r="B67" t="s">
        <v>298</v>
      </c>
      <c r="C67" s="11">
        <v>169314924</v>
      </c>
      <c r="D67" s="12">
        <v>1.1155E-3</v>
      </c>
    </row>
    <row r="68" spans="1:4">
      <c r="A68">
        <v>30405</v>
      </c>
      <c r="B68" t="s">
        <v>55</v>
      </c>
      <c r="C68" s="11">
        <v>111933924</v>
      </c>
      <c r="D68" s="12">
        <v>7.3749999999999998E-4</v>
      </c>
    </row>
    <row r="69" spans="1:4">
      <c r="A69">
        <v>30500</v>
      </c>
      <c r="B69" t="s">
        <v>299</v>
      </c>
      <c r="C69" s="11">
        <v>176727347</v>
      </c>
      <c r="D69" s="12">
        <v>1.1643000000000001E-3</v>
      </c>
    </row>
    <row r="70" spans="1:4">
      <c r="A70">
        <v>30600</v>
      </c>
      <c r="B70" t="s">
        <v>300</v>
      </c>
      <c r="C70" s="11">
        <v>137702216</v>
      </c>
      <c r="D70" s="12">
        <v>9.0720000000000004E-4</v>
      </c>
    </row>
    <row r="71" spans="1:4">
      <c r="A71">
        <v>30601</v>
      </c>
      <c r="B71" t="s">
        <v>301</v>
      </c>
      <c r="C71" s="11">
        <v>3214612</v>
      </c>
      <c r="D71" s="12">
        <v>2.12E-5</v>
      </c>
    </row>
    <row r="72" spans="1:4">
      <c r="A72">
        <v>30700</v>
      </c>
      <c r="B72" t="s">
        <v>302</v>
      </c>
      <c r="C72" s="11">
        <v>351691122</v>
      </c>
      <c r="D72" s="12">
        <v>2.3170999999999999E-3</v>
      </c>
    </row>
    <row r="73" spans="1:4">
      <c r="A73">
        <v>30705</v>
      </c>
      <c r="B73" t="s">
        <v>56</v>
      </c>
      <c r="C73" s="11">
        <v>71558321</v>
      </c>
      <c r="D73" s="12">
        <v>4.7140000000000002E-4</v>
      </c>
    </row>
    <row r="74" spans="1:4">
      <c r="A74">
        <v>30800</v>
      </c>
      <c r="B74" t="s">
        <v>303</v>
      </c>
      <c r="C74" s="11">
        <v>139618606</v>
      </c>
      <c r="D74" s="12">
        <v>9.1989999999999997E-4</v>
      </c>
    </row>
    <row r="75" spans="1:4">
      <c r="A75">
        <v>30900</v>
      </c>
      <c r="B75" t="s">
        <v>304</v>
      </c>
      <c r="C75" s="11">
        <v>230425489</v>
      </c>
      <c r="D75" s="12">
        <v>1.5181000000000001E-3</v>
      </c>
    </row>
    <row r="76" spans="1:4">
      <c r="A76">
        <v>30905</v>
      </c>
      <c r="B76" t="s">
        <v>57</v>
      </c>
      <c r="C76" s="11">
        <v>45785654</v>
      </c>
      <c r="D76" s="12">
        <v>3.0170000000000002E-4</v>
      </c>
    </row>
    <row r="77" spans="1:4">
      <c r="A77">
        <v>31000</v>
      </c>
      <c r="B77" t="s">
        <v>305</v>
      </c>
      <c r="C77" s="11">
        <v>650635539</v>
      </c>
      <c r="D77" s="12">
        <v>4.2865999999999998E-3</v>
      </c>
    </row>
    <row r="78" spans="1:4">
      <c r="A78">
        <v>31005</v>
      </c>
      <c r="B78" t="s">
        <v>58</v>
      </c>
      <c r="C78" s="11">
        <v>64346964</v>
      </c>
      <c r="D78" s="12">
        <v>4.239E-4</v>
      </c>
    </row>
    <row r="79" spans="1:4">
      <c r="A79">
        <v>31100</v>
      </c>
      <c r="B79" t="s">
        <v>306</v>
      </c>
      <c r="C79" s="11">
        <v>1341437310</v>
      </c>
      <c r="D79" s="12">
        <v>8.8377999999999998E-3</v>
      </c>
    </row>
    <row r="80" spans="1:4">
      <c r="A80">
        <v>31101</v>
      </c>
      <c r="B80" t="s">
        <v>504</v>
      </c>
      <c r="C80" s="11">
        <v>9114860</v>
      </c>
      <c r="D80" s="12">
        <v>6.0099999999999997E-5</v>
      </c>
    </row>
    <row r="81" spans="1:4">
      <c r="A81">
        <v>31102</v>
      </c>
      <c r="B81" t="s">
        <v>308</v>
      </c>
      <c r="C81" s="11">
        <v>21142622</v>
      </c>
      <c r="D81" s="12">
        <v>1.393E-4</v>
      </c>
    </row>
    <row r="82" spans="1:4">
      <c r="A82">
        <v>31105</v>
      </c>
      <c r="B82" t="s">
        <v>59</v>
      </c>
      <c r="C82" s="11">
        <v>206591884</v>
      </c>
      <c r="D82" s="12">
        <v>1.3611000000000001E-3</v>
      </c>
    </row>
    <row r="83" spans="1:4">
      <c r="A83">
        <v>31110</v>
      </c>
      <c r="B83" t="s">
        <v>309</v>
      </c>
      <c r="C83" s="11">
        <v>313729100</v>
      </c>
      <c r="D83" s="12">
        <v>2.0669E-3</v>
      </c>
    </row>
    <row r="84" spans="1:4">
      <c r="A84">
        <v>31200</v>
      </c>
      <c r="B84" t="s">
        <v>310</v>
      </c>
      <c r="C84" s="11">
        <v>635987784</v>
      </c>
      <c r="D84" s="12">
        <v>4.1901000000000004E-3</v>
      </c>
    </row>
    <row r="85" spans="1:4">
      <c r="A85">
        <v>31205</v>
      </c>
      <c r="B85" t="s">
        <v>505</v>
      </c>
      <c r="C85" s="11">
        <v>77323540</v>
      </c>
      <c r="D85" s="12">
        <v>5.0940000000000002E-4</v>
      </c>
    </row>
    <row r="86" spans="1:4">
      <c r="A86">
        <v>31300</v>
      </c>
      <c r="B86" t="s">
        <v>311</v>
      </c>
      <c r="C86" s="11">
        <v>1613775614</v>
      </c>
      <c r="D86" s="12">
        <v>1.06321E-2</v>
      </c>
    </row>
    <row r="87" spans="1:4">
      <c r="A87">
        <v>31301</v>
      </c>
      <c r="B87" t="s">
        <v>312</v>
      </c>
      <c r="C87" s="11">
        <v>32697774</v>
      </c>
      <c r="D87" s="12">
        <v>2.154E-4</v>
      </c>
    </row>
    <row r="88" spans="1:4">
      <c r="A88">
        <v>31320</v>
      </c>
      <c r="B88" t="s">
        <v>313</v>
      </c>
      <c r="C88" s="11">
        <v>301435802</v>
      </c>
      <c r="D88" s="12">
        <v>1.9859999999999999E-3</v>
      </c>
    </row>
    <row r="89" spans="1:4">
      <c r="A89">
        <v>31400</v>
      </c>
      <c r="B89" t="s">
        <v>314</v>
      </c>
      <c r="C89" s="11">
        <v>634121811</v>
      </c>
      <c r="D89" s="12">
        <v>4.1777999999999997E-3</v>
      </c>
    </row>
    <row r="90" spans="1:4">
      <c r="A90">
        <v>31405</v>
      </c>
      <c r="B90" t="s">
        <v>61</v>
      </c>
      <c r="C90" s="11">
        <v>124145215</v>
      </c>
      <c r="D90" s="12">
        <v>8.1789999999999999E-4</v>
      </c>
    </row>
    <row r="91" spans="1:4">
      <c r="A91">
        <v>31500</v>
      </c>
      <c r="B91" t="s">
        <v>315</v>
      </c>
      <c r="C91" s="11">
        <v>96180872</v>
      </c>
      <c r="D91" s="12">
        <v>6.3369999999999995E-4</v>
      </c>
    </row>
    <row r="92" spans="1:4">
      <c r="A92">
        <v>31600</v>
      </c>
      <c r="B92" t="s">
        <v>316</v>
      </c>
      <c r="C92" s="11">
        <v>442708096</v>
      </c>
      <c r="D92" s="12">
        <v>2.9166999999999999E-3</v>
      </c>
    </row>
    <row r="93" spans="1:4">
      <c r="A93">
        <v>31605</v>
      </c>
      <c r="B93" t="s">
        <v>62</v>
      </c>
      <c r="C93" s="11">
        <v>62178942</v>
      </c>
      <c r="D93" s="12">
        <v>4.0969999999999998E-4</v>
      </c>
    </row>
    <row r="94" spans="1:4">
      <c r="A94">
        <v>31700</v>
      </c>
      <c r="B94" t="s">
        <v>317</v>
      </c>
      <c r="C94" s="11">
        <v>132801096</v>
      </c>
      <c r="D94" s="12">
        <v>8.7489999999999996E-4</v>
      </c>
    </row>
    <row r="95" spans="1:4">
      <c r="A95">
        <v>31800</v>
      </c>
      <c r="B95" t="s">
        <v>318</v>
      </c>
      <c r="C95" s="11">
        <v>819782476</v>
      </c>
      <c r="D95" s="12">
        <v>5.4010000000000004E-3</v>
      </c>
    </row>
    <row r="96" spans="1:4">
      <c r="A96">
        <v>31805</v>
      </c>
      <c r="B96" t="s">
        <v>63</v>
      </c>
      <c r="C96" s="11">
        <v>153849601</v>
      </c>
      <c r="D96" s="12">
        <v>1.0135999999999999E-3</v>
      </c>
    </row>
    <row r="97" spans="1:4">
      <c r="A97">
        <v>31810</v>
      </c>
      <c r="B97" t="s">
        <v>319</v>
      </c>
      <c r="C97" s="11">
        <v>206519545</v>
      </c>
      <c r="D97" s="12">
        <v>1.3606E-3</v>
      </c>
    </row>
    <row r="98" spans="1:4">
      <c r="A98">
        <v>31820</v>
      </c>
      <c r="B98" t="s">
        <v>320</v>
      </c>
      <c r="C98" s="11">
        <v>186681922</v>
      </c>
      <c r="D98" s="12">
        <v>1.2298999999999999E-3</v>
      </c>
    </row>
    <row r="99" spans="1:4">
      <c r="A99">
        <v>31900</v>
      </c>
      <c r="B99" t="s">
        <v>321</v>
      </c>
      <c r="C99" s="11">
        <v>476152763</v>
      </c>
      <c r="D99" s="12">
        <v>3.137E-3</v>
      </c>
    </row>
    <row r="100" spans="1:4">
      <c r="A100">
        <v>32000</v>
      </c>
      <c r="B100" t="s">
        <v>322</v>
      </c>
      <c r="C100" s="11">
        <v>194753891</v>
      </c>
      <c r="D100" s="12">
        <v>1.2830999999999999E-3</v>
      </c>
    </row>
    <row r="101" spans="1:4">
      <c r="A101">
        <v>32005</v>
      </c>
      <c r="B101" t="s">
        <v>64</v>
      </c>
      <c r="C101" s="11">
        <v>43811779</v>
      </c>
      <c r="D101" s="12">
        <v>2.8860000000000002E-4</v>
      </c>
    </row>
    <row r="102" spans="1:4">
      <c r="A102">
        <v>32100</v>
      </c>
      <c r="B102" t="s">
        <v>323</v>
      </c>
      <c r="C102" s="11">
        <v>119692880</v>
      </c>
      <c r="D102" s="12">
        <v>7.8859999999999998E-4</v>
      </c>
    </row>
    <row r="103" spans="1:4">
      <c r="A103">
        <v>32200</v>
      </c>
      <c r="B103" t="s">
        <v>324</v>
      </c>
      <c r="C103" s="11">
        <v>74090075</v>
      </c>
      <c r="D103" s="12">
        <v>4.8809999999999999E-4</v>
      </c>
    </row>
    <row r="104" spans="1:4">
      <c r="A104">
        <v>32300</v>
      </c>
      <c r="B104" t="s">
        <v>325</v>
      </c>
      <c r="C104" s="11">
        <v>849193070</v>
      </c>
      <c r="D104" s="12">
        <v>5.5947999999999996E-3</v>
      </c>
    </row>
    <row r="105" spans="1:4">
      <c r="A105">
        <v>32305</v>
      </c>
      <c r="B105" t="s">
        <v>326</v>
      </c>
      <c r="C105" s="11">
        <v>85373778</v>
      </c>
      <c r="D105" s="12">
        <v>5.6249999999999996E-4</v>
      </c>
    </row>
    <row r="106" spans="1:4">
      <c r="A106">
        <v>32400</v>
      </c>
      <c r="B106" t="s">
        <v>327</v>
      </c>
      <c r="C106" s="11">
        <v>303919534</v>
      </c>
      <c r="D106" s="12">
        <v>2.0022999999999998E-3</v>
      </c>
    </row>
    <row r="107" spans="1:4">
      <c r="A107">
        <v>32405</v>
      </c>
      <c r="B107" t="s">
        <v>66</v>
      </c>
      <c r="C107" s="11">
        <v>74376641</v>
      </c>
      <c r="D107" s="12">
        <v>4.8999999999999998E-4</v>
      </c>
    </row>
    <row r="108" spans="1:4">
      <c r="A108">
        <v>32410</v>
      </c>
      <c r="B108" t="s">
        <v>328</v>
      </c>
      <c r="C108" s="11">
        <v>119410596</v>
      </c>
      <c r="D108" s="12">
        <v>7.8669999999999999E-4</v>
      </c>
    </row>
    <row r="109" spans="1:4">
      <c r="A109">
        <v>32500</v>
      </c>
      <c r="B109" t="s">
        <v>329</v>
      </c>
      <c r="C109" s="11">
        <v>687721133</v>
      </c>
      <c r="D109" s="12">
        <v>4.5309E-3</v>
      </c>
    </row>
    <row r="110" spans="1:4">
      <c r="A110">
        <v>32505</v>
      </c>
      <c r="B110" t="s">
        <v>67</v>
      </c>
      <c r="C110" s="11">
        <v>97080827</v>
      </c>
      <c r="D110" s="12">
        <v>6.3960000000000004E-4</v>
      </c>
    </row>
    <row r="111" spans="1:4">
      <c r="A111">
        <v>32600</v>
      </c>
      <c r="B111" t="s">
        <v>330</v>
      </c>
      <c r="C111" s="11">
        <v>2404258051</v>
      </c>
      <c r="D111" s="12">
        <v>1.584E-2</v>
      </c>
    </row>
    <row r="112" spans="1:4">
      <c r="A112">
        <v>32605</v>
      </c>
      <c r="B112" t="s">
        <v>68</v>
      </c>
      <c r="C112" s="11">
        <v>342806515</v>
      </c>
      <c r="D112" s="12">
        <v>2.2585000000000001E-3</v>
      </c>
    </row>
    <row r="113" spans="1:4">
      <c r="A113">
        <v>32700</v>
      </c>
      <c r="B113" t="s">
        <v>331</v>
      </c>
      <c r="C113" s="11">
        <v>209405591</v>
      </c>
      <c r="D113" s="12">
        <v>1.3795999999999999E-3</v>
      </c>
    </row>
    <row r="114" spans="1:4">
      <c r="A114">
        <v>32800</v>
      </c>
      <c r="B114" t="s">
        <v>332</v>
      </c>
      <c r="C114" s="11">
        <v>285062153</v>
      </c>
      <c r="D114" s="12">
        <v>1.8781E-3</v>
      </c>
    </row>
    <row r="115" spans="1:4">
      <c r="A115">
        <v>32900</v>
      </c>
      <c r="B115" t="s">
        <v>333</v>
      </c>
      <c r="C115" s="11">
        <v>894175259</v>
      </c>
      <c r="D115" s="12">
        <v>5.8910999999999998E-3</v>
      </c>
    </row>
    <row r="116" spans="1:4">
      <c r="A116">
        <v>32901</v>
      </c>
      <c r="B116" t="s">
        <v>506</v>
      </c>
      <c r="C116" s="11">
        <v>28403886</v>
      </c>
      <c r="D116" s="12">
        <v>1.8709999999999999E-4</v>
      </c>
    </row>
    <row r="117" spans="1:4">
      <c r="A117">
        <v>32905</v>
      </c>
      <c r="B117" t="s">
        <v>69</v>
      </c>
      <c r="C117" s="11">
        <v>126496118</v>
      </c>
      <c r="D117" s="12">
        <v>8.3339999999999998E-4</v>
      </c>
    </row>
    <row r="118" spans="1:4">
      <c r="A118">
        <v>32910</v>
      </c>
      <c r="B118" t="s">
        <v>335</v>
      </c>
      <c r="C118" s="11">
        <v>165135826</v>
      </c>
      <c r="D118" s="12">
        <v>1.088E-3</v>
      </c>
    </row>
    <row r="119" spans="1:4">
      <c r="A119">
        <v>32920</v>
      </c>
      <c r="B119" t="s">
        <v>336</v>
      </c>
      <c r="C119" s="11">
        <v>137384182</v>
      </c>
      <c r="D119" s="12">
        <v>9.0510000000000005E-4</v>
      </c>
    </row>
    <row r="120" spans="1:4">
      <c r="A120">
        <v>33000</v>
      </c>
      <c r="B120" t="s">
        <v>337</v>
      </c>
      <c r="C120" s="11">
        <v>345042878</v>
      </c>
      <c r="D120" s="12">
        <v>2.2732999999999998E-3</v>
      </c>
    </row>
    <row r="121" spans="1:4">
      <c r="A121">
        <v>33001</v>
      </c>
      <c r="B121" t="s">
        <v>507</v>
      </c>
      <c r="C121" s="11">
        <v>10070077</v>
      </c>
      <c r="D121" s="12">
        <v>6.6299999999999999E-5</v>
      </c>
    </row>
    <row r="122" spans="1:4">
      <c r="A122">
        <v>33027</v>
      </c>
      <c r="B122" t="s">
        <v>339</v>
      </c>
      <c r="C122" s="11">
        <v>33202774</v>
      </c>
      <c r="D122" s="12">
        <v>2.1880000000000001E-4</v>
      </c>
    </row>
    <row r="123" spans="1:4">
      <c r="A123">
        <v>33100</v>
      </c>
      <c r="B123" t="s">
        <v>340</v>
      </c>
      <c r="C123" s="11">
        <v>499138450</v>
      </c>
      <c r="D123" s="12">
        <v>3.2885000000000002E-3</v>
      </c>
    </row>
    <row r="124" spans="1:4">
      <c r="A124">
        <v>33105</v>
      </c>
      <c r="B124" t="s">
        <v>70</v>
      </c>
      <c r="C124" s="11">
        <v>52498134</v>
      </c>
      <c r="D124" s="12">
        <v>3.4590000000000001E-4</v>
      </c>
    </row>
    <row r="125" spans="1:4">
      <c r="A125">
        <v>33200</v>
      </c>
      <c r="B125" t="s">
        <v>341</v>
      </c>
      <c r="C125" s="11">
        <v>2168563725</v>
      </c>
      <c r="D125" s="12">
        <v>1.42872E-2</v>
      </c>
    </row>
    <row r="126" spans="1:4">
      <c r="A126">
        <v>33202</v>
      </c>
      <c r="B126" t="s">
        <v>508</v>
      </c>
      <c r="C126" s="11">
        <v>25297053</v>
      </c>
      <c r="D126" s="12">
        <v>1.6670000000000001E-4</v>
      </c>
    </row>
    <row r="127" spans="1:4">
      <c r="A127">
        <v>33203</v>
      </c>
      <c r="B127" t="s">
        <v>343</v>
      </c>
      <c r="C127" s="11">
        <v>18991157</v>
      </c>
      <c r="D127" s="12">
        <v>1.2510000000000001E-4</v>
      </c>
    </row>
    <row r="128" spans="1:4">
      <c r="A128">
        <v>33204</v>
      </c>
      <c r="B128" t="s">
        <v>344</v>
      </c>
      <c r="C128" s="11">
        <v>62496593</v>
      </c>
      <c r="D128" s="12">
        <v>4.1169999999999998E-4</v>
      </c>
    </row>
    <row r="129" spans="1:4">
      <c r="A129">
        <v>33205</v>
      </c>
      <c r="B129" t="s">
        <v>71</v>
      </c>
      <c r="C129" s="11">
        <v>172925640</v>
      </c>
      <c r="D129" s="12">
        <v>1.1393E-3</v>
      </c>
    </row>
    <row r="130" spans="1:4">
      <c r="A130">
        <v>33206</v>
      </c>
      <c r="B130" t="s">
        <v>345</v>
      </c>
      <c r="C130" s="11">
        <v>13989488</v>
      </c>
      <c r="D130" s="12">
        <v>9.2200000000000005E-5</v>
      </c>
    </row>
    <row r="131" spans="1:4">
      <c r="A131">
        <v>33207</v>
      </c>
      <c r="B131" t="s">
        <v>346</v>
      </c>
      <c r="C131" s="11">
        <v>32271479</v>
      </c>
      <c r="D131" s="12">
        <v>2.1259999999999999E-4</v>
      </c>
    </row>
    <row r="132" spans="1:4">
      <c r="A132">
        <v>33208</v>
      </c>
      <c r="B132" t="s">
        <v>347</v>
      </c>
      <c r="C132" s="11">
        <v>5490951</v>
      </c>
      <c r="D132" s="12">
        <v>3.6199999999999999E-5</v>
      </c>
    </row>
    <row r="133" spans="1:4">
      <c r="A133">
        <v>33209</v>
      </c>
      <c r="B133" t="s">
        <v>348</v>
      </c>
      <c r="C133" s="11">
        <v>9220355</v>
      </c>
      <c r="D133" s="12">
        <v>6.0699999999999998E-5</v>
      </c>
    </row>
    <row r="134" spans="1:4">
      <c r="A134">
        <v>33300</v>
      </c>
      <c r="B134" t="s">
        <v>349</v>
      </c>
      <c r="C134" s="11">
        <v>309932807</v>
      </c>
      <c r="D134" s="12">
        <v>2.0419000000000001E-3</v>
      </c>
    </row>
    <row r="135" spans="1:4">
      <c r="A135">
        <v>33305</v>
      </c>
      <c r="B135" t="s">
        <v>72</v>
      </c>
      <c r="C135" s="11">
        <v>79922436</v>
      </c>
      <c r="D135" s="12">
        <v>5.2660000000000001E-4</v>
      </c>
    </row>
    <row r="136" spans="1:4">
      <c r="A136">
        <v>33400</v>
      </c>
      <c r="B136" t="s">
        <v>350</v>
      </c>
      <c r="C136" s="11">
        <v>2767400230</v>
      </c>
      <c r="D136" s="12">
        <v>1.8232499999999999E-2</v>
      </c>
    </row>
    <row r="137" spans="1:4">
      <c r="A137">
        <v>33402</v>
      </c>
      <c r="B137" t="s">
        <v>351</v>
      </c>
      <c r="C137" s="11">
        <v>21676152</v>
      </c>
      <c r="D137" s="12">
        <v>1.428E-4</v>
      </c>
    </row>
    <row r="138" spans="1:4">
      <c r="A138">
        <v>33405</v>
      </c>
      <c r="B138" t="s">
        <v>73</v>
      </c>
      <c r="C138" s="11">
        <v>272299149</v>
      </c>
      <c r="D138" s="12">
        <v>1.794E-3</v>
      </c>
    </row>
    <row r="139" spans="1:4">
      <c r="A139">
        <v>33500</v>
      </c>
      <c r="B139" t="s">
        <v>352</v>
      </c>
      <c r="C139" s="11">
        <v>461826456</v>
      </c>
      <c r="D139" s="12">
        <v>3.0427000000000002E-3</v>
      </c>
    </row>
    <row r="140" spans="1:4">
      <c r="A140">
        <v>33501</v>
      </c>
      <c r="B140" t="s">
        <v>353</v>
      </c>
      <c r="C140" s="11">
        <v>9583231</v>
      </c>
      <c r="D140" s="12">
        <v>6.3100000000000002E-5</v>
      </c>
    </row>
    <row r="141" spans="1:4">
      <c r="A141">
        <v>33600</v>
      </c>
      <c r="B141" t="s">
        <v>354</v>
      </c>
      <c r="C141" s="11">
        <v>1478962833</v>
      </c>
      <c r="D141" s="12">
        <v>9.7438999999999998E-3</v>
      </c>
    </row>
    <row r="142" spans="1:4">
      <c r="A142">
        <v>33605</v>
      </c>
      <c r="B142" t="s">
        <v>74</v>
      </c>
      <c r="C142" s="11">
        <v>197495270</v>
      </c>
      <c r="D142" s="12">
        <v>1.3012E-3</v>
      </c>
    </row>
    <row r="143" spans="1:4">
      <c r="A143">
        <v>33700</v>
      </c>
      <c r="B143" t="s">
        <v>355</v>
      </c>
      <c r="C143" s="11">
        <v>105396853</v>
      </c>
      <c r="D143" s="12">
        <v>6.9439999999999997E-4</v>
      </c>
    </row>
    <row r="144" spans="1:4">
      <c r="A144">
        <v>33800</v>
      </c>
      <c r="B144" t="s">
        <v>356</v>
      </c>
      <c r="C144" s="11">
        <v>78399768</v>
      </c>
      <c r="D144" s="12">
        <v>5.1650000000000003E-4</v>
      </c>
    </row>
    <row r="145" spans="1:4">
      <c r="A145">
        <v>33900</v>
      </c>
      <c r="B145" t="s">
        <v>357</v>
      </c>
      <c r="C145" s="11">
        <v>411529119</v>
      </c>
      <c r="D145" s="12">
        <v>2.7112999999999998E-3</v>
      </c>
    </row>
    <row r="146" spans="1:4">
      <c r="A146">
        <v>34000</v>
      </c>
      <c r="B146" t="s">
        <v>358</v>
      </c>
      <c r="C146" s="11">
        <v>177478601</v>
      </c>
      <c r="D146" s="12">
        <v>1.1693000000000001E-3</v>
      </c>
    </row>
    <row r="147" spans="1:4">
      <c r="A147">
        <v>34100</v>
      </c>
      <c r="B147" t="s">
        <v>359</v>
      </c>
      <c r="C147" s="11">
        <v>4061520447</v>
      </c>
      <c r="D147" s="12">
        <v>2.67586E-2</v>
      </c>
    </row>
    <row r="148" spans="1:4">
      <c r="A148">
        <v>34105</v>
      </c>
      <c r="B148" t="s">
        <v>75</v>
      </c>
      <c r="C148" s="11">
        <v>334950209</v>
      </c>
      <c r="D148" s="12">
        <v>2.2068000000000001E-3</v>
      </c>
    </row>
    <row r="149" spans="1:4">
      <c r="A149">
        <v>34200</v>
      </c>
      <c r="B149" t="s">
        <v>360</v>
      </c>
      <c r="C149" s="11">
        <v>147379219</v>
      </c>
      <c r="D149" s="12">
        <v>9.7099999999999997E-4</v>
      </c>
    </row>
    <row r="150" spans="1:4">
      <c r="A150">
        <v>34205</v>
      </c>
      <c r="B150" t="s">
        <v>76</v>
      </c>
      <c r="C150" s="11">
        <v>59746586</v>
      </c>
      <c r="D150" s="12">
        <v>3.9360000000000003E-4</v>
      </c>
    </row>
    <row r="151" spans="1:4">
      <c r="A151">
        <v>34220</v>
      </c>
      <c r="B151" t="s">
        <v>361</v>
      </c>
      <c r="C151" s="11">
        <v>141962083</v>
      </c>
      <c r="D151" s="12">
        <v>9.3530000000000002E-4</v>
      </c>
    </row>
    <row r="152" spans="1:4">
      <c r="A152">
        <v>34230</v>
      </c>
      <c r="B152" t="s">
        <v>362</v>
      </c>
      <c r="C152" s="11">
        <v>66160480</v>
      </c>
      <c r="D152" s="12">
        <v>4.3590000000000002E-4</v>
      </c>
    </row>
    <row r="153" spans="1:4">
      <c r="A153">
        <v>34300</v>
      </c>
      <c r="B153" t="s">
        <v>363</v>
      </c>
      <c r="C153" s="11">
        <v>969081055</v>
      </c>
      <c r="D153" s="12">
        <v>6.3845999999999998E-3</v>
      </c>
    </row>
    <row r="154" spans="1:4">
      <c r="A154">
        <v>34400</v>
      </c>
      <c r="B154" t="s">
        <v>364</v>
      </c>
      <c r="C154" s="11">
        <v>406362246</v>
      </c>
      <c r="D154" s="12">
        <v>2.6771999999999998E-3</v>
      </c>
    </row>
    <row r="155" spans="1:4">
      <c r="A155">
        <v>34405</v>
      </c>
      <c r="B155" t="s">
        <v>77</v>
      </c>
      <c r="C155" s="11">
        <v>80727321</v>
      </c>
      <c r="D155" s="12">
        <v>5.3189999999999997E-4</v>
      </c>
    </row>
    <row r="156" spans="1:4">
      <c r="A156">
        <v>34500</v>
      </c>
      <c r="B156" t="s">
        <v>365</v>
      </c>
      <c r="C156" s="11">
        <v>695484228</v>
      </c>
      <c r="D156" s="12">
        <v>4.5821000000000004E-3</v>
      </c>
    </row>
    <row r="157" spans="1:4">
      <c r="A157">
        <v>34501</v>
      </c>
      <c r="B157" t="s">
        <v>366</v>
      </c>
      <c r="C157" s="11">
        <v>8486489</v>
      </c>
      <c r="D157" s="12">
        <v>5.5899999999999997E-5</v>
      </c>
    </row>
    <row r="158" spans="1:4">
      <c r="A158">
        <v>34505</v>
      </c>
      <c r="B158" t="s">
        <v>78</v>
      </c>
      <c r="C158" s="11">
        <v>84002411</v>
      </c>
      <c r="D158" s="12">
        <v>5.5340000000000001E-4</v>
      </c>
    </row>
    <row r="159" spans="1:4">
      <c r="A159">
        <v>34600</v>
      </c>
      <c r="B159" t="s">
        <v>367</v>
      </c>
      <c r="C159" s="11">
        <v>163201859</v>
      </c>
      <c r="D159" s="12">
        <v>1.0751999999999999E-3</v>
      </c>
    </row>
    <row r="160" spans="1:4">
      <c r="A160">
        <v>34605</v>
      </c>
      <c r="B160" t="s">
        <v>79</v>
      </c>
      <c r="C160" s="11">
        <v>36593178</v>
      </c>
      <c r="D160" s="12">
        <v>2.4110000000000001E-4</v>
      </c>
    </row>
    <row r="161" spans="1:4">
      <c r="A161">
        <v>34700</v>
      </c>
      <c r="B161" t="s">
        <v>368</v>
      </c>
      <c r="C161" s="11">
        <v>458969006</v>
      </c>
      <c r="D161" s="12">
        <v>3.0238000000000001E-3</v>
      </c>
    </row>
    <row r="162" spans="1:4">
      <c r="A162">
        <v>34800</v>
      </c>
      <c r="B162" t="s">
        <v>369</v>
      </c>
      <c r="C162" s="11">
        <v>48899920</v>
      </c>
      <c r="D162" s="12">
        <v>3.2220000000000003E-4</v>
      </c>
    </row>
    <row r="163" spans="1:4">
      <c r="A163">
        <v>34900</v>
      </c>
      <c r="B163" t="s">
        <v>370</v>
      </c>
      <c r="C163" s="11">
        <v>991818167</v>
      </c>
      <c r="D163" s="12">
        <v>6.5344000000000001E-3</v>
      </c>
    </row>
    <row r="164" spans="1:4">
      <c r="A164">
        <v>34901</v>
      </c>
      <c r="B164" t="s">
        <v>509</v>
      </c>
      <c r="C164" s="11">
        <v>25640742</v>
      </c>
      <c r="D164" s="12">
        <v>1.6890000000000001E-4</v>
      </c>
    </row>
    <row r="165" spans="1:4">
      <c r="A165">
        <v>34903</v>
      </c>
      <c r="B165" t="s">
        <v>372</v>
      </c>
      <c r="C165" s="11">
        <v>1655175</v>
      </c>
      <c r="D165" s="12">
        <v>1.0900000000000001E-5</v>
      </c>
    </row>
    <row r="166" spans="1:4">
      <c r="A166">
        <v>34905</v>
      </c>
      <c r="B166" t="s">
        <v>80</v>
      </c>
      <c r="C166" s="11">
        <v>96912325</v>
      </c>
      <c r="D166" s="12">
        <v>6.3849999999999996E-4</v>
      </c>
    </row>
    <row r="167" spans="1:4">
      <c r="A167">
        <v>34910</v>
      </c>
      <c r="B167" t="s">
        <v>373</v>
      </c>
      <c r="C167" s="11">
        <v>313559743</v>
      </c>
      <c r="D167" s="12">
        <v>2.0658E-3</v>
      </c>
    </row>
    <row r="168" spans="1:4">
      <c r="A168">
        <v>35000</v>
      </c>
      <c r="B168" t="s">
        <v>374</v>
      </c>
      <c r="C168" s="11">
        <v>212589316</v>
      </c>
      <c r="D168" s="12">
        <v>1.4005999999999999E-3</v>
      </c>
    </row>
    <row r="169" spans="1:4">
      <c r="A169">
        <v>35005</v>
      </c>
      <c r="B169" t="s">
        <v>81</v>
      </c>
      <c r="C169" s="11">
        <v>94240860</v>
      </c>
      <c r="D169" s="12">
        <v>6.2089999999999997E-4</v>
      </c>
    </row>
    <row r="170" spans="1:4">
      <c r="A170">
        <v>35100</v>
      </c>
      <c r="B170" t="s">
        <v>375</v>
      </c>
      <c r="C170" s="11">
        <v>1771038187</v>
      </c>
      <c r="D170" s="12">
        <v>1.16682E-2</v>
      </c>
    </row>
    <row r="171" spans="1:4">
      <c r="A171">
        <v>35105</v>
      </c>
      <c r="B171" t="s">
        <v>82</v>
      </c>
      <c r="C171" s="11">
        <v>158390177</v>
      </c>
      <c r="D171" s="12">
        <v>1.0434999999999999E-3</v>
      </c>
    </row>
    <row r="172" spans="1:4">
      <c r="A172">
        <v>35106</v>
      </c>
      <c r="B172" t="s">
        <v>376</v>
      </c>
      <c r="C172" s="11">
        <v>41118501</v>
      </c>
      <c r="D172" s="12">
        <v>2.7090000000000003E-4</v>
      </c>
    </row>
    <row r="173" spans="1:4">
      <c r="A173">
        <v>35200</v>
      </c>
      <c r="B173" t="s">
        <v>377</v>
      </c>
      <c r="C173" s="11">
        <v>76942744</v>
      </c>
      <c r="D173" s="12">
        <v>5.0690000000000002E-4</v>
      </c>
    </row>
    <row r="174" spans="1:4">
      <c r="A174">
        <v>35300</v>
      </c>
      <c r="B174" t="s">
        <v>510</v>
      </c>
      <c r="C174" s="11">
        <v>528785435</v>
      </c>
      <c r="D174" s="12">
        <v>3.4838E-3</v>
      </c>
    </row>
    <row r="175" spans="1:4">
      <c r="A175">
        <v>35305</v>
      </c>
      <c r="B175" t="s">
        <v>83</v>
      </c>
      <c r="C175" s="11">
        <v>192891874</v>
      </c>
      <c r="D175" s="12">
        <v>1.2708000000000001E-3</v>
      </c>
    </row>
    <row r="176" spans="1:4">
      <c r="A176">
        <v>35400</v>
      </c>
      <c r="B176" t="s">
        <v>379</v>
      </c>
      <c r="C176" s="11">
        <v>416015179</v>
      </c>
      <c r="D176" s="12">
        <v>2.7407999999999998E-3</v>
      </c>
    </row>
    <row r="177" spans="1:4">
      <c r="A177">
        <v>35401</v>
      </c>
      <c r="B177" t="s">
        <v>380</v>
      </c>
      <c r="C177" s="11">
        <v>3725684</v>
      </c>
      <c r="D177" s="12">
        <v>2.4499999999999999E-5</v>
      </c>
    </row>
    <row r="178" spans="1:4">
      <c r="A178">
        <v>35405</v>
      </c>
      <c r="B178" t="s">
        <v>84</v>
      </c>
      <c r="C178" s="11">
        <v>145728747</v>
      </c>
      <c r="D178" s="12">
        <v>9.6009999999999997E-4</v>
      </c>
    </row>
    <row r="179" spans="1:4">
      <c r="A179">
        <v>35500</v>
      </c>
      <c r="B179" t="s">
        <v>381</v>
      </c>
      <c r="C179" s="11">
        <v>585320105</v>
      </c>
      <c r="D179" s="12">
        <v>3.8563E-3</v>
      </c>
    </row>
    <row r="180" spans="1:4">
      <c r="A180">
        <v>35600</v>
      </c>
      <c r="B180" t="s">
        <v>382</v>
      </c>
      <c r="C180" s="11">
        <v>232444711</v>
      </c>
      <c r="D180" s="12">
        <v>1.5314E-3</v>
      </c>
    </row>
    <row r="181" spans="1:4">
      <c r="A181">
        <v>35700</v>
      </c>
      <c r="B181" t="s">
        <v>383</v>
      </c>
      <c r="C181" s="11">
        <v>129404878</v>
      </c>
      <c r="D181" s="12">
        <v>8.5260000000000002E-4</v>
      </c>
    </row>
    <row r="182" spans="1:4">
      <c r="A182">
        <v>35800</v>
      </c>
      <c r="B182" t="s">
        <v>384</v>
      </c>
      <c r="C182" s="11">
        <v>185144219</v>
      </c>
      <c r="D182" s="12">
        <v>1.2198000000000001E-3</v>
      </c>
    </row>
    <row r="183" spans="1:4">
      <c r="A183">
        <v>35805</v>
      </c>
      <c r="B183" t="s">
        <v>85</v>
      </c>
      <c r="C183" s="11">
        <v>30278835</v>
      </c>
      <c r="D183" s="12">
        <v>1.995E-4</v>
      </c>
    </row>
    <row r="184" spans="1:4">
      <c r="A184">
        <v>35900</v>
      </c>
      <c r="B184" t="s">
        <v>385</v>
      </c>
      <c r="C184" s="11">
        <v>346721480</v>
      </c>
      <c r="D184" s="12">
        <v>2.2843E-3</v>
      </c>
    </row>
    <row r="185" spans="1:4">
      <c r="A185">
        <v>35905</v>
      </c>
      <c r="B185" t="s">
        <v>86</v>
      </c>
      <c r="C185" s="11">
        <v>46325848</v>
      </c>
      <c r="D185" s="12">
        <v>3.0519999999999999E-4</v>
      </c>
    </row>
    <row r="186" spans="1:4">
      <c r="A186">
        <v>36000</v>
      </c>
      <c r="B186" t="s">
        <v>386</v>
      </c>
      <c r="C186" s="11">
        <v>8082684311</v>
      </c>
      <c r="D186" s="12">
        <v>5.3251399999999997E-2</v>
      </c>
    </row>
    <row r="187" spans="1:4">
      <c r="A187">
        <v>36001</v>
      </c>
      <c r="B187" t="s">
        <v>387</v>
      </c>
      <c r="C187" s="11">
        <v>4485293</v>
      </c>
      <c r="D187" s="12">
        <v>2.9600000000000001E-5</v>
      </c>
    </row>
    <row r="188" spans="1:4">
      <c r="A188">
        <v>36002</v>
      </c>
      <c r="B188" t="s">
        <v>511</v>
      </c>
      <c r="C188" s="11">
        <v>19762472</v>
      </c>
      <c r="D188" s="12">
        <v>1.3019999999999999E-4</v>
      </c>
    </row>
    <row r="189" spans="1:4">
      <c r="A189">
        <v>36003</v>
      </c>
      <c r="B189" t="s">
        <v>388</v>
      </c>
      <c r="C189" s="11">
        <v>60870117</v>
      </c>
      <c r="D189" s="12">
        <v>4.0099999999999999E-4</v>
      </c>
    </row>
    <row r="190" spans="1:4">
      <c r="A190">
        <v>36004</v>
      </c>
      <c r="B190" t="s">
        <v>389</v>
      </c>
      <c r="C190" s="11">
        <v>29925631</v>
      </c>
      <c r="D190" s="12">
        <v>1.972E-4</v>
      </c>
    </row>
    <row r="191" spans="1:4">
      <c r="A191">
        <v>36005</v>
      </c>
      <c r="B191" t="s">
        <v>87</v>
      </c>
      <c r="C191" s="11">
        <v>682997704</v>
      </c>
      <c r="D191" s="12">
        <v>4.4998E-3</v>
      </c>
    </row>
    <row r="192" spans="1:4">
      <c r="A192">
        <v>36006</v>
      </c>
      <c r="B192" t="s">
        <v>390</v>
      </c>
      <c r="C192" s="11">
        <v>73136366</v>
      </c>
      <c r="D192" s="12">
        <v>4.818E-4</v>
      </c>
    </row>
    <row r="193" spans="1:4">
      <c r="A193">
        <v>36007</v>
      </c>
      <c r="B193" t="s">
        <v>391</v>
      </c>
      <c r="C193" s="11">
        <v>24109748</v>
      </c>
      <c r="D193" s="12">
        <v>1.5880000000000001E-4</v>
      </c>
    </row>
    <row r="194" spans="1:4">
      <c r="A194">
        <v>36008</v>
      </c>
      <c r="B194" t="s">
        <v>392</v>
      </c>
      <c r="C194" s="11">
        <v>75350614</v>
      </c>
      <c r="D194" s="12">
        <v>4.9640000000000003E-4</v>
      </c>
    </row>
    <row r="195" spans="1:4">
      <c r="A195">
        <v>36009</v>
      </c>
      <c r="B195" t="s">
        <v>393</v>
      </c>
      <c r="C195" s="11">
        <v>25612943</v>
      </c>
      <c r="D195" s="12">
        <v>1.6870000000000001E-4</v>
      </c>
    </row>
    <row r="196" spans="1:4">
      <c r="A196">
        <v>36100</v>
      </c>
      <c r="B196" t="s">
        <v>394</v>
      </c>
      <c r="C196" s="11">
        <v>103078951</v>
      </c>
      <c r="D196" s="12">
        <v>6.7909999999999997E-4</v>
      </c>
    </row>
    <row r="197" spans="1:4">
      <c r="A197">
        <v>36102</v>
      </c>
      <c r="B197" t="s">
        <v>395</v>
      </c>
      <c r="C197" s="11">
        <v>22459132</v>
      </c>
      <c r="D197" s="12">
        <v>1.4799999999999999E-4</v>
      </c>
    </row>
    <row r="198" spans="1:4">
      <c r="A198">
        <v>36105</v>
      </c>
      <c r="B198" t="s">
        <v>88</v>
      </c>
      <c r="C198" s="11">
        <v>53925978</v>
      </c>
      <c r="D198" s="12">
        <v>3.5530000000000002E-4</v>
      </c>
    </row>
    <row r="199" spans="1:4">
      <c r="A199">
        <v>36200</v>
      </c>
      <c r="B199" t="s">
        <v>396</v>
      </c>
      <c r="C199" s="11">
        <v>218876036</v>
      </c>
      <c r="D199" s="12">
        <v>1.4419999999999999E-3</v>
      </c>
    </row>
    <row r="200" spans="1:4">
      <c r="A200">
        <v>36205</v>
      </c>
      <c r="B200" t="s">
        <v>89</v>
      </c>
      <c r="C200" s="11">
        <v>37351236</v>
      </c>
      <c r="D200" s="12">
        <v>2.4610000000000002E-4</v>
      </c>
    </row>
    <row r="201" spans="1:4">
      <c r="A201">
        <v>36300</v>
      </c>
      <c r="B201" t="s">
        <v>397</v>
      </c>
      <c r="C201" s="11">
        <v>686717421</v>
      </c>
      <c r="D201" s="12">
        <v>4.5243000000000002E-3</v>
      </c>
    </row>
    <row r="202" spans="1:4">
      <c r="A202">
        <v>36301</v>
      </c>
      <c r="B202" t="s">
        <v>398</v>
      </c>
      <c r="C202" s="11">
        <v>9328440</v>
      </c>
      <c r="D202" s="12">
        <v>6.1500000000000004E-5</v>
      </c>
    </row>
    <row r="203" spans="1:4">
      <c r="A203">
        <v>36302</v>
      </c>
      <c r="B203" t="s">
        <v>399</v>
      </c>
      <c r="C203" s="11">
        <v>17061129</v>
      </c>
      <c r="D203" s="12">
        <v>1.1239999999999999E-4</v>
      </c>
    </row>
    <row r="204" spans="1:4">
      <c r="A204">
        <v>36305</v>
      </c>
      <c r="B204" t="s">
        <v>90</v>
      </c>
      <c r="C204" s="11">
        <v>132040004</v>
      </c>
      <c r="D204" s="12">
        <v>8.6989999999999995E-4</v>
      </c>
    </row>
    <row r="205" spans="1:4">
      <c r="A205">
        <v>36400</v>
      </c>
      <c r="B205" t="s">
        <v>402</v>
      </c>
      <c r="C205" s="11">
        <v>737265532</v>
      </c>
      <c r="D205" s="12">
        <v>4.8573000000000002E-3</v>
      </c>
    </row>
    <row r="206" spans="1:4">
      <c r="A206">
        <v>36405</v>
      </c>
      <c r="B206" t="s">
        <v>403</v>
      </c>
      <c r="C206" s="11">
        <v>127610444</v>
      </c>
      <c r="D206" s="12">
        <v>8.407E-4</v>
      </c>
    </row>
    <row r="207" spans="1:4">
      <c r="A207">
        <v>36500</v>
      </c>
      <c r="B207" t="s">
        <v>404</v>
      </c>
      <c r="C207" s="11">
        <v>1452516451</v>
      </c>
      <c r="D207" s="12">
        <v>9.5695999999999993E-3</v>
      </c>
    </row>
    <row r="208" spans="1:4">
      <c r="A208">
        <v>36501</v>
      </c>
      <c r="B208" t="s">
        <v>512</v>
      </c>
      <c r="C208" s="11">
        <v>16578449</v>
      </c>
      <c r="D208" s="12">
        <v>1.092E-4</v>
      </c>
    </row>
    <row r="209" spans="1:4">
      <c r="A209">
        <v>36502</v>
      </c>
      <c r="B209" t="s">
        <v>406</v>
      </c>
      <c r="C209" s="11">
        <v>7250396</v>
      </c>
      <c r="D209" s="12">
        <v>4.7800000000000003E-5</v>
      </c>
    </row>
    <row r="210" spans="1:4">
      <c r="A210">
        <v>36505</v>
      </c>
      <c r="B210" t="s">
        <v>92</v>
      </c>
      <c r="C210" s="11">
        <v>288052455</v>
      </c>
      <c r="D210" s="12">
        <v>1.8978000000000001E-3</v>
      </c>
    </row>
    <row r="211" spans="1:4">
      <c r="A211">
        <v>36600</v>
      </c>
      <c r="B211" t="s">
        <v>407</v>
      </c>
      <c r="C211" s="11">
        <v>106658217</v>
      </c>
      <c r="D211" s="12">
        <v>7.027E-4</v>
      </c>
    </row>
    <row r="212" spans="1:4">
      <c r="A212">
        <v>36601</v>
      </c>
      <c r="B212" t="s">
        <v>408</v>
      </c>
      <c r="C212" s="11">
        <v>58000060</v>
      </c>
      <c r="D212" s="12">
        <v>3.8210000000000002E-4</v>
      </c>
    </row>
    <row r="213" spans="1:4">
      <c r="A213">
        <v>36700</v>
      </c>
      <c r="B213" t="s">
        <v>409</v>
      </c>
      <c r="C213" s="11">
        <v>1247174026</v>
      </c>
      <c r="D213" s="12">
        <v>8.2167999999999998E-3</v>
      </c>
    </row>
    <row r="214" spans="1:4">
      <c r="A214">
        <v>36701</v>
      </c>
      <c r="B214" t="s">
        <v>410</v>
      </c>
      <c r="C214" s="11">
        <v>6530418</v>
      </c>
      <c r="D214" s="12">
        <v>4.3000000000000002E-5</v>
      </c>
    </row>
    <row r="215" spans="1:4">
      <c r="A215">
        <v>36705</v>
      </c>
      <c r="B215" t="s">
        <v>93</v>
      </c>
      <c r="C215" s="11">
        <v>141611353</v>
      </c>
      <c r="D215" s="12">
        <v>9.3300000000000002E-4</v>
      </c>
    </row>
    <row r="216" spans="1:4">
      <c r="A216">
        <v>36800</v>
      </c>
      <c r="B216" t="s">
        <v>411</v>
      </c>
      <c r="C216" s="11">
        <v>465639284</v>
      </c>
      <c r="D216" s="12">
        <v>3.0677999999999999E-3</v>
      </c>
    </row>
    <row r="217" spans="1:4">
      <c r="A217">
        <v>36802</v>
      </c>
      <c r="B217" t="s">
        <v>412</v>
      </c>
      <c r="C217" s="11">
        <v>12340279</v>
      </c>
      <c r="D217" s="12">
        <v>8.1299999999999997E-5</v>
      </c>
    </row>
    <row r="218" spans="1:4">
      <c r="A218">
        <v>36810</v>
      </c>
      <c r="B218" t="s">
        <v>413</v>
      </c>
      <c r="C218" s="11">
        <v>904112899</v>
      </c>
      <c r="D218" s="12">
        <v>5.9566000000000003E-3</v>
      </c>
    </row>
    <row r="219" spans="1:4">
      <c r="A219">
        <v>36900</v>
      </c>
      <c r="B219" t="s">
        <v>414</v>
      </c>
      <c r="C219" s="11">
        <v>88404403</v>
      </c>
      <c r="D219" s="12">
        <v>5.8239999999999995E-4</v>
      </c>
    </row>
    <row r="220" spans="1:4">
      <c r="A220">
        <v>36901</v>
      </c>
      <c r="B220" t="s">
        <v>415</v>
      </c>
      <c r="C220" s="11">
        <v>29120181</v>
      </c>
      <c r="D220" s="12">
        <v>1.919E-4</v>
      </c>
    </row>
    <row r="221" spans="1:4">
      <c r="A221">
        <v>36905</v>
      </c>
      <c r="B221" t="s">
        <v>94</v>
      </c>
      <c r="C221" s="11">
        <v>27200137</v>
      </c>
      <c r="D221" s="12">
        <v>1.7919999999999999E-4</v>
      </c>
    </row>
    <row r="222" spans="1:4">
      <c r="A222">
        <v>37000</v>
      </c>
      <c r="B222" t="s">
        <v>416</v>
      </c>
      <c r="C222" s="11">
        <v>307873177</v>
      </c>
      <c r="D222" s="12">
        <v>2.0284000000000001E-3</v>
      </c>
    </row>
    <row r="223" spans="1:4">
      <c r="A223">
        <v>37001</v>
      </c>
      <c r="B223" t="s">
        <v>513</v>
      </c>
      <c r="C223" s="11">
        <v>6246490</v>
      </c>
      <c r="D223" s="12">
        <v>4.1199999999999999E-5</v>
      </c>
    </row>
    <row r="224" spans="1:4">
      <c r="A224">
        <v>37005</v>
      </c>
      <c r="B224" t="s">
        <v>95</v>
      </c>
      <c r="C224" s="11">
        <v>71445467</v>
      </c>
      <c r="D224" s="12">
        <v>4.707E-4</v>
      </c>
    </row>
    <row r="225" spans="1:4">
      <c r="A225">
        <v>37100</v>
      </c>
      <c r="B225" t="s">
        <v>418</v>
      </c>
      <c r="C225" s="11">
        <v>432757321</v>
      </c>
      <c r="D225" s="12">
        <v>2.8511000000000001E-3</v>
      </c>
    </row>
    <row r="226" spans="1:4">
      <c r="A226">
        <v>37200</v>
      </c>
      <c r="B226" t="s">
        <v>419</v>
      </c>
      <c r="C226" s="11">
        <v>96915572</v>
      </c>
      <c r="D226" s="12">
        <v>6.3849999999999996E-4</v>
      </c>
    </row>
    <row r="227" spans="1:4">
      <c r="A227">
        <v>37300</v>
      </c>
      <c r="B227" t="s">
        <v>420</v>
      </c>
      <c r="C227" s="11">
        <v>257971492</v>
      </c>
      <c r="D227" s="12">
        <v>1.6995999999999999E-3</v>
      </c>
    </row>
    <row r="228" spans="1:4">
      <c r="A228">
        <v>37301</v>
      </c>
      <c r="B228" t="s">
        <v>421</v>
      </c>
      <c r="C228" s="11">
        <v>26675827</v>
      </c>
      <c r="D228" s="12">
        <v>1.7569999999999999E-4</v>
      </c>
    </row>
    <row r="229" spans="1:4">
      <c r="A229">
        <v>37305</v>
      </c>
      <c r="B229" t="s">
        <v>96</v>
      </c>
      <c r="C229" s="11">
        <v>73855777</v>
      </c>
      <c r="D229" s="12">
        <v>4.8660000000000001E-4</v>
      </c>
    </row>
    <row r="230" spans="1:4">
      <c r="A230">
        <v>37400</v>
      </c>
      <c r="B230" t="s">
        <v>422</v>
      </c>
      <c r="C230" s="11">
        <v>1256100360</v>
      </c>
      <c r="D230" s="12">
        <v>8.2755999999999993E-3</v>
      </c>
    </row>
    <row r="231" spans="1:4">
      <c r="A231">
        <v>37405</v>
      </c>
      <c r="B231" t="s">
        <v>97</v>
      </c>
      <c r="C231" s="11">
        <v>280566158</v>
      </c>
      <c r="D231" s="12">
        <v>1.8485000000000001E-3</v>
      </c>
    </row>
    <row r="232" spans="1:4">
      <c r="A232">
        <v>37500</v>
      </c>
      <c r="B232" t="s">
        <v>423</v>
      </c>
      <c r="C232" s="11">
        <v>136393955</v>
      </c>
      <c r="D232" s="12">
        <v>8.9860000000000005E-4</v>
      </c>
    </row>
    <row r="233" spans="1:4">
      <c r="A233">
        <v>37600</v>
      </c>
      <c r="B233" t="s">
        <v>424</v>
      </c>
      <c r="C233" s="11">
        <v>876531357</v>
      </c>
      <c r="D233" s="12">
        <v>5.7749000000000003E-3</v>
      </c>
    </row>
    <row r="234" spans="1:4">
      <c r="A234">
        <v>37601</v>
      </c>
      <c r="B234" t="s">
        <v>425</v>
      </c>
      <c r="C234" s="11">
        <v>28716270</v>
      </c>
      <c r="D234" s="12">
        <v>1.8919999999999999E-4</v>
      </c>
    </row>
    <row r="235" spans="1:4">
      <c r="A235">
        <v>37605</v>
      </c>
      <c r="B235" t="s">
        <v>98</v>
      </c>
      <c r="C235" s="11">
        <v>103750950</v>
      </c>
      <c r="D235" s="12">
        <v>6.8349999999999997E-4</v>
      </c>
    </row>
    <row r="236" spans="1:4">
      <c r="A236">
        <v>37610</v>
      </c>
      <c r="B236" t="s">
        <v>426</v>
      </c>
      <c r="C236" s="11">
        <v>265806798</v>
      </c>
      <c r="D236" s="12">
        <v>1.7512000000000001E-3</v>
      </c>
    </row>
    <row r="237" spans="1:4">
      <c r="A237">
        <v>37700</v>
      </c>
      <c r="B237" t="s">
        <v>427</v>
      </c>
      <c r="C237" s="11">
        <v>373266868</v>
      </c>
      <c r="D237" s="12">
        <v>2.4591999999999999E-3</v>
      </c>
    </row>
    <row r="238" spans="1:4">
      <c r="A238">
        <v>37705</v>
      </c>
      <c r="B238" t="s">
        <v>99</v>
      </c>
      <c r="C238" s="11">
        <v>108436139</v>
      </c>
      <c r="D238" s="12">
        <v>7.1440000000000002E-4</v>
      </c>
    </row>
    <row r="239" spans="1:4">
      <c r="A239">
        <v>37800</v>
      </c>
      <c r="B239" t="s">
        <v>428</v>
      </c>
      <c r="C239" s="11">
        <v>1121038316</v>
      </c>
      <c r="D239" s="12">
        <v>7.3857999999999997E-3</v>
      </c>
    </row>
    <row r="240" spans="1:4">
      <c r="A240">
        <v>37801</v>
      </c>
      <c r="B240" t="s">
        <v>429</v>
      </c>
      <c r="C240" s="11">
        <v>7365971</v>
      </c>
      <c r="D240" s="12">
        <v>4.85E-5</v>
      </c>
    </row>
    <row r="241" spans="1:4">
      <c r="A241">
        <v>37805</v>
      </c>
      <c r="B241" t="s">
        <v>100</v>
      </c>
      <c r="C241" s="11">
        <v>89209213</v>
      </c>
      <c r="D241" s="12">
        <v>5.8770000000000003E-4</v>
      </c>
    </row>
    <row r="242" spans="1:4">
      <c r="A242">
        <v>37900</v>
      </c>
      <c r="B242" t="s">
        <v>430</v>
      </c>
      <c r="C242" s="11">
        <v>610595267</v>
      </c>
      <c r="D242" s="12">
        <v>4.0228E-3</v>
      </c>
    </row>
    <row r="243" spans="1:4">
      <c r="A243">
        <v>37901</v>
      </c>
      <c r="B243" t="s">
        <v>431</v>
      </c>
      <c r="C243" s="11">
        <v>8455677</v>
      </c>
      <c r="D243" s="12">
        <v>5.5699999999999999E-5</v>
      </c>
    </row>
    <row r="244" spans="1:4">
      <c r="A244">
        <v>37905</v>
      </c>
      <c r="B244" t="s">
        <v>101</v>
      </c>
      <c r="C244" s="11">
        <v>67090264</v>
      </c>
      <c r="D244" s="12">
        <v>4.4200000000000001E-4</v>
      </c>
    </row>
    <row r="245" spans="1:4">
      <c r="A245">
        <v>38000</v>
      </c>
      <c r="B245" t="s">
        <v>432</v>
      </c>
      <c r="C245" s="11">
        <v>969875002</v>
      </c>
      <c r="D245" s="12">
        <v>6.3898000000000002E-3</v>
      </c>
    </row>
    <row r="246" spans="1:4">
      <c r="A246">
        <v>38005</v>
      </c>
      <c r="B246" t="s">
        <v>102</v>
      </c>
      <c r="C246" s="11">
        <v>200890829</v>
      </c>
      <c r="D246" s="12">
        <v>1.3235E-3</v>
      </c>
    </row>
    <row r="247" spans="1:4">
      <c r="A247">
        <v>38100</v>
      </c>
      <c r="B247" t="s">
        <v>433</v>
      </c>
      <c r="C247" s="11">
        <v>445313989</v>
      </c>
      <c r="D247" s="12">
        <v>2.9339000000000001E-3</v>
      </c>
    </row>
    <row r="248" spans="1:4">
      <c r="A248">
        <v>38105</v>
      </c>
      <c r="B248" t="s">
        <v>103</v>
      </c>
      <c r="C248" s="11">
        <v>90987563</v>
      </c>
      <c r="D248" s="12">
        <v>5.9949999999999999E-4</v>
      </c>
    </row>
    <row r="249" spans="1:4">
      <c r="A249">
        <v>38200</v>
      </c>
      <c r="B249" t="s">
        <v>434</v>
      </c>
      <c r="C249" s="11">
        <v>433462791</v>
      </c>
      <c r="D249" s="12">
        <v>2.8557999999999999E-3</v>
      </c>
    </row>
    <row r="250" spans="1:4">
      <c r="A250">
        <v>38205</v>
      </c>
      <c r="B250" t="s">
        <v>104</v>
      </c>
      <c r="C250" s="11">
        <v>60029615</v>
      </c>
      <c r="D250" s="12">
        <v>3.9550000000000002E-4</v>
      </c>
    </row>
    <row r="251" spans="1:4">
      <c r="A251">
        <v>38210</v>
      </c>
      <c r="B251" t="s">
        <v>435</v>
      </c>
      <c r="C251" s="11">
        <v>158804473</v>
      </c>
      <c r="D251" s="12">
        <v>1.0463E-3</v>
      </c>
    </row>
    <row r="252" spans="1:4">
      <c r="A252">
        <v>38300</v>
      </c>
      <c r="B252" t="s">
        <v>436</v>
      </c>
      <c r="C252" s="11">
        <v>340765398</v>
      </c>
      <c r="D252" s="12">
        <v>2.2450999999999999E-3</v>
      </c>
    </row>
    <row r="253" spans="1:4">
      <c r="A253">
        <v>38400</v>
      </c>
      <c r="B253" t="s">
        <v>437</v>
      </c>
      <c r="C253" s="11">
        <v>416881371</v>
      </c>
      <c r="D253" s="12">
        <v>2.7464999999999998E-3</v>
      </c>
    </row>
    <row r="254" spans="1:4">
      <c r="A254">
        <v>38402</v>
      </c>
      <c r="B254" t="s">
        <v>438</v>
      </c>
      <c r="C254" s="11">
        <v>14713091</v>
      </c>
      <c r="D254" s="12">
        <v>9.6899999999999997E-5</v>
      </c>
    </row>
    <row r="255" spans="1:4">
      <c r="A255">
        <v>38405</v>
      </c>
      <c r="B255" t="s">
        <v>105</v>
      </c>
      <c r="C255" s="11">
        <v>103594650</v>
      </c>
      <c r="D255" s="12">
        <v>6.8249999999999995E-4</v>
      </c>
    </row>
    <row r="256" spans="1:4">
      <c r="A256">
        <v>38500</v>
      </c>
      <c r="B256" t="s">
        <v>439</v>
      </c>
      <c r="C256" s="11">
        <v>334624863</v>
      </c>
      <c r="D256" s="12">
        <v>2.2046000000000001E-3</v>
      </c>
    </row>
    <row r="257" spans="1:4">
      <c r="A257">
        <v>38600</v>
      </c>
      <c r="B257" t="s">
        <v>440</v>
      </c>
      <c r="C257" s="11">
        <v>414559381</v>
      </c>
      <c r="D257" s="12">
        <v>2.7312E-3</v>
      </c>
    </row>
    <row r="258" spans="1:4">
      <c r="A258">
        <v>38601</v>
      </c>
      <c r="B258" t="s">
        <v>441</v>
      </c>
      <c r="C258" s="11">
        <v>5692122</v>
      </c>
      <c r="D258" s="12">
        <v>3.7499999999999997E-5</v>
      </c>
    </row>
    <row r="259" spans="1:4">
      <c r="A259">
        <v>38602</v>
      </c>
      <c r="B259" t="s">
        <v>442</v>
      </c>
      <c r="C259" s="11">
        <v>24835517</v>
      </c>
      <c r="D259" s="12">
        <v>1.6359999999999999E-4</v>
      </c>
    </row>
    <row r="260" spans="1:4">
      <c r="A260">
        <v>38605</v>
      </c>
      <c r="B260" t="s">
        <v>106</v>
      </c>
      <c r="C260" s="11">
        <v>114862408</v>
      </c>
      <c r="D260" s="12">
        <v>7.5679999999999996E-4</v>
      </c>
    </row>
    <row r="261" spans="1:4">
      <c r="A261">
        <v>38610</v>
      </c>
      <c r="B261" t="s">
        <v>443</v>
      </c>
      <c r="C261" s="11">
        <v>83985208</v>
      </c>
      <c r="D261" s="12">
        <v>5.5329999999999995E-4</v>
      </c>
    </row>
    <row r="262" spans="1:4">
      <c r="A262">
        <v>38620</v>
      </c>
      <c r="B262" t="s">
        <v>444</v>
      </c>
      <c r="C262" s="11">
        <v>71566921</v>
      </c>
      <c r="D262" s="12">
        <v>4.7150000000000002E-4</v>
      </c>
    </row>
    <row r="263" spans="1:4">
      <c r="A263">
        <v>38700</v>
      </c>
      <c r="B263" t="s">
        <v>445</v>
      </c>
      <c r="C263" s="11">
        <v>124482395</v>
      </c>
      <c r="D263" s="12">
        <v>8.2010000000000004E-4</v>
      </c>
    </row>
    <row r="264" spans="1:4">
      <c r="A264">
        <v>38701</v>
      </c>
      <c r="B264" t="s">
        <v>514</v>
      </c>
      <c r="C264" s="11">
        <v>8262137</v>
      </c>
      <c r="D264" s="12">
        <v>5.4400000000000001E-5</v>
      </c>
    </row>
    <row r="265" spans="1:4">
      <c r="A265">
        <v>38800</v>
      </c>
      <c r="B265" t="s">
        <v>447</v>
      </c>
      <c r="C265" s="11">
        <v>212625266</v>
      </c>
      <c r="D265" s="12">
        <v>1.4008E-3</v>
      </c>
    </row>
    <row r="266" spans="1:4">
      <c r="A266">
        <v>38801</v>
      </c>
      <c r="B266" t="s">
        <v>448</v>
      </c>
      <c r="C266" s="11">
        <v>15661477</v>
      </c>
      <c r="D266" s="12">
        <v>1.032E-4</v>
      </c>
    </row>
    <row r="267" spans="1:4">
      <c r="A267">
        <v>38900</v>
      </c>
      <c r="B267" t="s">
        <v>449</v>
      </c>
      <c r="C267" s="11">
        <v>47860457</v>
      </c>
      <c r="D267" s="12">
        <v>3.1530000000000002E-4</v>
      </c>
    </row>
    <row r="268" spans="1:4">
      <c r="A268">
        <v>39000</v>
      </c>
      <c r="B268" t="s">
        <v>450</v>
      </c>
      <c r="C268" s="11">
        <v>2145586483</v>
      </c>
      <c r="D268" s="12">
        <v>1.41358E-2</v>
      </c>
    </row>
    <row r="269" spans="1:4">
      <c r="A269">
        <v>39100</v>
      </c>
      <c r="B269" t="s">
        <v>451</v>
      </c>
      <c r="C269" s="11">
        <v>331279558</v>
      </c>
      <c r="D269" s="12">
        <v>2.1825999999999998E-3</v>
      </c>
    </row>
    <row r="270" spans="1:4">
      <c r="A270">
        <v>39101</v>
      </c>
      <c r="B270" t="s">
        <v>452</v>
      </c>
      <c r="C270" s="11">
        <v>23474484</v>
      </c>
      <c r="D270" s="12">
        <v>1.5469999999999999E-4</v>
      </c>
    </row>
    <row r="271" spans="1:4">
      <c r="A271">
        <v>39105</v>
      </c>
      <c r="B271" t="s">
        <v>107</v>
      </c>
      <c r="C271" s="11">
        <v>135469267</v>
      </c>
      <c r="D271" s="12">
        <v>8.9249999999999996E-4</v>
      </c>
    </row>
    <row r="272" spans="1:4">
      <c r="A272">
        <v>39200</v>
      </c>
      <c r="B272" t="s">
        <v>453</v>
      </c>
      <c r="C272" s="11">
        <v>8791368555</v>
      </c>
      <c r="D272" s="12">
        <v>5.7920399999999997E-2</v>
      </c>
    </row>
    <row r="273" spans="1:4">
      <c r="A273">
        <v>39201</v>
      </c>
      <c r="B273" t="s">
        <v>454</v>
      </c>
      <c r="C273" s="11">
        <v>27085370</v>
      </c>
      <c r="D273" s="12">
        <v>1.784E-4</v>
      </c>
    </row>
    <row r="274" spans="1:4">
      <c r="A274">
        <v>39204</v>
      </c>
      <c r="B274" t="s">
        <v>455</v>
      </c>
      <c r="C274" s="11">
        <v>18598985</v>
      </c>
      <c r="D274" s="12">
        <v>1.225E-4</v>
      </c>
    </row>
    <row r="275" spans="1:4">
      <c r="A275">
        <v>39205</v>
      </c>
      <c r="B275" t="s">
        <v>108</v>
      </c>
      <c r="C275" s="11">
        <v>684614470</v>
      </c>
      <c r="D275" s="12">
        <v>4.5104999999999998E-3</v>
      </c>
    </row>
    <row r="276" spans="1:4">
      <c r="A276">
        <v>39208</v>
      </c>
      <c r="B276" t="s">
        <v>456</v>
      </c>
      <c r="C276" s="11">
        <v>56123001</v>
      </c>
      <c r="D276" s="12">
        <v>3.6979999999999999E-4</v>
      </c>
    </row>
    <row r="277" spans="1:4">
      <c r="A277">
        <v>39209</v>
      </c>
      <c r="B277" t="s">
        <v>457</v>
      </c>
      <c r="C277" s="11">
        <v>27973371</v>
      </c>
      <c r="D277" s="12">
        <v>1.8430000000000001E-4</v>
      </c>
    </row>
    <row r="278" spans="1:4">
      <c r="A278">
        <v>39300</v>
      </c>
      <c r="B278" t="s">
        <v>458</v>
      </c>
      <c r="C278" s="11">
        <v>129656907</v>
      </c>
      <c r="D278" s="12">
        <v>8.5419999999999995E-4</v>
      </c>
    </row>
    <row r="279" spans="1:4">
      <c r="A279">
        <v>39301</v>
      </c>
      <c r="B279" t="s">
        <v>459</v>
      </c>
      <c r="C279" s="11">
        <v>7199522</v>
      </c>
      <c r="D279" s="12">
        <v>4.74E-5</v>
      </c>
    </row>
    <row r="280" spans="1:4">
      <c r="A280">
        <v>39400</v>
      </c>
      <c r="B280" t="s">
        <v>460</v>
      </c>
      <c r="C280" s="11">
        <v>88695307</v>
      </c>
      <c r="D280" s="12">
        <v>5.844E-4</v>
      </c>
    </row>
    <row r="281" spans="1:4">
      <c r="A281">
        <v>39401</v>
      </c>
      <c r="B281" t="s">
        <v>461</v>
      </c>
      <c r="C281" s="11">
        <v>32932736</v>
      </c>
      <c r="D281" s="12">
        <v>2.1699999999999999E-4</v>
      </c>
    </row>
    <row r="282" spans="1:4">
      <c r="A282">
        <v>39500</v>
      </c>
      <c r="B282" t="s">
        <v>462</v>
      </c>
      <c r="C282" s="11">
        <v>268823016</v>
      </c>
      <c r="D282" s="12">
        <v>1.7711000000000001E-3</v>
      </c>
    </row>
    <row r="283" spans="1:4">
      <c r="A283">
        <v>39501</v>
      </c>
      <c r="B283" t="s">
        <v>515</v>
      </c>
      <c r="C283" s="11">
        <v>8654331</v>
      </c>
      <c r="D283" s="12">
        <v>5.7000000000000003E-5</v>
      </c>
    </row>
    <row r="284" spans="1:4">
      <c r="A284">
        <v>39600</v>
      </c>
      <c r="B284" t="s">
        <v>464</v>
      </c>
      <c r="C284" s="11">
        <v>874287148</v>
      </c>
      <c r="D284" s="12">
        <v>5.7600999999999998E-3</v>
      </c>
    </row>
    <row r="285" spans="1:4">
      <c r="A285">
        <v>39605</v>
      </c>
      <c r="B285" t="s">
        <v>109</v>
      </c>
      <c r="C285" s="11">
        <v>127365603</v>
      </c>
      <c r="D285" s="12">
        <v>8.3909999999999996E-4</v>
      </c>
    </row>
    <row r="286" spans="1:4">
      <c r="A286">
        <v>39700</v>
      </c>
      <c r="B286" t="s">
        <v>465</v>
      </c>
      <c r="C286" s="11">
        <v>527006525</v>
      </c>
      <c r="D286" s="12">
        <v>3.4721000000000001E-3</v>
      </c>
    </row>
    <row r="287" spans="1:4">
      <c r="A287">
        <v>39703</v>
      </c>
      <c r="B287" t="s">
        <v>466</v>
      </c>
      <c r="C287" s="11">
        <v>16983617</v>
      </c>
      <c r="D287" s="12">
        <v>1.119E-4</v>
      </c>
    </row>
    <row r="288" spans="1:4">
      <c r="A288">
        <v>39705</v>
      </c>
      <c r="B288" t="s">
        <v>110</v>
      </c>
      <c r="C288" s="11">
        <v>120597175</v>
      </c>
      <c r="D288" s="12">
        <v>7.9449999999999996E-4</v>
      </c>
    </row>
    <row r="289" spans="1:4">
      <c r="A289">
        <v>39800</v>
      </c>
      <c r="B289" t="s">
        <v>467</v>
      </c>
      <c r="C289" s="11">
        <v>578868563</v>
      </c>
      <c r="D289" s="12">
        <v>3.8138E-3</v>
      </c>
    </row>
    <row r="290" spans="1:4">
      <c r="A290">
        <v>39805</v>
      </c>
      <c r="B290" t="s">
        <v>111</v>
      </c>
      <c r="C290" s="11">
        <v>64883417</v>
      </c>
      <c r="D290" s="12">
        <v>4.2749999999999998E-4</v>
      </c>
    </row>
    <row r="291" spans="1:4">
      <c r="A291">
        <v>39900</v>
      </c>
      <c r="B291" t="s">
        <v>468</v>
      </c>
      <c r="C291" s="11">
        <v>286776547</v>
      </c>
      <c r="D291" s="12">
        <v>1.8894000000000001E-3</v>
      </c>
    </row>
    <row r="292" spans="1:4">
      <c r="A292">
        <v>51000</v>
      </c>
      <c r="B292" t="s">
        <v>516</v>
      </c>
      <c r="C292" s="11">
        <v>4464773468</v>
      </c>
      <c r="D292" s="12">
        <v>2.9415299999999998E-2</v>
      </c>
    </row>
    <row r="293" spans="1:4">
      <c r="A293">
        <v>51000.2</v>
      </c>
      <c r="B293" t="s">
        <v>517</v>
      </c>
      <c r="C293" s="11">
        <v>2960752</v>
      </c>
      <c r="D293" s="12">
        <v>1.95E-5</v>
      </c>
    </row>
    <row r="294" spans="1:4">
      <c r="A294">
        <v>51000.3</v>
      </c>
      <c r="B294" t="s">
        <v>518</v>
      </c>
      <c r="C294" s="11">
        <v>104302902</v>
      </c>
      <c r="D294" s="12">
        <v>6.8720000000000001E-4</v>
      </c>
    </row>
    <row r="297" spans="1:4">
      <c r="C297" s="11">
        <f>SUM(C5:C296)</f>
        <v>151783800471</v>
      </c>
      <c r="D297" s="12">
        <f>SUM(D5:D296)</f>
        <v>1.0000000000000007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4"/>
  <sheetViews>
    <sheetView workbookViewId="0">
      <pane xSplit="2" ySplit="3" topLeftCell="C4" activePane="bottomRight" state="frozen"/>
      <selection activeCell="A4" sqref="A4"/>
      <selection pane="topRight" activeCell="A4" sqref="A4"/>
      <selection pane="bottomLeft" activeCell="A4" sqref="A4"/>
      <selection pane="bottomRight" activeCell="G305" sqref="G305"/>
    </sheetView>
  </sheetViews>
  <sheetFormatPr defaultRowHeight="12.75"/>
  <cols>
    <col min="1" max="1" width="15.28515625" customWidth="1"/>
    <col min="2" max="2" width="55.5703125" bestFit="1" customWidth="1"/>
    <col min="3" max="4" width="18.28515625" customWidth="1"/>
    <col min="5" max="5" width="20" customWidth="1"/>
    <col min="6" max="6" width="14.42578125" customWidth="1"/>
    <col min="7" max="7" width="19.42578125" customWidth="1"/>
    <col min="8" max="8" width="18.28515625" customWidth="1"/>
    <col min="9" max="9" width="20" customWidth="1"/>
    <col min="10" max="10" width="14.42578125" customWidth="1"/>
    <col min="11" max="11" width="19.42578125" customWidth="1"/>
    <col min="12" max="12" width="15" bestFit="1" customWidth="1"/>
    <col min="13" max="13" width="22.42578125" customWidth="1"/>
    <col min="14" max="14" width="15" bestFit="1" customWidth="1"/>
  </cols>
  <sheetData>
    <row r="1" spans="1:14">
      <c r="A1" s="22">
        <v>1</v>
      </c>
      <c r="B1" s="22">
        <v>2</v>
      </c>
      <c r="C1" s="22">
        <v>3</v>
      </c>
      <c r="D1" s="22">
        <v>4</v>
      </c>
      <c r="E1" s="22">
        <v>5</v>
      </c>
      <c r="F1" s="22">
        <v>6</v>
      </c>
      <c r="G1" s="22">
        <v>7</v>
      </c>
      <c r="H1" s="22">
        <v>8</v>
      </c>
      <c r="I1" s="22">
        <v>9</v>
      </c>
      <c r="J1" s="22">
        <v>10</v>
      </c>
      <c r="K1" s="22">
        <v>11</v>
      </c>
      <c r="L1" s="22">
        <v>12</v>
      </c>
      <c r="M1" s="22">
        <v>13</v>
      </c>
      <c r="N1" s="22">
        <v>14</v>
      </c>
    </row>
    <row r="2" spans="1:14" ht="15">
      <c r="D2" s="160" t="s">
        <v>126</v>
      </c>
      <c r="E2" s="161"/>
      <c r="F2" s="161"/>
      <c r="G2" s="162"/>
      <c r="H2" s="161" t="s">
        <v>113</v>
      </c>
      <c r="I2" s="161"/>
      <c r="J2" s="161"/>
      <c r="K2" s="162"/>
      <c r="L2" s="160" t="s">
        <v>114</v>
      </c>
      <c r="M2" s="161"/>
      <c r="N2" s="162"/>
    </row>
    <row r="3" spans="1:14" ht="120">
      <c r="A3" s="60" t="s">
        <v>162</v>
      </c>
      <c r="B3" s="60" t="s">
        <v>163</v>
      </c>
      <c r="C3" s="60" t="s">
        <v>253</v>
      </c>
      <c r="D3" s="60" t="s">
        <v>116</v>
      </c>
      <c r="E3" s="60" t="s">
        <v>117</v>
      </c>
      <c r="F3" s="60" t="s">
        <v>127</v>
      </c>
      <c r="G3" s="60" t="s">
        <v>115</v>
      </c>
      <c r="H3" s="60" t="s">
        <v>116</v>
      </c>
      <c r="I3" s="60" t="s">
        <v>117</v>
      </c>
      <c r="J3" s="60" t="s">
        <v>127</v>
      </c>
      <c r="K3" s="60" t="s">
        <v>115</v>
      </c>
      <c r="L3" s="60" t="s">
        <v>519</v>
      </c>
      <c r="M3" s="60" t="s">
        <v>118</v>
      </c>
      <c r="N3" s="60" t="s">
        <v>520</v>
      </c>
    </row>
    <row r="4" spans="1:14" ht="15">
      <c r="A4" s="209">
        <v>10200</v>
      </c>
      <c r="B4" s="250" t="s">
        <v>256</v>
      </c>
      <c r="C4" s="225">
        <v>-58694</v>
      </c>
      <c r="D4" s="226">
        <v>16093</v>
      </c>
      <c r="E4" s="226">
        <v>12865</v>
      </c>
      <c r="F4" s="226"/>
      <c r="G4" s="225">
        <v>0</v>
      </c>
      <c r="H4" s="226"/>
      <c r="I4" s="210"/>
      <c r="J4" s="226">
        <v>0</v>
      </c>
      <c r="K4" s="252">
        <v>1802</v>
      </c>
      <c r="L4" s="226">
        <v>31184</v>
      </c>
      <c r="M4" s="227">
        <v>-601</v>
      </c>
      <c r="N4" s="227">
        <f>SUM(L4+M4)</f>
        <v>30583</v>
      </c>
    </row>
    <row r="5" spans="1:14" ht="15">
      <c r="A5" s="209">
        <v>10400</v>
      </c>
      <c r="B5" s="250" t="s">
        <v>257</v>
      </c>
      <c r="C5" s="225">
        <v>-172835</v>
      </c>
      <c r="D5" s="226">
        <v>47388</v>
      </c>
      <c r="E5" s="226">
        <v>37884</v>
      </c>
      <c r="F5" s="226"/>
      <c r="G5" s="225">
        <v>13789</v>
      </c>
      <c r="H5" s="226"/>
      <c r="I5" s="211"/>
      <c r="J5" s="226">
        <v>0</v>
      </c>
      <c r="K5" s="252">
        <v>0</v>
      </c>
      <c r="L5" s="226">
        <v>91827</v>
      </c>
      <c r="M5" s="227">
        <v>4596</v>
      </c>
      <c r="N5" s="227">
        <f t="shared" ref="N5:N68" si="0">SUM(L5+M5)</f>
        <v>96423</v>
      </c>
    </row>
    <row r="6" spans="1:14" ht="15">
      <c r="A6" s="209">
        <v>10500</v>
      </c>
      <c r="B6" s="250" t="s">
        <v>474</v>
      </c>
      <c r="C6" s="225">
        <v>-42845</v>
      </c>
      <c r="D6" s="226">
        <v>11747</v>
      </c>
      <c r="E6" s="226">
        <v>9391</v>
      </c>
      <c r="F6" s="226"/>
      <c r="G6" s="225">
        <v>0</v>
      </c>
      <c r="H6" s="226"/>
      <c r="I6" s="211"/>
      <c r="J6" s="226">
        <v>0</v>
      </c>
      <c r="K6" s="252">
        <v>3791</v>
      </c>
      <c r="L6" s="226">
        <v>22764</v>
      </c>
      <c r="M6" s="227">
        <v>-1264</v>
      </c>
      <c r="N6" s="227">
        <f t="shared" si="0"/>
        <v>21500</v>
      </c>
    </row>
    <row r="7" spans="1:14" ht="15">
      <c r="A7" s="209">
        <v>10700</v>
      </c>
      <c r="B7" s="250" t="s">
        <v>259</v>
      </c>
      <c r="C7" s="225">
        <v>-249779</v>
      </c>
      <c r="D7" s="226">
        <v>68485</v>
      </c>
      <c r="E7" s="226">
        <v>54750</v>
      </c>
      <c r="F7" s="226"/>
      <c r="G7" s="225">
        <v>17779</v>
      </c>
      <c r="H7" s="226"/>
      <c r="I7" s="211"/>
      <c r="J7" s="226">
        <v>0</v>
      </c>
      <c r="K7" s="252">
        <v>0</v>
      </c>
      <c r="L7" s="226">
        <v>132707</v>
      </c>
      <c r="M7" s="227">
        <v>5926</v>
      </c>
      <c r="N7" s="227">
        <f t="shared" si="0"/>
        <v>138633</v>
      </c>
    </row>
    <row r="8" spans="1:14" ht="15">
      <c r="A8" s="209">
        <v>10800</v>
      </c>
      <c r="B8" s="250" t="s">
        <v>260</v>
      </c>
      <c r="C8" s="225">
        <v>-1066801</v>
      </c>
      <c r="D8" s="226">
        <v>292497</v>
      </c>
      <c r="E8" s="226">
        <v>233834</v>
      </c>
      <c r="F8" s="226"/>
      <c r="G8" s="225">
        <v>50271</v>
      </c>
      <c r="H8" s="226"/>
      <c r="I8" s="211"/>
      <c r="J8" s="226">
        <v>0</v>
      </c>
      <c r="K8" s="252">
        <v>0</v>
      </c>
      <c r="L8" s="226">
        <v>566790</v>
      </c>
      <c r="M8" s="227">
        <v>16757</v>
      </c>
      <c r="N8" s="227">
        <f t="shared" si="0"/>
        <v>583547</v>
      </c>
    </row>
    <row r="9" spans="1:14" ht="15">
      <c r="A9" s="209">
        <v>10850</v>
      </c>
      <c r="B9" s="250" t="s">
        <v>475</v>
      </c>
      <c r="C9" s="225">
        <v>-7897</v>
      </c>
      <c r="D9" s="226">
        <v>2165</v>
      </c>
      <c r="E9" s="226">
        <v>1731</v>
      </c>
      <c r="F9" s="226"/>
      <c r="G9" s="225">
        <v>2460</v>
      </c>
      <c r="H9" s="226"/>
      <c r="I9" s="211"/>
      <c r="J9" s="226">
        <v>0</v>
      </c>
      <c r="K9" s="252">
        <v>0</v>
      </c>
      <c r="L9" s="226">
        <v>4196</v>
      </c>
      <c r="M9" s="227">
        <v>820</v>
      </c>
      <c r="N9" s="227">
        <f t="shared" si="0"/>
        <v>5016</v>
      </c>
    </row>
    <row r="10" spans="1:14" ht="15">
      <c r="A10" s="251">
        <v>10900</v>
      </c>
      <c r="B10" s="212" t="s">
        <v>262</v>
      </c>
      <c r="C10" s="220">
        <v>-93098</v>
      </c>
      <c r="D10" s="221">
        <v>25526</v>
      </c>
      <c r="E10" s="221">
        <v>20406</v>
      </c>
      <c r="F10" s="221"/>
      <c r="G10" s="220">
        <v>27083</v>
      </c>
      <c r="H10" s="221"/>
      <c r="I10" s="213"/>
      <c r="J10" s="221">
        <v>0</v>
      </c>
      <c r="K10" s="253">
        <v>0</v>
      </c>
      <c r="L10" s="221">
        <v>49463</v>
      </c>
      <c r="M10" s="222">
        <v>9028</v>
      </c>
      <c r="N10" s="227">
        <f t="shared" si="0"/>
        <v>58491</v>
      </c>
    </row>
    <row r="11" spans="1:14" ht="15">
      <c r="A11" s="251">
        <v>10910</v>
      </c>
      <c r="B11" s="212" t="s">
        <v>476</v>
      </c>
      <c r="C11" s="220">
        <v>-16007</v>
      </c>
      <c r="D11" s="221">
        <v>4389</v>
      </c>
      <c r="E11" s="221">
        <v>3509</v>
      </c>
      <c r="F11" s="221"/>
      <c r="G11" s="220">
        <v>0</v>
      </c>
      <c r="H11" s="221"/>
      <c r="I11" s="213"/>
      <c r="J11" s="221">
        <v>0</v>
      </c>
      <c r="K11" s="253">
        <v>1350</v>
      </c>
      <c r="L11" s="221">
        <v>8505</v>
      </c>
      <c r="M11" s="222">
        <v>-450</v>
      </c>
      <c r="N11" s="227">
        <f t="shared" si="0"/>
        <v>8055</v>
      </c>
    </row>
    <row r="12" spans="1:14" ht="15">
      <c r="A12" s="251">
        <v>10930</v>
      </c>
      <c r="B12" s="212" t="s">
        <v>477</v>
      </c>
      <c r="C12" s="220">
        <v>-144359</v>
      </c>
      <c r="D12" s="221">
        <v>39581</v>
      </c>
      <c r="E12" s="221">
        <v>31642</v>
      </c>
      <c r="F12" s="221"/>
      <c r="G12" s="220">
        <v>13878</v>
      </c>
      <c r="H12" s="221"/>
      <c r="I12" s="213"/>
      <c r="J12" s="221">
        <v>0</v>
      </c>
      <c r="K12" s="253">
        <v>0</v>
      </c>
      <c r="L12" s="221">
        <v>76698</v>
      </c>
      <c r="M12" s="222">
        <v>4626</v>
      </c>
      <c r="N12" s="227">
        <f t="shared" si="0"/>
        <v>81324</v>
      </c>
    </row>
    <row r="13" spans="1:14" ht="15">
      <c r="A13" s="251">
        <v>10940</v>
      </c>
      <c r="B13" s="212" t="s">
        <v>478</v>
      </c>
      <c r="C13" s="220">
        <v>-35994</v>
      </c>
      <c r="D13" s="221">
        <v>9869</v>
      </c>
      <c r="E13" s="221">
        <v>7889</v>
      </c>
      <c r="F13" s="221"/>
      <c r="G13" s="220">
        <v>6554</v>
      </c>
      <c r="H13" s="221"/>
      <c r="I13" s="214"/>
      <c r="J13" s="221">
        <v>0</v>
      </c>
      <c r="K13" s="253">
        <v>0</v>
      </c>
      <c r="L13" s="221">
        <v>19123</v>
      </c>
      <c r="M13" s="222">
        <v>2185</v>
      </c>
      <c r="N13" s="227">
        <f t="shared" si="0"/>
        <v>21308</v>
      </c>
    </row>
    <row r="14" spans="1:14" ht="15">
      <c r="A14" s="251">
        <v>10950</v>
      </c>
      <c r="B14" s="212" t="s">
        <v>479</v>
      </c>
      <c r="C14" s="220">
        <v>-45993</v>
      </c>
      <c r="D14" s="221">
        <v>12610</v>
      </c>
      <c r="E14" s="221">
        <v>10081</v>
      </c>
      <c r="F14" s="221"/>
      <c r="G14" s="220">
        <v>2287</v>
      </c>
      <c r="H14" s="221"/>
      <c r="I14" s="213"/>
      <c r="J14" s="221">
        <v>0</v>
      </c>
      <c r="K14" s="253">
        <v>0</v>
      </c>
      <c r="L14" s="221">
        <v>24436</v>
      </c>
      <c r="M14" s="222">
        <v>762</v>
      </c>
      <c r="N14" s="227">
        <f t="shared" si="0"/>
        <v>25198</v>
      </c>
    </row>
    <row r="15" spans="1:14" ht="15">
      <c r="A15" s="251">
        <v>11300</v>
      </c>
      <c r="B15" s="212" t="s">
        <v>480</v>
      </c>
      <c r="C15" s="220">
        <v>-253709</v>
      </c>
      <c r="D15" s="221">
        <v>69562</v>
      </c>
      <c r="E15" s="221">
        <v>55611</v>
      </c>
      <c r="F15" s="221"/>
      <c r="G15" s="220">
        <v>58679</v>
      </c>
      <c r="H15" s="221"/>
      <c r="I15" s="213"/>
      <c r="J15" s="221">
        <v>0</v>
      </c>
      <c r="K15" s="253">
        <v>0</v>
      </c>
      <c r="L15" s="221">
        <v>134795</v>
      </c>
      <c r="M15" s="222">
        <v>19560</v>
      </c>
      <c r="N15" s="227">
        <f t="shared" si="0"/>
        <v>154355</v>
      </c>
    </row>
    <row r="16" spans="1:14" ht="15">
      <c r="A16" s="209">
        <v>11310</v>
      </c>
      <c r="B16" s="250" t="s">
        <v>481</v>
      </c>
      <c r="C16" s="225">
        <v>-27492</v>
      </c>
      <c r="D16" s="226">
        <v>7538</v>
      </c>
      <c r="E16" s="226">
        <v>6026</v>
      </c>
      <c r="F16" s="226"/>
      <c r="G16" s="225">
        <v>3060</v>
      </c>
      <c r="H16" s="226"/>
      <c r="I16" s="210"/>
      <c r="J16" s="226">
        <v>0</v>
      </c>
      <c r="K16" s="252">
        <v>0</v>
      </c>
      <c r="L16" s="226">
        <v>14606</v>
      </c>
      <c r="M16" s="227">
        <v>1020</v>
      </c>
      <c r="N16" s="227">
        <f t="shared" si="0"/>
        <v>15626</v>
      </c>
    </row>
    <row r="17" spans="1:14" ht="15">
      <c r="A17" s="209">
        <v>11600</v>
      </c>
      <c r="B17" s="250" t="s">
        <v>267</v>
      </c>
      <c r="C17" s="225">
        <v>-116562</v>
      </c>
      <c r="D17" s="226">
        <v>31959</v>
      </c>
      <c r="E17" s="226">
        <v>25549</v>
      </c>
      <c r="F17" s="226"/>
      <c r="G17" s="225">
        <v>62</v>
      </c>
      <c r="H17" s="226"/>
      <c r="I17" s="211"/>
      <c r="J17" s="226">
        <v>0</v>
      </c>
      <c r="K17" s="252">
        <v>0</v>
      </c>
      <c r="L17" s="226">
        <v>61929</v>
      </c>
      <c r="M17" s="227">
        <v>21</v>
      </c>
      <c r="N17" s="227">
        <f t="shared" si="0"/>
        <v>61950</v>
      </c>
    </row>
    <row r="18" spans="1:14" ht="15">
      <c r="A18" s="209">
        <v>11900</v>
      </c>
      <c r="B18" s="250" t="s">
        <v>268</v>
      </c>
      <c r="C18" s="225">
        <v>-11478</v>
      </c>
      <c r="D18" s="226">
        <v>3147</v>
      </c>
      <c r="E18" s="226">
        <v>2516</v>
      </c>
      <c r="F18" s="226"/>
      <c r="G18" s="225">
        <v>1630</v>
      </c>
      <c r="H18" s="226"/>
      <c r="I18" s="211"/>
      <c r="J18" s="226">
        <v>0</v>
      </c>
      <c r="K18" s="252">
        <v>0</v>
      </c>
      <c r="L18" s="226">
        <v>6098</v>
      </c>
      <c r="M18" s="227">
        <v>543</v>
      </c>
      <c r="N18" s="227">
        <f t="shared" si="0"/>
        <v>6641</v>
      </c>
    </row>
    <row r="19" spans="1:14" ht="15">
      <c r="A19" s="209">
        <v>12100</v>
      </c>
      <c r="B19" s="250" t="s">
        <v>482</v>
      </c>
      <c r="C19" s="225">
        <v>-14534</v>
      </c>
      <c r="D19" s="226">
        <v>3985</v>
      </c>
      <c r="E19" s="226">
        <v>3186</v>
      </c>
      <c r="F19" s="226"/>
      <c r="G19" s="225">
        <v>582</v>
      </c>
      <c r="H19" s="226"/>
      <c r="I19" s="211"/>
      <c r="J19" s="226">
        <v>0</v>
      </c>
      <c r="K19" s="252">
        <v>0</v>
      </c>
      <c r="L19" s="226">
        <v>7722</v>
      </c>
      <c r="M19" s="227">
        <v>194</v>
      </c>
      <c r="N19" s="227">
        <f t="shared" si="0"/>
        <v>7916</v>
      </c>
    </row>
    <row r="20" spans="1:14" ht="15">
      <c r="A20" s="209">
        <v>12150</v>
      </c>
      <c r="B20" s="250" t="s">
        <v>483</v>
      </c>
      <c r="C20" s="225">
        <v>-2255</v>
      </c>
      <c r="D20" s="226">
        <v>618</v>
      </c>
      <c r="E20" s="226">
        <v>494</v>
      </c>
      <c r="F20" s="226"/>
      <c r="G20" s="225">
        <v>0</v>
      </c>
      <c r="H20" s="226"/>
      <c r="I20" s="211"/>
      <c r="J20" s="226">
        <v>0</v>
      </c>
      <c r="K20" s="252">
        <v>314</v>
      </c>
      <c r="L20" s="226">
        <v>1198</v>
      </c>
      <c r="M20" s="227">
        <v>-105</v>
      </c>
      <c r="N20" s="227">
        <f t="shared" si="0"/>
        <v>1093</v>
      </c>
    </row>
    <row r="21" spans="1:14" ht="15">
      <c r="A21" s="209">
        <v>12160</v>
      </c>
      <c r="B21" s="250" t="s">
        <v>271</v>
      </c>
      <c r="C21" s="225">
        <v>-100860</v>
      </c>
      <c r="D21" s="226">
        <v>27654</v>
      </c>
      <c r="E21" s="226">
        <v>22108</v>
      </c>
      <c r="F21" s="226"/>
      <c r="G21" s="225">
        <v>13750</v>
      </c>
      <c r="H21" s="226"/>
      <c r="I21" s="211"/>
      <c r="J21" s="226">
        <v>0</v>
      </c>
      <c r="K21" s="252">
        <v>0</v>
      </c>
      <c r="L21" s="226">
        <v>53587</v>
      </c>
      <c r="M21" s="227">
        <v>4583</v>
      </c>
      <c r="N21" s="227">
        <f t="shared" si="0"/>
        <v>58170</v>
      </c>
    </row>
    <row r="22" spans="1:14" ht="15">
      <c r="A22" s="251">
        <v>12220</v>
      </c>
      <c r="B22" s="212" t="s">
        <v>484</v>
      </c>
      <c r="C22" s="220">
        <v>-2553544</v>
      </c>
      <c r="D22" s="220">
        <v>700136</v>
      </c>
      <c r="E22" s="221">
        <v>559716</v>
      </c>
      <c r="F22" s="220"/>
      <c r="G22" s="220">
        <v>259668</v>
      </c>
      <c r="H22" s="220"/>
      <c r="I22" s="213"/>
      <c r="J22" s="220">
        <v>0</v>
      </c>
      <c r="K22" s="253">
        <v>0</v>
      </c>
      <c r="L22" s="220">
        <v>1356696</v>
      </c>
      <c r="M22" s="220">
        <v>86463</v>
      </c>
      <c r="N22" s="227">
        <f t="shared" si="0"/>
        <v>1443159</v>
      </c>
    </row>
    <row r="23" spans="1:14" ht="15">
      <c r="A23" s="251">
        <v>12510</v>
      </c>
      <c r="B23" s="212" t="s">
        <v>273</v>
      </c>
      <c r="C23" s="220">
        <v>-279441</v>
      </c>
      <c r="D23" s="221">
        <v>76618</v>
      </c>
      <c r="E23" s="221">
        <v>61251</v>
      </c>
      <c r="F23" s="221"/>
      <c r="G23" s="220">
        <v>57848</v>
      </c>
      <c r="H23" s="221"/>
      <c r="I23" s="213"/>
      <c r="J23" s="221">
        <v>0</v>
      </c>
      <c r="K23" s="253">
        <v>0</v>
      </c>
      <c r="L23" s="221">
        <v>148467</v>
      </c>
      <c r="M23" s="222">
        <v>19283</v>
      </c>
      <c r="N23" s="227">
        <f t="shared" si="0"/>
        <v>167750</v>
      </c>
    </row>
    <row r="24" spans="1:14" ht="15">
      <c r="A24" s="251">
        <v>12600</v>
      </c>
      <c r="B24" s="212" t="s">
        <v>485</v>
      </c>
      <c r="C24" s="220">
        <v>-76247</v>
      </c>
      <c r="D24" s="221">
        <v>20906</v>
      </c>
      <c r="E24" s="221">
        <v>16713</v>
      </c>
      <c r="F24" s="221"/>
      <c r="G24" s="220">
        <v>16234</v>
      </c>
      <c r="H24" s="221"/>
      <c r="I24" s="213"/>
      <c r="J24" s="221">
        <v>0</v>
      </c>
      <c r="K24" s="253">
        <v>0</v>
      </c>
      <c r="L24" s="221">
        <v>40510</v>
      </c>
      <c r="M24" s="222">
        <v>5411</v>
      </c>
      <c r="N24" s="227">
        <f t="shared" si="0"/>
        <v>45921</v>
      </c>
    </row>
    <row r="25" spans="1:14" ht="15">
      <c r="A25" s="251">
        <v>12700</v>
      </c>
      <c r="B25" s="212" t="s">
        <v>486</v>
      </c>
      <c r="C25" s="220">
        <v>-59561</v>
      </c>
      <c r="D25" s="221">
        <v>16331</v>
      </c>
      <c r="E25" s="221">
        <v>13055</v>
      </c>
      <c r="F25" s="221"/>
      <c r="G25" s="220">
        <v>10862</v>
      </c>
      <c r="H25" s="221"/>
      <c r="I25" s="214"/>
      <c r="J25" s="221">
        <v>0</v>
      </c>
      <c r="K25" s="253">
        <v>0</v>
      </c>
      <c r="L25" s="221">
        <v>31645</v>
      </c>
      <c r="M25" s="222">
        <v>3621</v>
      </c>
      <c r="N25" s="227">
        <f t="shared" si="0"/>
        <v>35266</v>
      </c>
    </row>
    <row r="26" spans="1:14" ht="15">
      <c r="A26" s="251">
        <v>13500</v>
      </c>
      <c r="B26" s="212" t="s">
        <v>487</v>
      </c>
      <c r="C26" s="220">
        <v>-237256</v>
      </c>
      <c r="D26" s="221">
        <v>65051</v>
      </c>
      <c r="E26" s="221">
        <v>52004</v>
      </c>
      <c r="F26" s="221"/>
      <c r="G26" s="220">
        <v>17679</v>
      </c>
      <c r="H26" s="221"/>
      <c r="I26" s="213"/>
      <c r="J26" s="221">
        <v>0</v>
      </c>
      <c r="K26" s="253">
        <v>0</v>
      </c>
      <c r="L26" s="221">
        <v>126054</v>
      </c>
      <c r="M26" s="222">
        <v>5893</v>
      </c>
      <c r="N26" s="227">
        <f t="shared" si="0"/>
        <v>131947</v>
      </c>
    </row>
    <row r="27" spans="1:14" ht="15">
      <c r="A27" s="251">
        <v>13700</v>
      </c>
      <c r="B27" s="212" t="s">
        <v>488</v>
      </c>
      <c r="C27" s="220">
        <v>-25047</v>
      </c>
      <c r="D27" s="221">
        <v>6867</v>
      </c>
      <c r="E27" s="221">
        <v>5490</v>
      </c>
      <c r="F27" s="221"/>
      <c r="G27" s="220">
        <v>6361</v>
      </c>
      <c r="H27" s="221"/>
      <c r="I27" s="213"/>
      <c r="J27" s="221">
        <v>0</v>
      </c>
      <c r="K27" s="253">
        <v>0</v>
      </c>
      <c r="L27" s="221">
        <v>13307</v>
      </c>
      <c r="M27" s="222">
        <v>2120</v>
      </c>
      <c r="N27" s="227">
        <f t="shared" si="0"/>
        <v>15427</v>
      </c>
    </row>
    <row r="28" spans="1:14" ht="15">
      <c r="A28" s="209">
        <v>14300</v>
      </c>
      <c r="B28" s="250" t="s">
        <v>489</v>
      </c>
      <c r="C28" s="225">
        <v>-89987</v>
      </c>
      <c r="D28" s="226">
        <v>24673</v>
      </c>
      <c r="E28" s="226">
        <v>19724</v>
      </c>
      <c r="F28" s="226"/>
      <c r="G28" s="225">
        <v>0</v>
      </c>
      <c r="H28" s="226"/>
      <c r="I28" s="210"/>
      <c r="J28" s="226">
        <v>0</v>
      </c>
      <c r="K28" s="252">
        <v>5280</v>
      </c>
      <c r="L28" s="226">
        <v>47810</v>
      </c>
      <c r="M28" s="227">
        <v>-1760</v>
      </c>
      <c r="N28" s="227">
        <f t="shared" si="0"/>
        <v>46050</v>
      </c>
    </row>
    <row r="29" spans="1:14" ht="15">
      <c r="A29" s="209">
        <v>14300.2</v>
      </c>
      <c r="B29" s="250" t="s">
        <v>490</v>
      </c>
      <c r="C29" s="225">
        <v>-10427</v>
      </c>
      <c r="D29" s="226">
        <v>2859</v>
      </c>
      <c r="E29" s="226">
        <v>2286</v>
      </c>
      <c r="F29" s="226"/>
      <c r="G29" s="225">
        <v>389</v>
      </c>
      <c r="H29" s="226"/>
      <c r="I29" s="211"/>
      <c r="J29" s="226">
        <v>0</v>
      </c>
      <c r="K29" s="252">
        <v>0</v>
      </c>
      <c r="L29" s="226">
        <v>5540</v>
      </c>
      <c r="M29" s="227">
        <v>130</v>
      </c>
      <c r="N29" s="227">
        <f t="shared" si="0"/>
        <v>5670</v>
      </c>
    </row>
    <row r="30" spans="1:14" ht="15">
      <c r="A30" s="209">
        <v>18400</v>
      </c>
      <c r="B30" s="250" t="s">
        <v>491</v>
      </c>
      <c r="C30" s="225">
        <v>-297251</v>
      </c>
      <c r="D30" s="226">
        <v>81501</v>
      </c>
      <c r="E30" s="226">
        <v>65155</v>
      </c>
      <c r="F30" s="226"/>
      <c r="G30" s="225">
        <v>36013</v>
      </c>
      <c r="H30" s="226"/>
      <c r="I30" s="211"/>
      <c r="J30" s="226">
        <v>0</v>
      </c>
      <c r="K30" s="252">
        <v>0</v>
      </c>
      <c r="L30" s="226">
        <v>157929</v>
      </c>
      <c r="M30" s="227">
        <v>12004</v>
      </c>
      <c r="N30" s="227">
        <f t="shared" si="0"/>
        <v>169933</v>
      </c>
    </row>
    <row r="31" spans="1:14" ht="15">
      <c r="A31" s="209">
        <v>18600</v>
      </c>
      <c r="B31" s="250" t="s">
        <v>492</v>
      </c>
      <c r="C31" s="225">
        <v>-831</v>
      </c>
      <c r="D31" s="226">
        <v>228</v>
      </c>
      <c r="E31" s="226">
        <v>182</v>
      </c>
      <c r="F31" s="226"/>
      <c r="G31" s="225">
        <v>344</v>
      </c>
      <c r="H31" s="226"/>
      <c r="I31" s="211"/>
      <c r="J31" s="226">
        <v>0</v>
      </c>
      <c r="K31" s="252">
        <v>0</v>
      </c>
      <c r="L31" s="226">
        <v>442</v>
      </c>
      <c r="M31" s="227">
        <v>115</v>
      </c>
      <c r="N31" s="227">
        <f t="shared" si="0"/>
        <v>557</v>
      </c>
    </row>
    <row r="32" spans="1:14" ht="15">
      <c r="A32" s="209">
        <v>18690</v>
      </c>
      <c r="B32" s="250" t="s">
        <v>493</v>
      </c>
      <c r="C32" s="225" t="s">
        <v>521</v>
      </c>
      <c r="D32" s="226" t="s">
        <v>522</v>
      </c>
      <c r="E32" s="226" t="s">
        <v>523</v>
      </c>
      <c r="F32" s="226"/>
      <c r="G32" s="225">
        <v>370</v>
      </c>
      <c r="H32" s="226"/>
      <c r="I32" s="211"/>
      <c r="J32" s="226">
        <v>0</v>
      </c>
      <c r="K32" s="252">
        <v>0</v>
      </c>
      <c r="L32" s="226">
        <v>0</v>
      </c>
      <c r="M32" s="227">
        <v>123</v>
      </c>
      <c r="N32" s="227">
        <f t="shared" si="0"/>
        <v>123</v>
      </c>
    </row>
    <row r="33" spans="1:14" ht="15">
      <c r="A33" s="209">
        <v>18740</v>
      </c>
      <c r="B33" s="250" t="s">
        <v>494</v>
      </c>
      <c r="C33" s="225">
        <v>-416</v>
      </c>
      <c r="D33" s="226">
        <v>114</v>
      </c>
      <c r="E33" s="226">
        <v>91</v>
      </c>
      <c r="F33" s="226"/>
      <c r="G33" s="225">
        <v>42</v>
      </c>
      <c r="H33" s="226"/>
      <c r="I33" s="211"/>
      <c r="J33" s="226">
        <v>0</v>
      </c>
      <c r="K33" s="252">
        <v>0</v>
      </c>
      <c r="L33" s="226">
        <v>221</v>
      </c>
      <c r="M33" s="227">
        <v>14</v>
      </c>
      <c r="N33" s="227">
        <f t="shared" si="0"/>
        <v>235</v>
      </c>
    </row>
    <row r="34" spans="1:14" ht="15">
      <c r="A34" s="251">
        <v>18780</v>
      </c>
      <c r="B34" s="212" t="s">
        <v>495</v>
      </c>
      <c r="C34" s="220">
        <v>-715</v>
      </c>
      <c r="D34" s="221">
        <v>196</v>
      </c>
      <c r="E34" s="221">
        <v>157</v>
      </c>
      <c r="F34" s="221"/>
      <c r="G34" s="220">
        <v>255</v>
      </c>
      <c r="H34" s="221"/>
      <c r="I34" s="213"/>
      <c r="J34" s="221">
        <v>0</v>
      </c>
      <c r="K34" s="253">
        <v>0</v>
      </c>
      <c r="L34" s="221">
        <v>380</v>
      </c>
      <c r="M34" s="222">
        <v>85</v>
      </c>
      <c r="N34" s="227">
        <f t="shared" si="0"/>
        <v>465</v>
      </c>
    </row>
    <row r="35" spans="1:14" ht="15">
      <c r="A35" s="251">
        <v>19005</v>
      </c>
      <c r="B35" s="212" t="s">
        <v>496</v>
      </c>
      <c r="C35" s="220">
        <v>-39991</v>
      </c>
      <c r="D35" s="221">
        <v>10965</v>
      </c>
      <c r="E35" s="221">
        <v>8766</v>
      </c>
      <c r="F35" s="221"/>
      <c r="G35" s="220">
        <v>8814</v>
      </c>
      <c r="H35" s="221"/>
      <c r="I35" s="213"/>
      <c r="J35" s="221">
        <v>0</v>
      </c>
      <c r="K35" s="253">
        <v>0</v>
      </c>
      <c r="L35" s="221">
        <v>21247</v>
      </c>
      <c r="M35" s="222">
        <v>2938</v>
      </c>
      <c r="N35" s="227">
        <f t="shared" si="0"/>
        <v>24185</v>
      </c>
    </row>
    <row r="36" spans="1:14" ht="15">
      <c r="A36" s="251">
        <v>19100</v>
      </c>
      <c r="B36" s="212" t="s">
        <v>286</v>
      </c>
      <c r="C36" s="220">
        <v>-3777399</v>
      </c>
      <c r="D36" s="221">
        <v>1035695</v>
      </c>
      <c r="E36" s="221">
        <v>827975</v>
      </c>
      <c r="F36" s="221"/>
      <c r="G36" s="220">
        <v>110015</v>
      </c>
      <c r="H36" s="221"/>
      <c r="I36" s="213"/>
      <c r="J36" s="221">
        <v>0</v>
      </c>
      <c r="K36" s="253">
        <v>0</v>
      </c>
      <c r="L36" s="221">
        <v>2006929</v>
      </c>
      <c r="M36" s="222">
        <v>36672</v>
      </c>
      <c r="N36" s="227">
        <f t="shared" si="0"/>
        <v>2043601</v>
      </c>
    </row>
    <row r="37" spans="1:14" ht="15">
      <c r="A37" s="251">
        <v>20100</v>
      </c>
      <c r="B37" s="212" t="s">
        <v>37</v>
      </c>
      <c r="C37" s="220">
        <v>-641937</v>
      </c>
      <c r="D37" s="221">
        <v>176008</v>
      </c>
      <c r="E37" s="221">
        <v>140707</v>
      </c>
      <c r="F37" s="221"/>
      <c r="G37" s="220">
        <v>0</v>
      </c>
      <c r="H37" s="221"/>
      <c r="I37" s="214"/>
      <c r="J37" s="221">
        <v>0</v>
      </c>
      <c r="K37" s="253">
        <v>9232</v>
      </c>
      <c r="L37" s="221">
        <v>341061</v>
      </c>
      <c r="M37" s="222">
        <v>-3077</v>
      </c>
      <c r="N37" s="227">
        <f t="shared" si="0"/>
        <v>337984</v>
      </c>
    </row>
    <row r="38" spans="1:14" ht="15">
      <c r="A38" s="251">
        <v>20200</v>
      </c>
      <c r="B38" s="212" t="s">
        <v>497</v>
      </c>
      <c r="C38" s="220">
        <v>-91075</v>
      </c>
      <c r="D38" s="221">
        <v>24971</v>
      </c>
      <c r="E38" s="221">
        <v>19963</v>
      </c>
      <c r="F38" s="221"/>
      <c r="G38" s="220">
        <v>160</v>
      </c>
      <c r="H38" s="221"/>
      <c r="I38" s="213"/>
      <c r="J38" s="221">
        <v>0</v>
      </c>
      <c r="K38" s="253">
        <v>0</v>
      </c>
      <c r="L38" s="221">
        <v>48388</v>
      </c>
      <c r="M38" s="222">
        <v>53</v>
      </c>
      <c r="N38" s="227">
        <f t="shared" si="0"/>
        <v>48441</v>
      </c>
    </row>
    <row r="39" spans="1:14" ht="15">
      <c r="A39" s="251">
        <v>20300</v>
      </c>
      <c r="B39" s="212" t="s">
        <v>39</v>
      </c>
      <c r="C39" s="220">
        <v>-1503026</v>
      </c>
      <c r="D39" s="221">
        <v>412103</v>
      </c>
      <c r="E39" s="221">
        <v>329451</v>
      </c>
      <c r="F39" s="221"/>
      <c r="G39" s="220">
        <v>0</v>
      </c>
      <c r="H39" s="221"/>
      <c r="I39" s="213"/>
      <c r="J39" s="221">
        <v>0</v>
      </c>
      <c r="K39" s="253">
        <v>16806</v>
      </c>
      <c r="L39" s="221">
        <v>798557</v>
      </c>
      <c r="M39" s="222">
        <v>-5602</v>
      </c>
      <c r="N39" s="227">
        <f t="shared" si="0"/>
        <v>792955</v>
      </c>
    </row>
    <row r="40" spans="1:14" ht="15">
      <c r="A40" s="209">
        <v>20400</v>
      </c>
      <c r="B40" s="250" t="s">
        <v>40</v>
      </c>
      <c r="C40" s="225">
        <v>-71327</v>
      </c>
      <c r="D40" s="226">
        <v>19557</v>
      </c>
      <c r="E40" s="226">
        <v>15634</v>
      </c>
      <c r="F40" s="226"/>
      <c r="G40" s="225">
        <v>6982</v>
      </c>
      <c r="H40" s="226"/>
      <c r="I40" s="210"/>
      <c r="J40" s="226">
        <v>0</v>
      </c>
      <c r="K40" s="252">
        <v>0</v>
      </c>
      <c r="L40" s="226">
        <v>37896</v>
      </c>
      <c r="M40" s="227">
        <v>2327</v>
      </c>
      <c r="N40" s="227">
        <f t="shared" si="0"/>
        <v>40223</v>
      </c>
    </row>
    <row r="41" spans="1:14" ht="15">
      <c r="A41" s="209">
        <v>20600</v>
      </c>
      <c r="B41" s="250" t="s">
        <v>41</v>
      </c>
      <c r="C41" s="225">
        <v>-173599</v>
      </c>
      <c r="D41" s="226">
        <v>47598</v>
      </c>
      <c r="E41" s="226">
        <v>38051</v>
      </c>
      <c r="F41" s="226"/>
      <c r="G41" s="225">
        <v>0</v>
      </c>
      <c r="H41" s="226"/>
      <c r="I41" s="211"/>
      <c r="J41" s="226">
        <v>0</v>
      </c>
      <c r="K41" s="252">
        <v>418</v>
      </c>
      <c r="L41" s="226">
        <v>92233</v>
      </c>
      <c r="M41" s="227">
        <v>-139</v>
      </c>
      <c r="N41" s="227">
        <f t="shared" si="0"/>
        <v>92094</v>
      </c>
    </row>
    <row r="42" spans="1:14" ht="15">
      <c r="A42" s="209">
        <v>20700</v>
      </c>
      <c r="B42" s="250" t="s">
        <v>498</v>
      </c>
      <c r="C42" s="225">
        <v>-356605</v>
      </c>
      <c r="D42" s="226">
        <v>97775</v>
      </c>
      <c r="E42" s="226">
        <v>78165</v>
      </c>
      <c r="F42" s="226"/>
      <c r="G42" s="225">
        <v>32936</v>
      </c>
      <c r="H42" s="226"/>
      <c r="I42" s="211"/>
      <c r="J42" s="226">
        <v>0</v>
      </c>
      <c r="K42" s="252">
        <v>0</v>
      </c>
      <c r="L42" s="226">
        <v>189464</v>
      </c>
      <c r="M42" s="227">
        <v>10979</v>
      </c>
      <c r="N42" s="227">
        <f t="shared" si="0"/>
        <v>200443</v>
      </c>
    </row>
    <row r="43" spans="1:14" ht="15">
      <c r="A43" s="209">
        <v>20800</v>
      </c>
      <c r="B43" s="250" t="s">
        <v>499</v>
      </c>
      <c r="C43" s="225">
        <v>-287674</v>
      </c>
      <c r="D43" s="226">
        <v>78875</v>
      </c>
      <c r="E43" s="226">
        <v>63056</v>
      </c>
      <c r="F43" s="226"/>
      <c r="G43" s="225">
        <v>10499</v>
      </c>
      <c r="H43" s="226"/>
      <c r="I43" s="211"/>
      <c r="J43" s="226">
        <v>0</v>
      </c>
      <c r="K43" s="252">
        <v>0</v>
      </c>
      <c r="L43" s="226">
        <v>152841</v>
      </c>
      <c r="M43" s="227">
        <v>3500</v>
      </c>
      <c r="N43" s="227">
        <f t="shared" si="0"/>
        <v>156341</v>
      </c>
    </row>
    <row r="44" spans="1:14" ht="15">
      <c r="A44" s="209">
        <v>20900</v>
      </c>
      <c r="B44" s="250" t="s">
        <v>44</v>
      </c>
      <c r="C44" s="225">
        <v>-584980</v>
      </c>
      <c r="D44" s="226">
        <v>160391</v>
      </c>
      <c r="E44" s="226">
        <v>128223</v>
      </c>
      <c r="F44" s="226"/>
      <c r="G44" s="225">
        <v>2399</v>
      </c>
      <c r="H44" s="226"/>
      <c r="I44" s="211"/>
      <c r="J44" s="226">
        <v>0</v>
      </c>
      <c r="K44" s="252">
        <v>0</v>
      </c>
      <c r="L44" s="226">
        <v>310799</v>
      </c>
      <c r="M44" s="227">
        <v>800</v>
      </c>
      <c r="N44" s="227">
        <f t="shared" si="0"/>
        <v>311599</v>
      </c>
    </row>
    <row r="45" spans="1:14" ht="15">
      <c r="A45" s="209">
        <v>21200</v>
      </c>
      <c r="B45" s="250" t="s">
        <v>500</v>
      </c>
      <c r="C45" s="225">
        <v>-188335</v>
      </c>
      <c r="D45" s="226">
        <v>51638</v>
      </c>
      <c r="E45" s="226">
        <v>41282</v>
      </c>
      <c r="F45" s="226"/>
      <c r="G45" s="225">
        <v>0</v>
      </c>
      <c r="H45" s="226"/>
      <c r="I45" s="211"/>
      <c r="J45" s="226">
        <v>0</v>
      </c>
      <c r="K45" s="252">
        <v>216</v>
      </c>
      <c r="L45" s="226">
        <v>100062</v>
      </c>
      <c r="M45" s="227">
        <v>-72</v>
      </c>
      <c r="N45" s="227">
        <f t="shared" si="0"/>
        <v>99990</v>
      </c>
    </row>
    <row r="46" spans="1:14" ht="15">
      <c r="A46" s="251">
        <v>21300</v>
      </c>
      <c r="B46" s="212" t="s">
        <v>501</v>
      </c>
      <c r="C46" s="220">
        <v>-2354190</v>
      </c>
      <c r="D46" s="221">
        <v>645476</v>
      </c>
      <c r="E46" s="221">
        <v>516019</v>
      </c>
      <c r="F46" s="221"/>
      <c r="G46" s="220">
        <v>0</v>
      </c>
      <c r="H46" s="221"/>
      <c r="I46" s="213"/>
      <c r="J46" s="221">
        <v>0</v>
      </c>
      <c r="K46" s="253">
        <v>64567</v>
      </c>
      <c r="L46" s="221">
        <v>1250779</v>
      </c>
      <c r="M46" s="222">
        <v>-21522</v>
      </c>
      <c r="N46" s="227">
        <f t="shared" si="0"/>
        <v>1229257</v>
      </c>
    </row>
    <row r="47" spans="1:14" ht="15">
      <c r="A47" s="251">
        <v>21520</v>
      </c>
      <c r="B47" s="212" t="s">
        <v>287</v>
      </c>
      <c r="C47" s="220">
        <v>-4162076</v>
      </c>
      <c r="D47" s="221">
        <v>1141166</v>
      </c>
      <c r="E47" s="221">
        <v>912293</v>
      </c>
      <c r="F47" s="221"/>
      <c r="G47" s="220">
        <v>0</v>
      </c>
      <c r="H47" s="221"/>
      <c r="I47" s="213"/>
      <c r="J47" s="221">
        <v>0</v>
      </c>
      <c r="K47" s="253">
        <v>65974</v>
      </c>
      <c r="L47" s="221">
        <v>2211307</v>
      </c>
      <c r="M47" s="222">
        <v>-21991</v>
      </c>
      <c r="N47" s="227">
        <f t="shared" si="0"/>
        <v>2189316</v>
      </c>
    </row>
    <row r="48" spans="1:14" ht="15">
      <c r="A48" s="251">
        <v>21525</v>
      </c>
      <c r="B48" s="212" t="s">
        <v>502</v>
      </c>
      <c r="C48" s="220">
        <v>-107791</v>
      </c>
      <c r="D48" s="221">
        <v>29554</v>
      </c>
      <c r="E48" s="221">
        <v>23627</v>
      </c>
      <c r="F48" s="221"/>
      <c r="G48" s="220">
        <v>0</v>
      </c>
      <c r="H48" s="221"/>
      <c r="I48" s="213"/>
      <c r="J48" s="221">
        <v>0</v>
      </c>
      <c r="K48" s="253">
        <v>4230</v>
      </c>
      <c r="L48" s="221">
        <v>57269</v>
      </c>
      <c r="M48" s="222">
        <v>-1410</v>
      </c>
      <c r="N48" s="227">
        <f t="shared" si="0"/>
        <v>55859</v>
      </c>
    </row>
    <row r="49" spans="1:14" ht="15">
      <c r="A49" s="251">
        <v>21525.200000000001</v>
      </c>
      <c r="B49" s="212" t="s">
        <v>503</v>
      </c>
      <c r="C49" s="220">
        <v>-7163</v>
      </c>
      <c r="D49" s="221">
        <v>1964</v>
      </c>
      <c r="E49" s="221">
        <v>1570</v>
      </c>
      <c r="F49" s="221"/>
      <c r="G49" s="220">
        <v>2950</v>
      </c>
      <c r="H49" s="221"/>
      <c r="I49" s="214"/>
      <c r="J49" s="221">
        <v>0</v>
      </c>
      <c r="K49" s="253">
        <v>0</v>
      </c>
      <c r="L49" s="221">
        <v>3806</v>
      </c>
      <c r="M49" s="222">
        <v>983</v>
      </c>
      <c r="N49" s="227">
        <f t="shared" si="0"/>
        <v>4789</v>
      </c>
    </row>
    <row r="50" spans="1:14" ht="15">
      <c r="A50" s="251">
        <v>21550</v>
      </c>
      <c r="B50" s="212" t="s">
        <v>48</v>
      </c>
      <c r="C50" s="220">
        <v>-2449946</v>
      </c>
      <c r="D50" s="221">
        <v>671731</v>
      </c>
      <c r="E50" s="221">
        <v>537008</v>
      </c>
      <c r="F50" s="221"/>
      <c r="G50" s="220">
        <v>0</v>
      </c>
      <c r="H50" s="221"/>
      <c r="I50" s="213"/>
      <c r="J50" s="221">
        <v>0</v>
      </c>
      <c r="K50" s="253">
        <v>261643</v>
      </c>
      <c r="L50" s="221">
        <v>1301654</v>
      </c>
      <c r="M50" s="222">
        <v>-87214</v>
      </c>
      <c r="N50" s="227">
        <f t="shared" si="0"/>
        <v>1214440</v>
      </c>
    </row>
    <row r="51" spans="1:14" ht="15">
      <c r="A51" s="251">
        <v>21570</v>
      </c>
      <c r="B51" s="212" t="s">
        <v>289</v>
      </c>
      <c r="C51" s="220">
        <v>-10445</v>
      </c>
      <c r="D51" s="221">
        <v>2864</v>
      </c>
      <c r="E51" s="221">
        <v>2290</v>
      </c>
      <c r="F51" s="221"/>
      <c r="G51" s="220">
        <v>595</v>
      </c>
      <c r="H51" s="221"/>
      <c r="I51" s="213"/>
      <c r="J51" s="221">
        <v>0</v>
      </c>
      <c r="K51" s="253">
        <v>0</v>
      </c>
      <c r="L51" s="221">
        <v>5550</v>
      </c>
      <c r="M51" s="222">
        <v>198</v>
      </c>
      <c r="N51" s="227">
        <f t="shared" si="0"/>
        <v>5748</v>
      </c>
    </row>
    <row r="52" spans="1:14" ht="15">
      <c r="A52" s="209">
        <v>21800</v>
      </c>
      <c r="B52" s="250" t="s">
        <v>49</v>
      </c>
      <c r="C52" s="225">
        <v>-350829</v>
      </c>
      <c r="D52" s="226">
        <v>96191</v>
      </c>
      <c r="E52" s="226">
        <v>76899</v>
      </c>
      <c r="F52" s="226"/>
      <c r="G52" s="225">
        <v>0</v>
      </c>
      <c r="H52" s="226"/>
      <c r="I52" s="210"/>
      <c r="J52" s="226">
        <v>0</v>
      </c>
      <c r="K52" s="252">
        <v>13372</v>
      </c>
      <c r="L52" s="226">
        <v>186395</v>
      </c>
      <c r="M52" s="227">
        <v>-4457</v>
      </c>
      <c r="N52" s="227">
        <f t="shared" si="0"/>
        <v>181938</v>
      </c>
    </row>
    <row r="53" spans="1:14" ht="15">
      <c r="A53" s="209">
        <v>21900</v>
      </c>
      <c r="B53" s="250" t="s">
        <v>50</v>
      </c>
      <c r="C53" s="225">
        <v>-199037</v>
      </c>
      <c r="D53" s="226">
        <v>54572</v>
      </c>
      <c r="E53" s="226">
        <v>43627</v>
      </c>
      <c r="F53" s="226"/>
      <c r="G53" s="225">
        <v>9507</v>
      </c>
      <c r="H53" s="226"/>
      <c r="I53" s="211"/>
      <c r="J53" s="226">
        <v>0</v>
      </c>
      <c r="K53" s="252">
        <v>0</v>
      </c>
      <c r="L53" s="226">
        <v>105748</v>
      </c>
      <c r="M53" s="227">
        <v>3169</v>
      </c>
      <c r="N53" s="227">
        <f t="shared" si="0"/>
        <v>108917</v>
      </c>
    </row>
    <row r="54" spans="1:14" ht="15">
      <c r="A54" s="209">
        <v>22000</v>
      </c>
      <c r="B54" s="250" t="s">
        <v>290</v>
      </c>
      <c r="C54" s="225">
        <v>-197026</v>
      </c>
      <c r="D54" s="226">
        <v>54021</v>
      </c>
      <c r="E54" s="226">
        <v>43187</v>
      </c>
      <c r="F54" s="226"/>
      <c r="G54" s="225">
        <v>39288</v>
      </c>
      <c r="H54" s="226"/>
      <c r="I54" s="211"/>
      <c r="J54" s="226">
        <v>0</v>
      </c>
      <c r="K54" s="252">
        <v>0</v>
      </c>
      <c r="L54" s="226">
        <v>104680</v>
      </c>
      <c r="M54" s="227">
        <v>13096</v>
      </c>
      <c r="N54" s="227">
        <f t="shared" si="0"/>
        <v>117776</v>
      </c>
    </row>
    <row r="55" spans="1:14" ht="15">
      <c r="A55" s="209">
        <v>23000</v>
      </c>
      <c r="B55" s="250" t="s">
        <v>51</v>
      </c>
      <c r="C55" s="225">
        <v>-160104</v>
      </c>
      <c r="D55" s="226">
        <v>43898</v>
      </c>
      <c r="E55" s="226">
        <v>35093</v>
      </c>
      <c r="F55" s="226"/>
      <c r="G55" s="225">
        <v>0</v>
      </c>
      <c r="H55" s="226"/>
      <c r="I55" s="211"/>
      <c r="J55" s="226">
        <v>0</v>
      </c>
      <c r="K55" s="252">
        <v>9834</v>
      </c>
      <c r="L55" s="226">
        <v>85063</v>
      </c>
      <c r="M55" s="227">
        <v>-3278</v>
      </c>
      <c r="N55" s="227">
        <f t="shared" si="0"/>
        <v>81785</v>
      </c>
    </row>
    <row r="56" spans="1:14" ht="15">
      <c r="A56" s="209">
        <v>23100</v>
      </c>
      <c r="B56" s="250" t="s">
        <v>52</v>
      </c>
      <c r="C56" s="225">
        <v>-919196</v>
      </c>
      <c r="D56" s="226">
        <v>252027</v>
      </c>
      <c r="E56" s="226">
        <v>201480</v>
      </c>
      <c r="F56" s="226"/>
      <c r="G56" s="225">
        <v>0</v>
      </c>
      <c r="H56" s="226"/>
      <c r="I56" s="211"/>
      <c r="J56" s="226">
        <v>0</v>
      </c>
      <c r="K56" s="252">
        <v>66829</v>
      </c>
      <c r="L56" s="226">
        <v>488368</v>
      </c>
      <c r="M56" s="227">
        <v>-22276</v>
      </c>
      <c r="N56" s="227">
        <f t="shared" si="0"/>
        <v>466092</v>
      </c>
    </row>
    <row r="57" spans="1:14" ht="15">
      <c r="A57" s="209">
        <v>23200</v>
      </c>
      <c r="B57" s="250" t="s">
        <v>53</v>
      </c>
      <c r="C57" s="225">
        <v>-469860</v>
      </c>
      <c r="D57" s="226">
        <v>128827</v>
      </c>
      <c r="E57" s="226">
        <v>102989</v>
      </c>
      <c r="F57" s="226"/>
      <c r="G57" s="225">
        <v>0</v>
      </c>
      <c r="H57" s="226"/>
      <c r="I57" s="211"/>
      <c r="J57" s="226">
        <v>0</v>
      </c>
      <c r="K57" s="252">
        <v>18270</v>
      </c>
      <c r="L57" s="226">
        <v>249636</v>
      </c>
      <c r="M57" s="227">
        <v>-6090</v>
      </c>
      <c r="N57" s="227">
        <f t="shared" si="0"/>
        <v>243546</v>
      </c>
    </row>
    <row r="58" spans="1:14" ht="15">
      <c r="A58" s="251">
        <v>30000</v>
      </c>
      <c r="B58" s="212" t="s">
        <v>291</v>
      </c>
      <c r="C58" s="220">
        <v>-53731</v>
      </c>
      <c r="D58" s="221">
        <v>14732</v>
      </c>
      <c r="E58" s="221">
        <v>11777</v>
      </c>
      <c r="F58" s="221"/>
      <c r="G58" s="220">
        <v>0</v>
      </c>
      <c r="H58" s="221"/>
      <c r="I58" s="213"/>
      <c r="J58" s="221">
        <v>0</v>
      </c>
      <c r="K58" s="253">
        <v>456</v>
      </c>
      <c r="L58" s="221">
        <v>28547</v>
      </c>
      <c r="M58" s="222">
        <v>-152</v>
      </c>
      <c r="N58" s="227">
        <f t="shared" si="0"/>
        <v>28395</v>
      </c>
    </row>
    <row r="59" spans="1:14" ht="15">
      <c r="A59" s="251">
        <v>30100</v>
      </c>
      <c r="B59" s="212" t="s">
        <v>292</v>
      </c>
      <c r="C59" s="220">
        <v>-462263</v>
      </c>
      <c r="D59" s="221">
        <v>126744</v>
      </c>
      <c r="E59" s="221">
        <v>101324</v>
      </c>
      <c r="F59" s="221"/>
      <c r="G59" s="220">
        <v>0</v>
      </c>
      <c r="H59" s="221"/>
      <c r="I59" s="213"/>
      <c r="J59" s="221">
        <v>0</v>
      </c>
      <c r="K59" s="253">
        <v>5669</v>
      </c>
      <c r="L59" s="221">
        <v>245600</v>
      </c>
      <c r="M59" s="222">
        <v>-1890</v>
      </c>
      <c r="N59" s="227">
        <f t="shared" si="0"/>
        <v>243710</v>
      </c>
    </row>
    <row r="60" spans="1:14" ht="15">
      <c r="A60" s="251">
        <v>30102</v>
      </c>
      <c r="B60" s="212" t="s">
        <v>293</v>
      </c>
      <c r="C60" s="220">
        <v>-8801</v>
      </c>
      <c r="D60" s="221">
        <v>2413</v>
      </c>
      <c r="E60" s="221">
        <v>1929</v>
      </c>
      <c r="F60" s="221"/>
      <c r="G60" s="220">
        <v>0</v>
      </c>
      <c r="H60" s="221"/>
      <c r="I60" s="213"/>
      <c r="J60" s="221">
        <v>0</v>
      </c>
      <c r="K60" s="253">
        <v>863</v>
      </c>
      <c r="L60" s="221">
        <v>4676</v>
      </c>
      <c r="M60" s="222">
        <v>-288</v>
      </c>
      <c r="N60" s="227">
        <f t="shared" si="0"/>
        <v>4388</v>
      </c>
    </row>
    <row r="61" spans="1:14" ht="15">
      <c r="A61" s="251">
        <v>30103</v>
      </c>
      <c r="B61" s="212" t="s">
        <v>294</v>
      </c>
      <c r="C61" s="220">
        <v>-11478</v>
      </c>
      <c r="D61" s="221">
        <v>3147</v>
      </c>
      <c r="E61" s="221">
        <v>2516</v>
      </c>
      <c r="F61" s="221"/>
      <c r="G61" s="220">
        <v>0</v>
      </c>
      <c r="H61" s="221"/>
      <c r="I61" s="214"/>
      <c r="J61" s="221">
        <v>0</v>
      </c>
      <c r="K61" s="253">
        <v>1720</v>
      </c>
      <c r="L61" s="221">
        <v>6098</v>
      </c>
      <c r="M61" s="222">
        <v>-573</v>
      </c>
      <c r="N61" s="227">
        <f t="shared" si="0"/>
        <v>5525</v>
      </c>
    </row>
    <row r="62" spans="1:14" ht="15">
      <c r="A62" s="251">
        <v>30104</v>
      </c>
      <c r="B62" s="212" t="s">
        <v>295</v>
      </c>
      <c r="C62" s="220">
        <v>-7371</v>
      </c>
      <c r="D62" s="221">
        <v>2021</v>
      </c>
      <c r="E62" s="221">
        <v>1616</v>
      </c>
      <c r="F62" s="221"/>
      <c r="G62" s="220">
        <v>0</v>
      </c>
      <c r="H62" s="221"/>
      <c r="I62" s="213"/>
      <c r="J62" s="221">
        <v>0</v>
      </c>
      <c r="K62" s="253">
        <v>2515</v>
      </c>
      <c r="L62" s="221">
        <v>3916</v>
      </c>
      <c r="M62" s="222">
        <v>-838</v>
      </c>
      <c r="N62" s="227">
        <f t="shared" si="0"/>
        <v>3078</v>
      </c>
    </row>
    <row r="63" spans="1:14" ht="15">
      <c r="A63" s="251">
        <v>30105</v>
      </c>
      <c r="B63" s="212" t="s">
        <v>54</v>
      </c>
      <c r="C63" s="220">
        <v>-49043</v>
      </c>
      <c r="D63" s="221">
        <v>13447</v>
      </c>
      <c r="E63" s="221">
        <v>10750</v>
      </c>
      <c r="F63" s="221"/>
      <c r="G63" s="220">
        <v>0</v>
      </c>
      <c r="H63" s="221"/>
      <c r="I63" s="213"/>
      <c r="J63" s="221">
        <v>0</v>
      </c>
      <c r="K63" s="253">
        <v>609</v>
      </c>
      <c r="L63" s="221">
        <v>26056</v>
      </c>
      <c r="M63" s="222">
        <v>-203</v>
      </c>
      <c r="N63" s="227">
        <f t="shared" si="0"/>
        <v>25853</v>
      </c>
    </row>
    <row r="64" spans="1:14" ht="15">
      <c r="A64" s="209">
        <v>30200</v>
      </c>
      <c r="B64" s="250" t="s">
        <v>296</v>
      </c>
      <c r="C64" s="225">
        <v>-105010</v>
      </c>
      <c r="D64" s="226">
        <v>28792</v>
      </c>
      <c r="E64" s="226">
        <v>23017</v>
      </c>
      <c r="F64" s="226"/>
      <c r="G64" s="225">
        <v>0</v>
      </c>
      <c r="H64" s="226"/>
      <c r="I64" s="210"/>
      <c r="J64" s="226">
        <v>0</v>
      </c>
      <c r="K64" s="252">
        <v>485</v>
      </c>
      <c r="L64" s="226">
        <v>55792</v>
      </c>
      <c r="M64" s="227">
        <v>-162</v>
      </c>
      <c r="N64" s="227">
        <f t="shared" si="0"/>
        <v>55630</v>
      </c>
    </row>
    <row r="65" spans="1:14" ht="15">
      <c r="A65" s="209">
        <v>30300</v>
      </c>
      <c r="B65" s="250" t="s">
        <v>297</v>
      </c>
      <c r="C65" s="225">
        <v>-33842</v>
      </c>
      <c r="D65" s="226">
        <v>9279</v>
      </c>
      <c r="E65" s="226">
        <v>7418</v>
      </c>
      <c r="F65" s="226"/>
      <c r="G65" s="225">
        <v>2652</v>
      </c>
      <c r="H65" s="226"/>
      <c r="I65" s="211"/>
      <c r="J65" s="226">
        <v>0</v>
      </c>
      <c r="K65" s="252">
        <v>0</v>
      </c>
      <c r="L65" s="226">
        <v>17980</v>
      </c>
      <c r="M65" s="227">
        <v>884</v>
      </c>
      <c r="N65" s="227">
        <f t="shared" si="0"/>
        <v>18864</v>
      </c>
    </row>
    <row r="66" spans="1:14" ht="15">
      <c r="A66" s="209">
        <v>30400</v>
      </c>
      <c r="B66" s="250" t="s">
        <v>298</v>
      </c>
      <c r="C66" s="225">
        <v>-65191</v>
      </c>
      <c r="D66" s="226">
        <v>17874</v>
      </c>
      <c r="E66" s="226">
        <v>14289</v>
      </c>
      <c r="F66" s="226"/>
      <c r="G66" s="225">
        <v>5770</v>
      </c>
      <c r="H66" s="226"/>
      <c r="I66" s="211"/>
      <c r="J66" s="226">
        <v>0</v>
      </c>
      <c r="K66" s="252">
        <v>0</v>
      </c>
      <c r="L66" s="226">
        <v>34636</v>
      </c>
      <c r="M66" s="227">
        <v>1923</v>
      </c>
      <c r="N66" s="227">
        <f t="shared" si="0"/>
        <v>36559</v>
      </c>
    </row>
    <row r="67" spans="1:14" ht="15">
      <c r="A67" s="209">
        <v>30405</v>
      </c>
      <c r="B67" s="250" t="s">
        <v>55</v>
      </c>
      <c r="C67" s="225">
        <v>-45461</v>
      </c>
      <c r="D67" s="226">
        <v>12465</v>
      </c>
      <c r="E67" s="226">
        <v>9965</v>
      </c>
      <c r="F67" s="226"/>
      <c r="G67" s="225">
        <v>0</v>
      </c>
      <c r="H67" s="226"/>
      <c r="I67" s="211"/>
      <c r="J67" s="226">
        <v>0</v>
      </c>
      <c r="K67" s="252">
        <v>1565</v>
      </c>
      <c r="L67" s="226">
        <v>24153</v>
      </c>
      <c r="M67" s="227">
        <v>-522</v>
      </c>
      <c r="N67" s="227">
        <f t="shared" si="0"/>
        <v>23631</v>
      </c>
    </row>
    <row r="68" spans="1:14" ht="15">
      <c r="A68" s="209">
        <v>30500</v>
      </c>
      <c r="B68" s="250" t="s">
        <v>299</v>
      </c>
      <c r="C68" s="225">
        <v>-68381</v>
      </c>
      <c r="D68" s="226">
        <v>18749</v>
      </c>
      <c r="E68" s="226">
        <v>14989</v>
      </c>
      <c r="F68" s="226"/>
      <c r="G68" s="225">
        <v>2349</v>
      </c>
      <c r="H68" s="226"/>
      <c r="I68" s="211"/>
      <c r="J68" s="226">
        <v>0</v>
      </c>
      <c r="K68" s="252">
        <v>0</v>
      </c>
      <c r="L68" s="226">
        <v>36331</v>
      </c>
      <c r="M68" s="227">
        <v>783</v>
      </c>
      <c r="N68" s="227">
        <f t="shared" si="0"/>
        <v>37114</v>
      </c>
    </row>
    <row r="69" spans="1:14" ht="15">
      <c r="A69" s="209">
        <v>30600</v>
      </c>
      <c r="B69" s="250" t="s">
        <v>300</v>
      </c>
      <c r="C69" s="225">
        <v>-52808</v>
      </c>
      <c r="D69" s="226">
        <v>14479</v>
      </c>
      <c r="E69" s="226">
        <v>11575</v>
      </c>
      <c r="F69" s="226"/>
      <c r="G69" s="225">
        <v>2752</v>
      </c>
      <c r="H69" s="226"/>
      <c r="I69" s="211"/>
      <c r="J69" s="226">
        <v>0</v>
      </c>
      <c r="K69" s="252">
        <v>0</v>
      </c>
      <c r="L69" s="226">
        <v>28057</v>
      </c>
      <c r="M69" s="227">
        <v>917</v>
      </c>
      <c r="N69" s="227">
        <f t="shared" ref="N69:N132" si="1">SUM(L69+M69)</f>
        <v>28974</v>
      </c>
    </row>
    <row r="70" spans="1:14" ht="15">
      <c r="A70" s="251">
        <v>30601</v>
      </c>
      <c r="B70" s="212" t="s">
        <v>301</v>
      </c>
      <c r="C70" s="220">
        <v>-1235</v>
      </c>
      <c r="D70" s="221">
        <v>339</v>
      </c>
      <c r="E70" s="221">
        <v>271</v>
      </c>
      <c r="F70" s="221"/>
      <c r="G70" s="220">
        <v>0</v>
      </c>
      <c r="H70" s="221"/>
      <c r="I70" s="213"/>
      <c r="J70" s="221">
        <v>0</v>
      </c>
      <c r="K70" s="253">
        <v>18</v>
      </c>
      <c r="L70" s="221">
        <v>656</v>
      </c>
      <c r="M70" s="222">
        <v>-6</v>
      </c>
      <c r="N70" s="227">
        <f t="shared" si="1"/>
        <v>650</v>
      </c>
    </row>
    <row r="71" spans="1:14" ht="15">
      <c r="A71" s="251">
        <v>30700</v>
      </c>
      <c r="B71" s="212" t="s">
        <v>302</v>
      </c>
      <c r="C71" s="220">
        <v>-137654</v>
      </c>
      <c r="D71" s="221">
        <v>37742</v>
      </c>
      <c r="E71" s="221">
        <v>30173</v>
      </c>
      <c r="F71" s="221"/>
      <c r="G71" s="220">
        <v>4318</v>
      </c>
      <c r="H71" s="221"/>
      <c r="I71" s="213"/>
      <c r="J71" s="221">
        <v>0</v>
      </c>
      <c r="K71" s="253">
        <v>0</v>
      </c>
      <c r="L71" s="221">
        <v>73136</v>
      </c>
      <c r="M71" s="222">
        <v>1439</v>
      </c>
      <c r="N71" s="227">
        <f t="shared" si="1"/>
        <v>74575</v>
      </c>
    </row>
    <row r="72" spans="1:14" ht="15">
      <c r="A72" s="251">
        <v>30705</v>
      </c>
      <c r="B72" s="212" t="s">
        <v>56</v>
      </c>
      <c r="C72" s="220">
        <v>-26178</v>
      </c>
      <c r="D72" s="221">
        <v>7177</v>
      </c>
      <c r="E72" s="221">
        <v>5738</v>
      </c>
      <c r="F72" s="221"/>
      <c r="G72" s="220">
        <v>2894</v>
      </c>
      <c r="H72" s="221"/>
      <c r="I72" s="213"/>
      <c r="J72" s="221">
        <v>0</v>
      </c>
      <c r="K72" s="253">
        <v>0</v>
      </c>
      <c r="L72" s="221">
        <v>13908</v>
      </c>
      <c r="M72" s="222">
        <v>965</v>
      </c>
      <c r="N72" s="227">
        <f t="shared" si="1"/>
        <v>14873</v>
      </c>
    </row>
    <row r="73" spans="1:14" ht="15">
      <c r="A73" s="251">
        <v>30800</v>
      </c>
      <c r="B73" s="212" t="s">
        <v>303</v>
      </c>
      <c r="C73" s="220">
        <v>-51469</v>
      </c>
      <c r="D73" s="221">
        <v>14112</v>
      </c>
      <c r="E73" s="221">
        <v>11282</v>
      </c>
      <c r="F73" s="221"/>
      <c r="G73" s="220">
        <v>5457</v>
      </c>
      <c r="H73" s="221"/>
      <c r="I73" s="214"/>
      <c r="J73" s="221">
        <v>0</v>
      </c>
      <c r="K73" s="253">
        <v>0</v>
      </c>
      <c r="L73" s="221">
        <v>27346</v>
      </c>
      <c r="M73" s="222">
        <v>1819</v>
      </c>
      <c r="N73" s="227">
        <f t="shared" si="1"/>
        <v>29165</v>
      </c>
    </row>
    <row r="74" spans="1:14" ht="15">
      <c r="A74" s="251">
        <v>30900</v>
      </c>
      <c r="B74" s="212" t="s">
        <v>304</v>
      </c>
      <c r="C74" s="220">
        <v>-89602</v>
      </c>
      <c r="D74" s="221">
        <v>24567</v>
      </c>
      <c r="E74" s="221">
        <v>19640</v>
      </c>
      <c r="F74" s="221"/>
      <c r="G74" s="220">
        <v>6565</v>
      </c>
      <c r="H74" s="221"/>
      <c r="I74" s="213"/>
      <c r="J74" s="221">
        <v>0</v>
      </c>
      <c r="K74" s="253">
        <v>0</v>
      </c>
      <c r="L74" s="221">
        <v>47605</v>
      </c>
      <c r="M74" s="222">
        <v>2188</v>
      </c>
      <c r="N74" s="227">
        <f t="shared" si="1"/>
        <v>49793</v>
      </c>
    </row>
    <row r="75" spans="1:14" ht="15">
      <c r="A75" s="251">
        <v>30905</v>
      </c>
      <c r="B75" s="212" t="s">
        <v>57</v>
      </c>
      <c r="C75" s="220">
        <v>-17395</v>
      </c>
      <c r="D75" s="221">
        <v>4769</v>
      </c>
      <c r="E75" s="221">
        <v>3813</v>
      </c>
      <c r="F75" s="221"/>
      <c r="G75" s="220">
        <v>4525</v>
      </c>
      <c r="H75" s="221"/>
      <c r="I75" s="213"/>
      <c r="J75" s="221">
        <v>0</v>
      </c>
      <c r="K75" s="253">
        <v>0</v>
      </c>
      <c r="L75" s="221">
        <v>9242</v>
      </c>
      <c r="M75" s="222">
        <v>1508</v>
      </c>
      <c r="N75" s="227">
        <f t="shared" si="1"/>
        <v>10750</v>
      </c>
    </row>
    <row r="76" spans="1:14" ht="15">
      <c r="A76" s="209">
        <v>31000</v>
      </c>
      <c r="B76" s="250" t="s">
        <v>305</v>
      </c>
      <c r="C76" s="225">
        <v>-259137</v>
      </c>
      <c r="D76" s="226">
        <v>71051</v>
      </c>
      <c r="E76" s="226">
        <v>56801</v>
      </c>
      <c r="F76" s="226"/>
      <c r="G76" s="225">
        <v>2668</v>
      </c>
      <c r="H76" s="226"/>
      <c r="I76" s="210"/>
      <c r="J76" s="226">
        <v>0</v>
      </c>
      <c r="K76" s="252">
        <v>0</v>
      </c>
      <c r="L76" s="226">
        <v>137679</v>
      </c>
      <c r="M76" s="227">
        <v>889</v>
      </c>
      <c r="N76" s="227">
        <f t="shared" si="1"/>
        <v>138568</v>
      </c>
    </row>
    <row r="77" spans="1:14" ht="15">
      <c r="A77" s="209">
        <v>31005</v>
      </c>
      <c r="B77" s="250" t="s">
        <v>58</v>
      </c>
      <c r="C77" s="225">
        <v>-24607</v>
      </c>
      <c r="D77" s="226">
        <v>6747</v>
      </c>
      <c r="E77" s="226">
        <v>5394</v>
      </c>
      <c r="F77" s="226"/>
      <c r="G77" s="225">
        <v>3923</v>
      </c>
      <c r="H77" s="226"/>
      <c r="I77" s="211"/>
      <c r="J77" s="226">
        <v>0</v>
      </c>
      <c r="K77" s="252">
        <v>0</v>
      </c>
      <c r="L77" s="226">
        <v>13074</v>
      </c>
      <c r="M77" s="227">
        <v>1308</v>
      </c>
      <c r="N77" s="227">
        <f t="shared" si="1"/>
        <v>14382</v>
      </c>
    </row>
    <row r="78" spans="1:14" ht="15">
      <c r="A78" s="209">
        <v>31100</v>
      </c>
      <c r="B78" s="250" t="s">
        <v>306</v>
      </c>
      <c r="C78" s="225">
        <v>-535118</v>
      </c>
      <c r="D78" s="226">
        <v>146720</v>
      </c>
      <c r="E78" s="226">
        <v>117293</v>
      </c>
      <c r="F78" s="226"/>
      <c r="G78" s="225">
        <v>0</v>
      </c>
      <c r="H78" s="226"/>
      <c r="I78" s="211"/>
      <c r="J78" s="226">
        <v>0</v>
      </c>
      <c r="K78" s="252">
        <v>7188</v>
      </c>
      <c r="L78" s="226">
        <v>284308</v>
      </c>
      <c r="M78" s="227">
        <v>-2396</v>
      </c>
      <c r="N78" s="227">
        <f t="shared" si="1"/>
        <v>281912</v>
      </c>
    </row>
    <row r="79" spans="1:14" ht="15">
      <c r="A79" s="209">
        <v>31101</v>
      </c>
      <c r="B79" s="250" t="s">
        <v>504</v>
      </c>
      <c r="C79" s="225">
        <v>-3649</v>
      </c>
      <c r="D79" s="226">
        <v>1000</v>
      </c>
      <c r="E79" s="226">
        <v>800</v>
      </c>
      <c r="F79" s="226"/>
      <c r="G79" s="225">
        <v>0</v>
      </c>
      <c r="H79" s="226"/>
      <c r="I79" s="211"/>
      <c r="J79" s="226">
        <v>0</v>
      </c>
      <c r="K79" s="252">
        <v>326</v>
      </c>
      <c r="L79" s="226">
        <v>1939</v>
      </c>
      <c r="M79" s="227">
        <v>-109</v>
      </c>
      <c r="N79" s="227">
        <f t="shared" si="1"/>
        <v>1830</v>
      </c>
    </row>
    <row r="80" spans="1:14" ht="15">
      <c r="A80" s="209">
        <v>31102</v>
      </c>
      <c r="B80" s="250" t="s">
        <v>308</v>
      </c>
      <c r="C80" s="225">
        <v>-8924</v>
      </c>
      <c r="D80" s="226">
        <v>2447</v>
      </c>
      <c r="E80" s="226">
        <v>1956</v>
      </c>
      <c r="F80" s="226"/>
      <c r="G80" s="225">
        <v>0</v>
      </c>
      <c r="H80" s="226"/>
      <c r="I80" s="211"/>
      <c r="J80" s="226">
        <v>0</v>
      </c>
      <c r="K80" s="252">
        <v>1373</v>
      </c>
      <c r="L80" s="226">
        <v>4741</v>
      </c>
      <c r="M80" s="227">
        <v>-458</v>
      </c>
      <c r="N80" s="227">
        <f t="shared" si="1"/>
        <v>4283</v>
      </c>
    </row>
    <row r="81" spans="1:14" ht="15">
      <c r="A81" s="209">
        <v>31105</v>
      </c>
      <c r="B81" s="250" t="s">
        <v>59</v>
      </c>
      <c r="C81" s="225">
        <v>-85067</v>
      </c>
      <c r="D81" s="226">
        <v>23324</v>
      </c>
      <c r="E81" s="226">
        <v>18646</v>
      </c>
      <c r="F81" s="226"/>
      <c r="G81" s="225">
        <v>1564</v>
      </c>
      <c r="H81" s="226"/>
      <c r="I81" s="211"/>
      <c r="J81" s="226">
        <v>0</v>
      </c>
      <c r="K81" s="252">
        <v>0</v>
      </c>
      <c r="L81" s="226">
        <v>45196</v>
      </c>
      <c r="M81" s="227">
        <v>521</v>
      </c>
      <c r="N81" s="227">
        <f t="shared" si="1"/>
        <v>45717</v>
      </c>
    </row>
    <row r="82" spans="1:14" ht="15">
      <c r="A82" s="209">
        <v>31110</v>
      </c>
      <c r="B82" s="250" t="s">
        <v>309</v>
      </c>
      <c r="C82" s="225">
        <v>-121830</v>
      </c>
      <c r="D82" s="226">
        <v>33404</v>
      </c>
      <c r="E82" s="226">
        <v>26704</v>
      </c>
      <c r="F82" s="226"/>
      <c r="G82" s="225">
        <v>0</v>
      </c>
      <c r="H82" s="226"/>
      <c r="I82" s="210"/>
      <c r="J82" s="226">
        <v>0</v>
      </c>
      <c r="K82" s="252">
        <v>2428</v>
      </c>
      <c r="L82" s="226">
        <v>64728</v>
      </c>
      <c r="M82" s="227">
        <v>-809</v>
      </c>
      <c r="N82" s="227">
        <f t="shared" si="1"/>
        <v>63919</v>
      </c>
    </row>
    <row r="83" spans="1:14" ht="15">
      <c r="A83" s="209">
        <v>31200</v>
      </c>
      <c r="B83" s="250" t="s">
        <v>310</v>
      </c>
      <c r="C83" s="225">
        <v>-239303</v>
      </c>
      <c r="D83" s="226">
        <v>65613</v>
      </c>
      <c r="E83" s="226">
        <v>52453</v>
      </c>
      <c r="F83" s="226"/>
      <c r="G83" s="225">
        <v>11156</v>
      </c>
      <c r="H83" s="226"/>
      <c r="I83" s="211"/>
      <c r="J83" s="226">
        <v>0</v>
      </c>
      <c r="K83" s="252">
        <v>0</v>
      </c>
      <c r="L83" s="226">
        <v>127142</v>
      </c>
      <c r="M83" s="227">
        <v>3719</v>
      </c>
      <c r="N83" s="227">
        <f t="shared" si="1"/>
        <v>130861</v>
      </c>
    </row>
    <row r="84" spans="1:14" ht="15">
      <c r="A84" s="209">
        <v>31205</v>
      </c>
      <c r="B84" s="250" t="s">
        <v>505</v>
      </c>
      <c r="C84" s="225">
        <v>-28225</v>
      </c>
      <c r="D84" s="226">
        <v>7739</v>
      </c>
      <c r="E84" s="226">
        <v>6187</v>
      </c>
      <c r="F84" s="226"/>
      <c r="G84" s="225">
        <v>5100</v>
      </c>
      <c r="H84" s="226"/>
      <c r="I84" s="211"/>
      <c r="J84" s="226">
        <v>0</v>
      </c>
      <c r="K84" s="252">
        <v>0</v>
      </c>
      <c r="L84" s="226">
        <v>14996</v>
      </c>
      <c r="M84" s="227">
        <v>1700</v>
      </c>
      <c r="N84" s="227">
        <f t="shared" si="1"/>
        <v>16696</v>
      </c>
    </row>
    <row r="85" spans="1:14" ht="15">
      <c r="A85" s="209">
        <v>31300</v>
      </c>
      <c r="B85" s="250" t="s">
        <v>311</v>
      </c>
      <c r="C85" s="225">
        <v>-655335</v>
      </c>
      <c r="D85" s="226">
        <v>179681</v>
      </c>
      <c r="E85" s="226">
        <v>143644</v>
      </c>
      <c r="F85" s="226"/>
      <c r="G85" s="225">
        <v>0</v>
      </c>
      <c r="H85" s="226"/>
      <c r="I85" s="211"/>
      <c r="J85" s="226">
        <v>0</v>
      </c>
      <c r="K85" s="252">
        <v>50406</v>
      </c>
      <c r="L85" s="226">
        <v>348179</v>
      </c>
      <c r="M85" s="227">
        <v>-16802</v>
      </c>
      <c r="N85" s="227">
        <f t="shared" si="1"/>
        <v>331377</v>
      </c>
    </row>
    <row r="86" spans="1:14" ht="15">
      <c r="A86" s="209">
        <v>31301</v>
      </c>
      <c r="B86" s="250" t="s">
        <v>312</v>
      </c>
      <c r="C86" s="225">
        <v>-16282</v>
      </c>
      <c r="D86" s="226">
        <v>4464</v>
      </c>
      <c r="E86" s="226">
        <v>3569</v>
      </c>
      <c r="F86" s="226"/>
      <c r="G86" s="225">
        <v>0</v>
      </c>
      <c r="H86" s="226"/>
      <c r="I86" s="211"/>
      <c r="J86" s="226">
        <v>0</v>
      </c>
      <c r="K86" s="252">
        <v>4872</v>
      </c>
      <c r="L86" s="226">
        <v>8651</v>
      </c>
      <c r="M86" s="227">
        <v>-1624</v>
      </c>
      <c r="N86" s="227">
        <f t="shared" si="1"/>
        <v>7027</v>
      </c>
    </row>
    <row r="87" spans="1:14" ht="15">
      <c r="A87" s="209">
        <v>31320</v>
      </c>
      <c r="B87" s="250" t="s">
        <v>313</v>
      </c>
      <c r="C87" s="225">
        <v>-118420</v>
      </c>
      <c r="D87" s="226">
        <v>32469</v>
      </c>
      <c r="E87" s="226">
        <v>25957</v>
      </c>
      <c r="F87" s="226"/>
      <c r="G87" s="225">
        <v>0</v>
      </c>
      <c r="H87" s="226"/>
      <c r="I87" s="211"/>
      <c r="J87" s="226">
        <v>0</v>
      </c>
      <c r="K87" s="252">
        <v>6140</v>
      </c>
      <c r="L87" s="226">
        <v>62916</v>
      </c>
      <c r="M87" s="227">
        <v>-2047</v>
      </c>
      <c r="N87" s="227">
        <f t="shared" si="1"/>
        <v>60869</v>
      </c>
    </row>
    <row r="88" spans="1:14" ht="15">
      <c r="A88" s="251">
        <v>31400</v>
      </c>
      <c r="B88" s="212" t="s">
        <v>314</v>
      </c>
      <c r="C88" s="220">
        <v>-247267</v>
      </c>
      <c r="D88" s="221">
        <v>67796</v>
      </c>
      <c r="E88" s="221">
        <v>54199</v>
      </c>
      <c r="F88" s="221"/>
      <c r="G88" s="220">
        <v>6048</v>
      </c>
      <c r="H88" s="221"/>
      <c r="I88" s="213"/>
      <c r="J88" s="221">
        <v>0</v>
      </c>
      <c r="K88" s="253">
        <v>0</v>
      </c>
      <c r="L88" s="221">
        <v>131373</v>
      </c>
      <c r="M88" s="222">
        <v>2016</v>
      </c>
      <c r="N88" s="227">
        <f t="shared" si="1"/>
        <v>133389</v>
      </c>
    </row>
    <row r="89" spans="1:14" ht="15">
      <c r="A89" s="251">
        <v>31405</v>
      </c>
      <c r="B89" s="212" t="s">
        <v>61</v>
      </c>
      <c r="C89" s="220">
        <v>-47900</v>
      </c>
      <c r="D89" s="221">
        <v>13133</v>
      </c>
      <c r="E89" s="221">
        <v>10499</v>
      </c>
      <c r="F89" s="221"/>
      <c r="G89" s="220">
        <v>8011</v>
      </c>
      <c r="H89" s="221"/>
      <c r="I89" s="213"/>
      <c r="J89" s="221">
        <v>0</v>
      </c>
      <c r="K89" s="253">
        <v>0</v>
      </c>
      <c r="L89" s="221">
        <v>25449</v>
      </c>
      <c r="M89" s="222">
        <v>2670</v>
      </c>
      <c r="N89" s="227">
        <f t="shared" si="1"/>
        <v>28119</v>
      </c>
    </row>
    <row r="90" spans="1:14" ht="15">
      <c r="A90" s="251">
        <v>31500</v>
      </c>
      <c r="B90" s="212" t="s">
        <v>315</v>
      </c>
      <c r="C90" s="220">
        <v>-37289</v>
      </c>
      <c r="D90" s="221">
        <v>10224</v>
      </c>
      <c r="E90" s="221">
        <v>8174</v>
      </c>
      <c r="F90" s="221"/>
      <c r="G90" s="220">
        <v>2701</v>
      </c>
      <c r="H90" s="221"/>
      <c r="I90" s="213"/>
      <c r="J90" s="221">
        <v>0</v>
      </c>
      <c r="K90" s="253">
        <v>0</v>
      </c>
      <c r="L90" s="221">
        <v>19812</v>
      </c>
      <c r="M90" s="222">
        <v>900</v>
      </c>
      <c r="N90" s="227">
        <f t="shared" si="1"/>
        <v>20712</v>
      </c>
    </row>
    <row r="91" spans="1:14" ht="15">
      <c r="A91" s="251">
        <v>31600</v>
      </c>
      <c r="B91" s="212" t="s">
        <v>316</v>
      </c>
      <c r="C91" s="220">
        <v>-173422</v>
      </c>
      <c r="D91" s="221">
        <v>47549</v>
      </c>
      <c r="E91" s="221">
        <v>38013</v>
      </c>
      <c r="F91" s="221"/>
      <c r="G91" s="220">
        <v>4548</v>
      </c>
      <c r="H91" s="221"/>
      <c r="I91" s="214"/>
      <c r="J91" s="221">
        <v>0</v>
      </c>
      <c r="K91" s="253">
        <v>0</v>
      </c>
      <c r="L91" s="221">
        <v>92139</v>
      </c>
      <c r="M91" s="222">
        <v>1516</v>
      </c>
      <c r="N91" s="227">
        <f t="shared" si="1"/>
        <v>93655</v>
      </c>
    </row>
    <row r="92" spans="1:14" ht="15">
      <c r="A92" s="251">
        <v>31605</v>
      </c>
      <c r="B92" s="212" t="s">
        <v>62</v>
      </c>
      <c r="C92" s="220">
        <v>-25793</v>
      </c>
      <c r="D92" s="221">
        <v>7072</v>
      </c>
      <c r="E92" s="221">
        <v>5654</v>
      </c>
      <c r="F92" s="221"/>
      <c r="G92" s="220">
        <v>1574</v>
      </c>
      <c r="H92" s="221"/>
      <c r="I92" s="213"/>
      <c r="J92" s="221">
        <v>0</v>
      </c>
      <c r="K92" s="253">
        <v>0</v>
      </c>
      <c r="L92" s="221">
        <v>13704</v>
      </c>
      <c r="M92" s="222">
        <v>525</v>
      </c>
      <c r="N92" s="227">
        <f t="shared" si="1"/>
        <v>14229</v>
      </c>
    </row>
    <row r="93" spans="1:14" ht="15">
      <c r="A93" s="251">
        <v>31700</v>
      </c>
      <c r="B93" s="212" t="s">
        <v>317</v>
      </c>
      <c r="C93" s="220">
        <v>-52759</v>
      </c>
      <c r="D93" s="221">
        <v>14466</v>
      </c>
      <c r="E93" s="221">
        <v>11564</v>
      </c>
      <c r="F93" s="221"/>
      <c r="G93" s="220">
        <v>2748</v>
      </c>
      <c r="H93" s="221"/>
      <c r="I93" s="213"/>
      <c r="J93" s="221">
        <v>0</v>
      </c>
      <c r="K93" s="253">
        <v>0</v>
      </c>
      <c r="L93" s="221">
        <v>28031</v>
      </c>
      <c r="M93" s="222">
        <v>916</v>
      </c>
      <c r="N93" s="227">
        <f t="shared" si="1"/>
        <v>28947</v>
      </c>
    </row>
    <row r="94" spans="1:14" ht="15">
      <c r="A94" s="209">
        <v>31800</v>
      </c>
      <c r="B94" s="250" t="s">
        <v>318</v>
      </c>
      <c r="C94" s="225">
        <v>-314499</v>
      </c>
      <c r="D94" s="226">
        <v>86230</v>
      </c>
      <c r="E94" s="226">
        <v>68936</v>
      </c>
      <c r="F94" s="226"/>
      <c r="G94" s="225">
        <v>12803</v>
      </c>
      <c r="H94" s="226"/>
      <c r="I94" s="210"/>
      <c r="J94" s="226">
        <v>0</v>
      </c>
      <c r="K94" s="252">
        <v>0</v>
      </c>
      <c r="L94" s="226">
        <v>167093</v>
      </c>
      <c r="M94" s="227">
        <v>4268</v>
      </c>
      <c r="N94" s="227">
        <f t="shared" si="1"/>
        <v>171361</v>
      </c>
    </row>
    <row r="95" spans="1:14" ht="15">
      <c r="A95" s="209">
        <v>31805</v>
      </c>
      <c r="B95" s="250" t="s">
        <v>63</v>
      </c>
      <c r="C95" s="225">
        <v>-61047</v>
      </c>
      <c r="D95" s="226">
        <v>16738</v>
      </c>
      <c r="E95" s="226">
        <v>13381</v>
      </c>
      <c r="F95" s="226"/>
      <c r="G95" s="225">
        <v>5482</v>
      </c>
      <c r="H95" s="226"/>
      <c r="I95" s="211"/>
      <c r="J95" s="226">
        <v>0</v>
      </c>
      <c r="K95" s="252">
        <v>0</v>
      </c>
      <c r="L95" s="226">
        <v>32434</v>
      </c>
      <c r="M95" s="227">
        <v>1827</v>
      </c>
      <c r="N95" s="227">
        <f t="shared" si="1"/>
        <v>34261</v>
      </c>
    </row>
    <row r="96" spans="1:14" ht="15">
      <c r="A96" s="209">
        <v>31810</v>
      </c>
      <c r="B96" s="250" t="s">
        <v>319</v>
      </c>
      <c r="C96" s="225">
        <v>-82433</v>
      </c>
      <c r="D96" s="226">
        <v>22602</v>
      </c>
      <c r="E96" s="226">
        <v>18069</v>
      </c>
      <c r="F96" s="226"/>
      <c r="G96" s="225">
        <v>0</v>
      </c>
      <c r="H96" s="226"/>
      <c r="I96" s="211"/>
      <c r="J96" s="226">
        <v>0</v>
      </c>
      <c r="K96" s="252">
        <v>1213</v>
      </c>
      <c r="L96" s="226">
        <v>43796</v>
      </c>
      <c r="M96" s="227">
        <v>-404</v>
      </c>
      <c r="N96" s="227">
        <f t="shared" si="1"/>
        <v>43392</v>
      </c>
    </row>
    <row r="97" spans="1:14" ht="15">
      <c r="A97" s="209">
        <v>31820</v>
      </c>
      <c r="B97" s="250" t="s">
        <v>320</v>
      </c>
      <c r="C97" s="225">
        <v>-70117</v>
      </c>
      <c r="D97" s="226">
        <v>19225</v>
      </c>
      <c r="E97" s="226">
        <v>15369</v>
      </c>
      <c r="F97" s="226"/>
      <c r="G97" s="225">
        <v>603</v>
      </c>
      <c r="H97" s="226"/>
      <c r="I97" s="211"/>
      <c r="J97" s="226">
        <v>0</v>
      </c>
      <c r="K97" s="252">
        <v>0</v>
      </c>
      <c r="L97" s="226">
        <v>37253</v>
      </c>
      <c r="M97" s="227">
        <v>201</v>
      </c>
      <c r="N97" s="227">
        <f t="shared" si="1"/>
        <v>37454</v>
      </c>
    </row>
    <row r="98" spans="1:14" ht="15">
      <c r="A98" s="209">
        <v>31900</v>
      </c>
      <c r="B98" s="250" t="s">
        <v>321</v>
      </c>
      <c r="C98" s="225">
        <v>-198023</v>
      </c>
      <c r="D98" s="226">
        <v>54294</v>
      </c>
      <c r="E98" s="226">
        <v>43405</v>
      </c>
      <c r="F98" s="226"/>
      <c r="G98" s="225">
        <v>0</v>
      </c>
      <c r="H98" s="226"/>
      <c r="I98" s="211"/>
      <c r="J98" s="226">
        <v>0</v>
      </c>
      <c r="K98" s="252">
        <v>12493</v>
      </c>
      <c r="L98" s="226">
        <v>105209</v>
      </c>
      <c r="M98" s="227">
        <v>-4164</v>
      </c>
      <c r="N98" s="227">
        <f t="shared" si="1"/>
        <v>101045</v>
      </c>
    </row>
    <row r="99" spans="1:14" ht="15">
      <c r="A99" s="209">
        <v>32000</v>
      </c>
      <c r="B99" s="250" t="s">
        <v>322</v>
      </c>
      <c r="C99" s="225">
        <v>-79859</v>
      </c>
      <c r="D99" s="226">
        <v>21896</v>
      </c>
      <c r="E99" s="226">
        <v>17505</v>
      </c>
      <c r="F99" s="226"/>
      <c r="G99" s="225">
        <v>0</v>
      </c>
      <c r="H99" s="226"/>
      <c r="I99" s="211"/>
      <c r="J99" s="226">
        <v>0</v>
      </c>
      <c r="K99" s="252">
        <v>3098</v>
      </c>
      <c r="L99" s="226">
        <v>42429</v>
      </c>
      <c r="M99" s="227">
        <v>-1033</v>
      </c>
      <c r="N99" s="227">
        <f t="shared" si="1"/>
        <v>41396</v>
      </c>
    </row>
    <row r="100" spans="1:14" ht="15">
      <c r="A100" s="251">
        <v>32005</v>
      </c>
      <c r="B100" s="212" t="s">
        <v>64</v>
      </c>
      <c r="C100" s="220">
        <v>-17713</v>
      </c>
      <c r="D100" s="221">
        <v>4856</v>
      </c>
      <c r="E100" s="221">
        <v>3882</v>
      </c>
      <c r="F100" s="221"/>
      <c r="G100" s="220">
        <v>1114</v>
      </c>
      <c r="H100" s="221"/>
      <c r="I100" s="213"/>
      <c r="J100" s="221">
        <v>0</v>
      </c>
      <c r="K100" s="253">
        <v>0</v>
      </c>
      <c r="L100" s="221">
        <v>9411</v>
      </c>
      <c r="M100" s="222">
        <v>371</v>
      </c>
      <c r="N100" s="227">
        <f t="shared" si="1"/>
        <v>9782</v>
      </c>
    </row>
    <row r="101" spans="1:14" ht="15">
      <c r="A101" s="251">
        <v>32100</v>
      </c>
      <c r="B101" s="212" t="s">
        <v>323</v>
      </c>
      <c r="C101" s="220">
        <v>-44917</v>
      </c>
      <c r="D101" s="221">
        <v>12315</v>
      </c>
      <c r="E101" s="221">
        <v>9845</v>
      </c>
      <c r="F101" s="221"/>
      <c r="G101" s="220">
        <v>4086</v>
      </c>
      <c r="H101" s="221"/>
      <c r="I101" s="213"/>
      <c r="J101" s="221">
        <v>0</v>
      </c>
      <c r="K101" s="253">
        <v>0</v>
      </c>
      <c r="L101" s="221">
        <v>23864</v>
      </c>
      <c r="M101" s="222">
        <v>1362</v>
      </c>
      <c r="N101" s="227">
        <f t="shared" si="1"/>
        <v>25226</v>
      </c>
    </row>
    <row r="102" spans="1:14" ht="15">
      <c r="A102" s="251">
        <v>32200</v>
      </c>
      <c r="B102" s="212" t="s">
        <v>324</v>
      </c>
      <c r="C102" s="220">
        <v>-29790</v>
      </c>
      <c r="D102" s="221">
        <v>8168</v>
      </c>
      <c r="E102" s="221">
        <v>6530</v>
      </c>
      <c r="F102" s="221"/>
      <c r="G102" s="220">
        <v>251</v>
      </c>
      <c r="H102" s="221"/>
      <c r="I102" s="213"/>
      <c r="J102" s="221">
        <v>0</v>
      </c>
      <c r="K102" s="253">
        <v>0</v>
      </c>
      <c r="L102" s="221">
        <v>15827</v>
      </c>
      <c r="M102" s="222">
        <v>84</v>
      </c>
      <c r="N102" s="227">
        <f t="shared" si="1"/>
        <v>15911</v>
      </c>
    </row>
    <row r="103" spans="1:14" ht="15">
      <c r="A103" s="251">
        <v>32300</v>
      </c>
      <c r="B103" s="212" t="s">
        <v>325</v>
      </c>
      <c r="C103" s="220">
        <v>-335084</v>
      </c>
      <c r="D103" s="221">
        <v>91874</v>
      </c>
      <c r="E103" s="221">
        <v>73448</v>
      </c>
      <c r="F103" s="221"/>
      <c r="G103" s="220">
        <v>0</v>
      </c>
      <c r="H103" s="221"/>
      <c r="I103" s="214"/>
      <c r="J103" s="221">
        <v>0</v>
      </c>
      <c r="K103" s="253">
        <v>6042</v>
      </c>
      <c r="L103" s="221">
        <v>178030</v>
      </c>
      <c r="M103" s="222">
        <v>-2014</v>
      </c>
      <c r="N103" s="227">
        <f t="shared" si="1"/>
        <v>176016</v>
      </c>
    </row>
    <row r="104" spans="1:14" ht="15">
      <c r="A104" s="251">
        <v>32305</v>
      </c>
      <c r="B104" s="212" t="s">
        <v>326</v>
      </c>
      <c r="C104" s="220">
        <v>-34166</v>
      </c>
      <c r="D104" s="221">
        <v>9368</v>
      </c>
      <c r="E104" s="221">
        <v>7489</v>
      </c>
      <c r="F104" s="221"/>
      <c r="G104" s="220">
        <v>2765</v>
      </c>
      <c r="H104" s="221"/>
      <c r="I104" s="213"/>
      <c r="J104" s="221">
        <v>0</v>
      </c>
      <c r="K104" s="253">
        <v>0</v>
      </c>
      <c r="L104" s="221">
        <v>18152</v>
      </c>
      <c r="M104" s="222">
        <v>922</v>
      </c>
      <c r="N104" s="227">
        <f t="shared" si="1"/>
        <v>19074</v>
      </c>
    </row>
    <row r="105" spans="1:14" ht="15">
      <c r="A105" s="251">
        <v>32400</v>
      </c>
      <c r="B105" s="212" t="s">
        <v>327</v>
      </c>
      <c r="C105" s="220">
        <v>-120345</v>
      </c>
      <c r="D105" s="221">
        <v>32997</v>
      </c>
      <c r="E105" s="221">
        <v>26379</v>
      </c>
      <c r="F105" s="221"/>
      <c r="G105" s="220">
        <v>4559</v>
      </c>
      <c r="H105" s="221"/>
      <c r="I105" s="213"/>
      <c r="J105" s="221">
        <v>0</v>
      </c>
      <c r="K105" s="253">
        <v>0</v>
      </c>
      <c r="L105" s="221">
        <v>63939</v>
      </c>
      <c r="M105" s="222">
        <v>1520</v>
      </c>
      <c r="N105" s="227">
        <f t="shared" si="1"/>
        <v>65459</v>
      </c>
    </row>
    <row r="106" spans="1:14" ht="15">
      <c r="A106" s="209">
        <v>32405</v>
      </c>
      <c r="B106" s="250" t="s">
        <v>66</v>
      </c>
      <c r="C106" s="225">
        <v>-30456</v>
      </c>
      <c r="D106" s="226">
        <v>8351</v>
      </c>
      <c r="E106" s="226">
        <v>6676</v>
      </c>
      <c r="F106" s="226"/>
      <c r="G106" s="225">
        <v>1996</v>
      </c>
      <c r="H106" s="226"/>
      <c r="I106" s="210"/>
      <c r="J106" s="226">
        <v>0</v>
      </c>
      <c r="K106" s="252">
        <v>0</v>
      </c>
      <c r="L106" s="226">
        <v>16181</v>
      </c>
      <c r="M106" s="227">
        <v>665</v>
      </c>
      <c r="N106" s="227">
        <f t="shared" si="1"/>
        <v>16846</v>
      </c>
    </row>
    <row r="107" spans="1:14" ht="15">
      <c r="A107" s="209">
        <v>32410</v>
      </c>
      <c r="B107" s="250" t="s">
        <v>328</v>
      </c>
      <c r="C107" s="225">
        <v>-44893</v>
      </c>
      <c r="D107" s="226">
        <v>12309</v>
      </c>
      <c r="E107" s="226">
        <v>9840</v>
      </c>
      <c r="F107" s="226"/>
      <c r="G107" s="225">
        <v>5594</v>
      </c>
      <c r="H107" s="226"/>
      <c r="I107" s="211"/>
      <c r="J107" s="226">
        <v>0</v>
      </c>
      <c r="K107" s="252">
        <v>0</v>
      </c>
      <c r="L107" s="226">
        <v>23851</v>
      </c>
      <c r="M107" s="227">
        <v>1865</v>
      </c>
      <c r="N107" s="227">
        <f t="shared" si="1"/>
        <v>25716</v>
      </c>
    </row>
    <row r="108" spans="1:14" ht="15">
      <c r="A108" s="209">
        <v>32500</v>
      </c>
      <c r="B108" s="250" t="s">
        <v>329</v>
      </c>
      <c r="C108" s="225">
        <v>-259436</v>
      </c>
      <c r="D108" s="226">
        <v>71133</v>
      </c>
      <c r="E108" s="226">
        <v>56866</v>
      </c>
      <c r="F108" s="226"/>
      <c r="G108" s="225">
        <v>9729</v>
      </c>
      <c r="H108" s="226"/>
      <c r="I108" s="211"/>
      <c r="J108" s="226">
        <v>0</v>
      </c>
      <c r="K108" s="252">
        <v>0</v>
      </c>
      <c r="L108" s="226">
        <v>137838</v>
      </c>
      <c r="M108" s="227">
        <v>3243</v>
      </c>
      <c r="N108" s="227">
        <f t="shared" si="1"/>
        <v>141081</v>
      </c>
    </row>
    <row r="109" spans="1:14" ht="15">
      <c r="A109" s="209">
        <v>32505</v>
      </c>
      <c r="B109" s="250" t="s">
        <v>67</v>
      </c>
      <c r="C109" s="225">
        <v>-40223</v>
      </c>
      <c r="D109" s="226">
        <v>11028</v>
      </c>
      <c r="E109" s="226">
        <v>8817</v>
      </c>
      <c r="F109" s="226"/>
      <c r="G109" s="225">
        <v>350</v>
      </c>
      <c r="H109" s="226"/>
      <c r="I109" s="211"/>
      <c r="J109" s="226">
        <v>0</v>
      </c>
      <c r="K109" s="252">
        <v>0</v>
      </c>
      <c r="L109" s="226">
        <v>21370</v>
      </c>
      <c r="M109" s="227">
        <v>117</v>
      </c>
      <c r="N109" s="227">
        <f t="shared" si="1"/>
        <v>21487</v>
      </c>
    </row>
    <row r="110" spans="1:14" ht="15">
      <c r="A110" s="209">
        <v>32600</v>
      </c>
      <c r="B110" s="250" t="s">
        <v>330</v>
      </c>
      <c r="C110" s="225">
        <v>-931157</v>
      </c>
      <c r="D110" s="226">
        <v>255306</v>
      </c>
      <c r="E110" s="226">
        <v>204102</v>
      </c>
      <c r="F110" s="226"/>
      <c r="G110" s="225">
        <v>19879</v>
      </c>
      <c r="H110" s="226"/>
      <c r="I110" s="211"/>
      <c r="J110" s="226">
        <v>0</v>
      </c>
      <c r="K110" s="252">
        <v>0</v>
      </c>
      <c r="L110" s="226">
        <v>494723</v>
      </c>
      <c r="M110" s="227">
        <v>6626</v>
      </c>
      <c r="N110" s="227">
        <f t="shared" si="1"/>
        <v>501349</v>
      </c>
    </row>
    <row r="111" spans="1:14" ht="15">
      <c r="A111" s="209">
        <v>32605</v>
      </c>
      <c r="B111" s="250" t="s">
        <v>68</v>
      </c>
      <c r="C111" s="225">
        <v>-136945</v>
      </c>
      <c r="D111" s="226">
        <v>37548</v>
      </c>
      <c r="E111" s="226">
        <v>30017</v>
      </c>
      <c r="F111" s="226"/>
      <c r="G111" s="225">
        <v>8804</v>
      </c>
      <c r="H111" s="226"/>
      <c r="I111" s="211"/>
      <c r="J111" s="226">
        <v>0</v>
      </c>
      <c r="K111" s="252">
        <v>0</v>
      </c>
      <c r="L111" s="226">
        <v>72759</v>
      </c>
      <c r="M111" s="227">
        <v>2935</v>
      </c>
      <c r="N111" s="227">
        <f t="shared" si="1"/>
        <v>75694</v>
      </c>
    </row>
    <row r="112" spans="1:14" ht="15">
      <c r="A112" s="251">
        <v>32700</v>
      </c>
      <c r="B112" s="212" t="s">
        <v>331</v>
      </c>
      <c r="C112" s="220">
        <v>-86827</v>
      </c>
      <c r="D112" s="221">
        <v>23806</v>
      </c>
      <c r="E112" s="221">
        <v>19032</v>
      </c>
      <c r="F112" s="221"/>
      <c r="G112" s="220">
        <v>0</v>
      </c>
      <c r="H112" s="221"/>
      <c r="I112" s="213"/>
      <c r="J112" s="221">
        <v>0</v>
      </c>
      <c r="K112" s="253">
        <v>2921</v>
      </c>
      <c r="L112" s="221">
        <v>46131</v>
      </c>
      <c r="M112" s="222">
        <v>-974</v>
      </c>
      <c r="N112" s="227">
        <f t="shared" si="1"/>
        <v>45157</v>
      </c>
    </row>
    <row r="113" spans="1:14" ht="15">
      <c r="A113" s="251">
        <v>32800</v>
      </c>
      <c r="B113" s="212" t="s">
        <v>332</v>
      </c>
      <c r="C113" s="220">
        <v>-116140</v>
      </c>
      <c r="D113" s="221">
        <v>31844</v>
      </c>
      <c r="E113" s="221">
        <v>25457</v>
      </c>
      <c r="F113" s="221"/>
      <c r="G113" s="220">
        <v>6288</v>
      </c>
      <c r="H113" s="221"/>
      <c r="I113" s="213"/>
      <c r="J113" s="221">
        <v>0</v>
      </c>
      <c r="K113" s="253">
        <v>0</v>
      </c>
      <c r="L113" s="221">
        <v>61705</v>
      </c>
      <c r="M113" s="222">
        <v>2096</v>
      </c>
      <c r="N113" s="227">
        <f t="shared" si="1"/>
        <v>63801</v>
      </c>
    </row>
    <row r="114" spans="1:14" ht="15">
      <c r="A114" s="251">
        <v>32900</v>
      </c>
      <c r="B114" s="212" t="s">
        <v>333</v>
      </c>
      <c r="C114" s="220">
        <v>-350902</v>
      </c>
      <c r="D114" s="221">
        <v>96211</v>
      </c>
      <c r="E114" s="221">
        <v>76915</v>
      </c>
      <c r="F114" s="221"/>
      <c r="G114" s="220">
        <v>1787</v>
      </c>
      <c r="H114" s="221"/>
      <c r="I114" s="213"/>
      <c r="J114" s="221">
        <v>0</v>
      </c>
      <c r="K114" s="253">
        <v>0</v>
      </c>
      <c r="L114" s="221">
        <v>186434</v>
      </c>
      <c r="M114" s="222">
        <v>596</v>
      </c>
      <c r="N114" s="227">
        <f t="shared" si="1"/>
        <v>187030</v>
      </c>
    </row>
    <row r="115" spans="1:14" ht="15">
      <c r="A115" s="251">
        <v>32901</v>
      </c>
      <c r="B115" s="212" t="s">
        <v>506</v>
      </c>
      <c r="C115" s="220">
        <v>-8123</v>
      </c>
      <c r="D115" s="221">
        <v>2227</v>
      </c>
      <c r="E115" s="221">
        <v>1780</v>
      </c>
      <c r="F115" s="221"/>
      <c r="G115" s="220">
        <v>1964</v>
      </c>
      <c r="H115" s="221"/>
      <c r="I115" s="214"/>
      <c r="J115" s="221">
        <v>0</v>
      </c>
      <c r="K115" s="253">
        <v>0</v>
      </c>
      <c r="L115" s="221">
        <v>4316</v>
      </c>
      <c r="M115" s="222">
        <v>655</v>
      </c>
      <c r="N115" s="227">
        <f t="shared" si="1"/>
        <v>4971</v>
      </c>
    </row>
    <row r="116" spans="1:14" ht="15">
      <c r="A116" s="251">
        <v>32905</v>
      </c>
      <c r="B116" s="212" t="s">
        <v>69</v>
      </c>
      <c r="C116" s="220">
        <v>-51738</v>
      </c>
      <c r="D116" s="221">
        <v>14186</v>
      </c>
      <c r="E116" s="221">
        <v>11341</v>
      </c>
      <c r="F116" s="221"/>
      <c r="G116" s="220">
        <v>1832</v>
      </c>
      <c r="H116" s="221"/>
      <c r="I116" s="213"/>
      <c r="J116" s="221">
        <v>0</v>
      </c>
      <c r="K116" s="253">
        <v>0</v>
      </c>
      <c r="L116" s="221">
        <v>27488</v>
      </c>
      <c r="M116" s="222">
        <v>611</v>
      </c>
      <c r="N116" s="227">
        <f t="shared" si="1"/>
        <v>28099</v>
      </c>
    </row>
    <row r="117" spans="1:14" ht="15">
      <c r="A117" s="251">
        <v>32910</v>
      </c>
      <c r="B117" s="212" t="s">
        <v>335</v>
      </c>
      <c r="C117" s="220">
        <v>-66211</v>
      </c>
      <c r="D117" s="221">
        <v>18154</v>
      </c>
      <c r="E117" s="221">
        <v>14513</v>
      </c>
      <c r="F117" s="221"/>
      <c r="G117" s="220">
        <v>885</v>
      </c>
      <c r="H117" s="221"/>
      <c r="I117" s="213"/>
      <c r="J117" s="221">
        <v>0</v>
      </c>
      <c r="K117" s="253">
        <v>0</v>
      </c>
      <c r="L117" s="221">
        <v>35178</v>
      </c>
      <c r="M117" s="222">
        <v>295</v>
      </c>
      <c r="N117" s="227">
        <f t="shared" si="1"/>
        <v>35473</v>
      </c>
    </row>
    <row r="118" spans="1:14" ht="15">
      <c r="A118" s="209">
        <v>32920</v>
      </c>
      <c r="B118" s="250" t="s">
        <v>336</v>
      </c>
      <c r="C118" s="225">
        <v>-55259</v>
      </c>
      <c r="D118" s="226">
        <v>15151</v>
      </c>
      <c r="E118" s="226">
        <v>12112</v>
      </c>
      <c r="F118" s="226"/>
      <c r="G118" s="225">
        <v>0</v>
      </c>
      <c r="H118" s="226"/>
      <c r="I118" s="210"/>
      <c r="J118" s="226">
        <v>0</v>
      </c>
      <c r="K118" s="252">
        <v>1644</v>
      </c>
      <c r="L118" s="226">
        <v>29359</v>
      </c>
      <c r="M118" s="227">
        <v>-548</v>
      </c>
      <c r="N118" s="227">
        <f t="shared" si="1"/>
        <v>28811</v>
      </c>
    </row>
    <row r="119" spans="1:14" ht="15">
      <c r="A119" s="209">
        <v>33000</v>
      </c>
      <c r="B119" s="250" t="s">
        <v>337</v>
      </c>
      <c r="C119" s="225">
        <v>-133211</v>
      </c>
      <c r="D119" s="226">
        <v>36524</v>
      </c>
      <c r="E119" s="226">
        <v>29199</v>
      </c>
      <c r="F119" s="226"/>
      <c r="G119" s="225">
        <v>0</v>
      </c>
      <c r="H119" s="226"/>
      <c r="I119" s="211"/>
      <c r="J119" s="226">
        <v>0</v>
      </c>
      <c r="K119" s="252">
        <v>740</v>
      </c>
      <c r="L119" s="226">
        <v>70775</v>
      </c>
      <c r="M119" s="227">
        <v>-247</v>
      </c>
      <c r="N119" s="227">
        <f t="shared" si="1"/>
        <v>70528</v>
      </c>
    </row>
    <row r="120" spans="1:14" ht="15">
      <c r="A120" s="209">
        <v>33001</v>
      </c>
      <c r="B120" s="250" t="s">
        <v>507</v>
      </c>
      <c r="C120" s="225">
        <v>-4621</v>
      </c>
      <c r="D120" s="226">
        <v>1267</v>
      </c>
      <c r="E120" s="226">
        <v>1013</v>
      </c>
      <c r="F120" s="226"/>
      <c r="G120" s="225">
        <v>0</v>
      </c>
      <c r="H120" s="226"/>
      <c r="I120" s="211"/>
      <c r="J120" s="226">
        <v>0</v>
      </c>
      <c r="K120" s="252">
        <v>1074</v>
      </c>
      <c r="L120" s="226">
        <v>2455</v>
      </c>
      <c r="M120" s="227">
        <v>-358</v>
      </c>
      <c r="N120" s="227">
        <f t="shared" si="1"/>
        <v>2097</v>
      </c>
    </row>
    <row r="121" spans="1:14" ht="15">
      <c r="A121" s="209">
        <v>33027</v>
      </c>
      <c r="B121" s="250" t="s">
        <v>339</v>
      </c>
      <c r="C121" s="225">
        <v>-15641</v>
      </c>
      <c r="D121" s="226">
        <v>4288</v>
      </c>
      <c r="E121" s="226">
        <v>3428</v>
      </c>
      <c r="F121" s="226"/>
      <c r="G121" s="225">
        <v>0</v>
      </c>
      <c r="H121" s="226"/>
      <c r="I121" s="211"/>
      <c r="J121" s="226">
        <v>0</v>
      </c>
      <c r="K121" s="252">
        <v>4360</v>
      </c>
      <c r="L121" s="226">
        <v>8310</v>
      </c>
      <c r="M121" s="227">
        <v>-1453</v>
      </c>
      <c r="N121" s="227">
        <f t="shared" si="1"/>
        <v>6857</v>
      </c>
    </row>
    <row r="122" spans="1:14" ht="15">
      <c r="A122" s="209">
        <v>33100</v>
      </c>
      <c r="B122" s="250" t="s">
        <v>340</v>
      </c>
      <c r="C122" s="225">
        <v>-192051</v>
      </c>
      <c r="D122" s="226">
        <v>52657</v>
      </c>
      <c r="E122" s="226">
        <v>42096</v>
      </c>
      <c r="F122" s="226"/>
      <c r="G122" s="225">
        <v>4493</v>
      </c>
      <c r="H122" s="226"/>
      <c r="I122" s="211"/>
      <c r="J122" s="226">
        <v>0</v>
      </c>
      <c r="K122" s="252">
        <v>0</v>
      </c>
      <c r="L122" s="226">
        <v>102037</v>
      </c>
      <c r="M122" s="227">
        <v>1498</v>
      </c>
      <c r="N122" s="227">
        <f t="shared" si="1"/>
        <v>103535</v>
      </c>
    </row>
    <row r="123" spans="1:14" ht="15">
      <c r="A123" s="209">
        <v>33105</v>
      </c>
      <c r="B123" s="250" t="s">
        <v>70</v>
      </c>
      <c r="C123" s="225">
        <v>-21325</v>
      </c>
      <c r="D123" s="226">
        <v>5847</v>
      </c>
      <c r="E123" s="226">
        <v>4674</v>
      </c>
      <c r="F123" s="226"/>
      <c r="G123" s="225">
        <v>863</v>
      </c>
      <c r="H123" s="226"/>
      <c r="I123" s="211"/>
      <c r="J123" s="226">
        <v>0</v>
      </c>
      <c r="K123" s="252">
        <v>0</v>
      </c>
      <c r="L123" s="226">
        <v>11330</v>
      </c>
      <c r="M123" s="227">
        <v>288</v>
      </c>
      <c r="N123" s="227">
        <f t="shared" si="1"/>
        <v>11618</v>
      </c>
    </row>
    <row r="124" spans="1:14" ht="15">
      <c r="A124" s="251">
        <v>33200</v>
      </c>
      <c r="B124" s="212" t="s">
        <v>341</v>
      </c>
      <c r="C124" s="220">
        <v>-848596</v>
      </c>
      <c r="D124" s="221">
        <v>232670</v>
      </c>
      <c r="E124" s="221">
        <v>186005</v>
      </c>
      <c r="F124" s="221"/>
      <c r="G124" s="220">
        <v>0</v>
      </c>
      <c r="H124" s="221"/>
      <c r="I124" s="213"/>
      <c r="J124" s="221">
        <v>0</v>
      </c>
      <c r="K124" s="253">
        <v>27549</v>
      </c>
      <c r="L124" s="221">
        <v>450858</v>
      </c>
      <c r="M124" s="222">
        <v>-9183</v>
      </c>
      <c r="N124" s="227">
        <f t="shared" si="1"/>
        <v>441675</v>
      </c>
    </row>
    <row r="125" spans="1:14" ht="15">
      <c r="A125" s="251">
        <v>33202</v>
      </c>
      <c r="B125" s="212" t="s">
        <v>508</v>
      </c>
      <c r="C125" s="220">
        <v>-12530</v>
      </c>
      <c r="D125" s="221">
        <v>3435</v>
      </c>
      <c r="E125" s="221">
        <v>2746</v>
      </c>
      <c r="F125" s="221"/>
      <c r="G125" s="220">
        <v>0</v>
      </c>
      <c r="H125" s="221"/>
      <c r="I125" s="213"/>
      <c r="J125" s="221">
        <v>0</v>
      </c>
      <c r="K125" s="253">
        <v>3516</v>
      </c>
      <c r="L125" s="221">
        <v>6657</v>
      </c>
      <c r="M125" s="222">
        <v>-1172</v>
      </c>
      <c r="N125" s="227">
        <f t="shared" si="1"/>
        <v>5485</v>
      </c>
    </row>
    <row r="126" spans="1:14" ht="15">
      <c r="A126" s="251">
        <v>33203</v>
      </c>
      <c r="B126" s="212" t="s">
        <v>343</v>
      </c>
      <c r="C126" s="220">
        <v>-7842</v>
      </c>
      <c r="D126" s="221">
        <v>2150</v>
      </c>
      <c r="E126" s="221">
        <v>1719</v>
      </c>
      <c r="F126" s="221"/>
      <c r="G126" s="220">
        <v>0</v>
      </c>
      <c r="H126" s="221"/>
      <c r="I126" s="213"/>
      <c r="J126" s="221">
        <v>0</v>
      </c>
      <c r="K126" s="253">
        <v>1569</v>
      </c>
      <c r="L126" s="221">
        <v>4166</v>
      </c>
      <c r="M126" s="222">
        <v>-523</v>
      </c>
      <c r="N126" s="227">
        <f t="shared" si="1"/>
        <v>3643</v>
      </c>
    </row>
    <row r="127" spans="1:14" ht="15">
      <c r="A127" s="251">
        <v>33204</v>
      </c>
      <c r="B127" s="212" t="s">
        <v>344</v>
      </c>
      <c r="C127" s="220">
        <v>-25762</v>
      </c>
      <c r="D127" s="221">
        <v>7063</v>
      </c>
      <c r="E127" s="221">
        <v>5647</v>
      </c>
      <c r="F127" s="221"/>
      <c r="G127" s="220">
        <v>0</v>
      </c>
      <c r="H127" s="221"/>
      <c r="I127" s="214"/>
      <c r="J127" s="221">
        <v>0</v>
      </c>
      <c r="K127" s="253">
        <v>4625</v>
      </c>
      <c r="L127" s="221">
        <v>13687</v>
      </c>
      <c r="M127" s="222">
        <v>-1542</v>
      </c>
      <c r="N127" s="227">
        <f t="shared" si="1"/>
        <v>12145</v>
      </c>
    </row>
    <row r="128" spans="1:14" ht="15">
      <c r="A128" s="251">
        <v>33205</v>
      </c>
      <c r="B128" s="212" t="s">
        <v>71</v>
      </c>
      <c r="C128" s="220">
        <v>-70960</v>
      </c>
      <c r="D128" s="221">
        <v>19456</v>
      </c>
      <c r="E128" s="221">
        <v>15554</v>
      </c>
      <c r="F128" s="221"/>
      <c r="G128" s="220">
        <v>714</v>
      </c>
      <c r="H128" s="221"/>
      <c r="I128" s="213"/>
      <c r="J128" s="221">
        <v>0</v>
      </c>
      <c r="K128" s="253">
        <v>0</v>
      </c>
      <c r="L128" s="221">
        <v>37701</v>
      </c>
      <c r="M128" s="222">
        <v>238</v>
      </c>
      <c r="N128" s="227">
        <f t="shared" si="1"/>
        <v>37939</v>
      </c>
    </row>
    <row r="129" spans="1:14" ht="15">
      <c r="A129" s="251">
        <v>33206</v>
      </c>
      <c r="B129" s="212" t="s">
        <v>345</v>
      </c>
      <c r="C129" s="220">
        <v>-6051</v>
      </c>
      <c r="D129" s="221">
        <v>1659</v>
      </c>
      <c r="E129" s="221">
        <v>1326</v>
      </c>
      <c r="F129" s="221"/>
      <c r="G129" s="220">
        <v>0</v>
      </c>
      <c r="H129" s="221"/>
      <c r="I129" s="213"/>
      <c r="J129" s="221">
        <v>0</v>
      </c>
      <c r="K129" s="253">
        <v>451</v>
      </c>
      <c r="L129" s="221">
        <v>3215</v>
      </c>
      <c r="M129" s="222">
        <v>-150</v>
      </c>
      <c r="N129" s="227">
        <f t="shared" si="1"/>
        <v>3065</v>
      </c>
    </row>
    <row r="130" spans="1:14" ht="15">
      <c r="A130" s="209">
        <v>33207</v>
      </c>
      <c r="B130" s="250" t="s">
        <v>346</v>
      </c>
      <c r="C130" s="225">
        <v>-17346</v>
      </c>
      <c r="D130" s="226">
        <v>4756</v>
      </c>
      <c r="E130" s="226">
        <v>3802</v>
      </c>
      <c r="F130" s="226"/>
      <c r="G130" s="225">
        <v>0</v>
      </c>
      <c r="H130" s="226"/>
      <c r="I130" s="210"/>
      <c r="J130" s="226">
        <v>0</v>
      </c>
      <c r="K130" s="252">
        <v>7563</v>
      </c>
      <c r="L130" s="226">
        <v>9216</v>
      </c>
      <c r="M130" s="227">
        <v>-2521</v>
      </c>
      <c r="N130" s="227">
        <f t="shared" si="1"/>
        <v>6695</v>
      </c>
    </row>
    <row r="131" spans="1:14" ht="15">
      <c r="A131" s="209">
        <v>33208</v>
      </c>
      <c r="B131" s="250" t="s">
        <v>347</v>
      </c>
      <c r="C131" s="225" t="s">
        <v>521</v>
      </c>
      <c r="D131" s="226" t="s">
        <v>522</v>
      </c>
      <c r="E131" s="226" t="s">
        <v>523</v>
      </c>
      <c r="F131" s="226"/>
      <c r="G131" s="225">
        <v>2007</v>
      </c>
      <c r="H131" s="226"/>
      <c r="I131" s="211"/>
      <c r="J131" s="226">
        <v>0</v>
      </c>
      <c r="K131" s="252">
        <v>0</v>
      </c>
      <c r="L131" s="226">
        <v>0</v>
      </c>
      <c r="M131" s="227">
        <v>669</v>
      </c>
      <c r="N131" s="227">
        <f t="shared" si="1"/>
        <v>669</v>
      </c>
    </row>
    <row r="132" spans="1:14" ht="15">
      <c r="A132" s="209">
        <v>33209</v>
      </c>
      <c r="B132" s="250" t="s">
        <v>348</v>
      </c>
      <c r="C132" s="225">
        <v>-4236</v>
      </c>
      <c r="D132" s="226">
        <v>1161</v>
      </c>
      <c r="E132" s="226">
        <v>928</v>
      </c>
      <c r="F132" s="226"/>
      <c r="G132" s="225">
        <v>0</v>
      </c>
      <c r="H132" s="226"/>
      <c r="I132" s="211"/>
      <c r="J132" s="226">
        <v>0</v>
      </c>
      <c r="K132" s="252">
        <v>822</v>
      </c>
      <c r="L132" s="226">
        <v>2250</v>
      </c>
      <c r="M132" s="227">
        <v>-274</v>
      </c>
      <c r="N132" s="227">
        <f t="shared" si="1"/>
        <v>1976</v>
      </c>
    </row>
    <row r="133" spans="1:14" ht="15">
      <c r="A133" s="209">
        <v>33300</v>
      </c>
      <c r="B133" s="250" t="s">
        <v>349</v>
      </c>
      <c r="C133" s="225">
        <v>-124306</v>
      </c>
      <c r="D133" s="226">
        <v>34082</v>
      </c>
      <c r="E133" s="226">
        <v>27247</v>
      </c>
      <c r="F133" s="226"/>
      <c r="G133" s="225">
        <v>0</v>
      </c>
      <c r="H133" s="226"/>
      <c r="I133" s="211"/>
      <c r="J133" s="226">
        <v>0</v>
      </c>
      <c r="K133" s="252">
        <v>765</v>
      </c>
      <c r="L133" s="226">
        <v>66044</v>
      </c>
      <c r="M133" s="227">
        <v>-255</v>
      </c>
      <c r="N133" s="227">
        <f t="shared" ref="N133:N196" si="2">SUM(L133+M133)</f>
        <v>65789</v>
      </c>
    </row>
    <row r="134" spans="1:14" ht="15">
      <c r="A134" s="209">
        <v>33305</v>
      </c>
      <c r="B134" s="250" t="s">
        <v>72</v>
      </c>
      <c r="C134" s="225">
        <v>-29772</v>
      </c>
      <c r="D134" s="226">
        <v>8163</v>
      </c>
      <c r="E134" s="226">
        <v>6526</v>
      </c>
      <c r="F134" s="226"/>
      <c r="G134" s="225">
        <v>6637</v>
      </c>
      <c r="H134" s="226"/>
      <c r="I134" s="211"/>
      <c r="J134" s="226">
        <v>0</v>
      </c>
      <c r="K134" s="252">
        <v>0</v>
      </c>
      <c r="L134" s="226">
        <v>15818</v>
      </c>
      <c r="M134" s="227">
        <v>2212</v>
      </c>
      <c r="N134" s="227">
        <f t="shared" si="2"/>
        <v>18030</v>
      </c>
    </row>
    <row r="135" spans="1:14" ht="15">
      <c r="A135" s="209">
        <v>33400</v>
      </c>
      <c r="B135" s="250" t="s">
        <v>350</v>
      </c>
      <c r="C135" s="225">
        <v>-1103607</v>
      </c>
      <c r="D135" s="226">
        <v>302589</v>
      </c>
      <c r="E135" s="226">
        <v>241902</v>
      </c>
      <c r="F135" s="226"/>
      <c r="G135" s="225">
        <v>4510</v>
      </c>
      <c r="H135" s="226"/>
      <c r="I135" s="211"/>
      <c r="J135" s="226">
        <v>0</v>
      </c>
      <c r="K135" s="252">
        <v>0</v>
      </c>
      <c r="L135" s="226">
        <v>586345</v>
      </c>
      <c r="M135" s="227">
        <v>1503</v>
      </c>
      <c r="N135" s="227">
        <f t="shared" si="2"/>
        <v>587848</v>
      </c>
    </row>
    <row r="136" spans="1:14" ht="15">
      <c r="A136" s="251">
        <v>33402</v>
      </c>
      <c r="B136" s="212" t="s">
        <v>351</v>
      </c>
      <c r="C136" s="220">
        <v>-8911</v>
      </c>
      <c r="D136" s="221">
        <v>2443</v>
      </c>
      <c r="E136" s="221">
        <v>1953</v>
      </c>
      <c r="F136" s="221"/>
      <c r="G136" s="220">
        <v>0</v>
      </c>
      <c r="H136" s="221"/>
      <c r="I136" s="213"/>
      <c r="J136" s="221">
        <v>0</v>
      </c>
      <c r="K136" s="253">
        <v>926</v>
      </c>
      <c r="L136" s="221">
        <v>4735</v>
      </c>
      <c r="M136" s="222">
        <v>-309</v>
      </c>
      <c r="N136" s="227">
        <f t="shared" si="2"/>
        <v>4426</v>
      </c>
    </row>
    <row r="137" spans="1:14" ht="15">
      <c r="A137" s="251">
        <v>33405</v>
      </c>
      <c r="B137" s="212" t="s">
        <v>73</v>
      </c>
      <c r="C137" s="220">
        <v>-104919</v>
      </c>
      <c r="D137" s="221">
        <v>28767</v>
      </c>
      <c r="E137" s="221">
        <v>22997</v>
      </c>
      <c r="F137" s="221"/>
      <c r="G137" s="220">
        <v>10868</v>
      </c>
      <c r="H137" s="221"/>
      <c r="I137" s="213"/>
      <c r="J137" s="221">
        <v>0</v>
      </c>
      <c r="K137" s="253">
        <v>0</v>
      </c>
      <c r="L137" s="221">
        <v>55743</v>
      </c>
      <c r="M137" s="222">
        <v>3623</v>
      </c>
      <c r="N137" s="227">
        <f t="shared" si="2"/>
        <v>59366</v>
      </c>
    </row>
    <row r="138" spans="1:14" ht="15">
      <c r="A138" s="251">
        <v>33500</v>
      </c>
      <c r="B138" s="212" t="s">
        <v>352</v>
      </c>
      <c r="C138" s="220">
        <v>-175653</v>
      </c>
      <c r="D138" s="221">
        <v>48161</v>
      </c>
      <c r="E138" s="221">
        <v>38502</v>
      </c>
      <c r="F138" s="221"/>
      <c r="G138" s="220">
        <v>0</v>
      </c>
      <c r="H138" s="221"/>
      <c r="I138" s="213"/>
      <c r="J138" s="221">
        <v>0</v>
      </c>
      <c r="K138" s="253">
        <v>1227</v>
      </c>
      <c r="L138" s="221">
        <v>93324</v>
      </c>
      <c r="M138" s="222">
        <v>-409</v>
      </c>
      <c r="N138" s="227">
        <f t="shared" si="2"/>
        <v>92915</v>
      </c>
    </row>
    <row r="139" spans="1:14" ht="15">
      <c r="A139" s="251">
        <v>33501</v>
      </c>
      <c r="B139" s="212" t="s">
        <v>353</v>
      </c>
      <c r="C139" s="220">
        <v>-4150</v>
      </c>
      <c r="D139" s="221">
        <v>1138</v>
      </c>
      <c r="E139" s="221">
        <v>910</v>
      </c>
      <c r="F139" s="221"/>
      <c r="G139" s="220">
        <v>0</v>
      </c>
      <c r="H139" s="221"/>
      <c r="I139" s="214"/>
      <c r="J139" s="221">
        <v>0</v>
      </c>
      <c r="K139" s="253">
        <v>617</v>
      </c>
      <c r="L139" s="221">
        <v>2205</v>
      </c>
      <c r="M139" s="222">
        <v>-206</v>
      </c>
      <c r="N139" s="227">
        <f t="shared" si="2"/>
        <v>1999</v>
      </c>
    </row>
    <row r="140" spans="1:14" ht="15">
      <c r="A140" s="251">
        <v>33600</v>
      </c>
      <c r="B140" s="212" t="s">
        <v>354</v>
      </c>
      <c r="C140" s="220">
        <v>-594942</v>
      </c>
      <c r="D140" s="221">
        <v>163122</v>
      </c>
      <c r="E140" s="221">
        <v>130406</v>
      </c>
      <c r="F140" s="221"/>
      <c r="G140" s="220">
        <v>0</v>
      </c>
      <c r="H140" s="221"/>
      <c r="I140" s="213"/>
      <c r="J140" s="221">
        <v>0</v>
      </c>
      <c r="K140" s="253">
        <v>21801</v>
      </c>
      <c r="L140" s="221">
        <v>316092</v>
      </c>
      <c r="M140" s="222">
        <v>-7267</v>
      </c>
      <c r="N140" s="227">
        <f t="shared" si="2"/>
        <v>308825</v>
      </c>
    </row>
    <row r="141" spans="1:14" ht="15">
      <c r="A141" s="251">
        <v>33605</v>
      </c>
      <c r="B141" s="212" t="s">
        <v>74</v>
      </c>
      <c r="C141" s="220">
        <v>-76180</v>
      </c>
      <c r="D141" s="221">
        <v>20887</v>
      </c>
      <c r="E141" s="221">
        <v>16698</v>
      </c>
      <c r="F141" s="221"/>
      <c r="G141" s="220">
        <v>10656</v>
      </c>
      <c r="H141" s="221"/>
      <c r="I141" s="213"/>
      <c r="J141" s="221">
        <v>0</v>
      </c>
      <c r="K141" s="253">
        <v>0</v>
      </c>
      <c r="L141" s="221">
        <v>40474</v>
      </c>
      <c r="M141" s="222">
        <v>3552</v>
      </c>
      <c r="N141" s="227">
        <f t="shared" si="2"/>
        <v>44026</v>
      </c>
    </row>
    <row r="142" spans="1:14" ht="15">
      <c r="A142" s="209">
        <v>33700</v>
      </c>
      <c r="B142" s="250" t="s">
        <v>355</v>
      </c>
      <c r="C142" s="225">
        <v>-40486</v>
      </c>
      <c r="D142" s="226">
        <v>11100</v>
      </c>
      <c r="E142" s="226">
        <v>8874</v>
      </c>
      <c r="F142" s="226"/>
      <c r="G142" s="225">
        <v>1758</v>
      </c>
      <c r="H142" s="226"/>
      <c r="I142" s="210"/>
      <c r="J142" s="226">
        <v>0</v>
      </c>
      <c r="K142" s="252">
        <v>0</v>
      </c>
      <c r="L142" s="226">
        <v>21510</v>
      </c>
      <c r="M142" s="227">
        <v>586</v>
      </c>
      <c r="N142" s="227">
        <f t="shared" si="2"/>
        <v>22096</v>
      </c>
    </row>
    <row r="143" spans="1:14" ht="15">
      <c r="A143" s="209">
        <v>33800</v>
      </c>
      <c r="B143" s="250" t="s">
        <v>356</v>
      </c>
      <c r="C143" s="225">
        <v>-31306</v>
      </c>
      <c r="D143" s="226">
        <v>8583</v>
      </c>
      <c r="E143" s="226">
        <v>6862</v>
      </c>
      <c r="F143" s="226"/>
      <c r="G143" s="225">
        <v>0</v>
      </c>
      <c r="H143" s="226"/>
      <c r="I143" s="211"/>
      <c r="J143" s="226">
        <v>0</v>
      </c>
      <c r="K143" s="252">
        <v>129</v>
      </c>
      <c r="L143" s="226">
        <v>16633</v>
      </c>
      <c r="M143" s="227">
        <v>-43</v>
      </c>
      <c r="N143" s="227">
        <f t="shared" si="2"/>
        <v>16590</v>
      </c>
    </row>
    <row r="144" spans="1:14" ht="15">
      <c r="A144" s="209">
        <v>33900</v>
      </c>
      <c r="B144" s="250" t="s">
        <v>357</v>
      </c>
      <c r="C144" s="225">
        <v>-156718</v>
      </c>
      <c r="D144" s="226">
        <v>42969</v>
      </c>
      <c r="E144" s="226">
        <v>34351</v>
      </c>
      <c r="F144" s="226"/>
      <c r="G144" s="225">
        <v>8796</v>
      </c>
      <c r="H144" s="226"/>
      <c r="I144" s="211"/>
      <c r="J144" s="226">
        <v>0</v>
      </c>
      <c r="K144" s="252">
        <v>0</v>
      </c>
      <c r="L144" s="226">
        <v>83264</v>
      </c>
      <c r="M144" s="227">
        <v>2932</v>
      </c>
      <c r="N144" s="227">
        <f t="shared" si="2"/>
        <v>86196</v>
      </c>
    </row>
    <row r="145" spans="1:14" ht="15">
      <c r="A145" s="209">
        <v>34000</v>
      </c>
      <c r="B145" s="250" t="s">
        <v>358</v>
      </c>
      <c r="C145" s="225">
        <v>-71370</v>
      </c>
      <c r="D145" s="226">
        <v>19568</v>
      </c>
      <c r="E145" s="226">
        <v>15644</v>
      </c>
      <c r="F145" s="226"/>
      <c r="G145" s="225">
        <v>0</v>
      </c>
      <c r="H145" s="226"/>
      <c r="I145" s="211"/>
      <c r="J145" s="226">
        <v>0</v>
      </c>
      <c r="K145" s="252">
        <v>3176</v>
      </c>
      <c r="L145" s="226">
        <v>37919</v>
      </c>
      <c r="M145" s="227">
        <v>-1059</v>
      </c>
      <c r="N145" s="227">
        <f t="shared" si="2"/>
        <v>36860</v>
      </c>
    </row>
    <row r="146" spans="1:14" ht="15">
      <c r="A146" s="209">
        <v>34100</v>
      </c>
      <c r="B146" s="250" t="s">
        <v>359</v>
      </c>
      <c r="C146" s="225">
        <v>-1598031</v>
      </c>
      <c r="D146" s="226">
        <v>438151</v>
      </c>
      <c r="E146" s="226">
        <v>350275</v>
      </c>
      <c r="F146" s="226"/>
      <c r="G146" s="225">
        <v>0</v>
      </c>
      <c r="H146" s="226"/>
      <c r="I146" s="211"/>
      <c r="J146" s="226">
        <v>0</v>
      </c>
      <c r="K146" s="252">
        <v>45358</v>
      </c>
      <c r="L146" s="226">
        <v>849033</v>
      </c>
      <c r="M146" s="227">
        <v>-15119</v>
      </c>
      <c r="N146" s="227">
        <f t="shared" si="2"/>
        <v>833914</v>
      </c>
    </row>
    <row r="147" spans="1:14" ht="15">
      <c r="A147" s="209">
        <v>34105</v>
      </c>
      <c r="B147" s="250" t="s">
        <v>75</v>
      </c>
      <c r="C147" s="225">
        <v>-135735</v>
      </c>
      <c r="D147" s="226">
        <v>37216</v>
      </c>
      <c r="E147" s="226">
        <v>29752</v>
      </c>
      <c r="F147" s="226"/>
      <c r="G147" s="225">
        <v>7004</v>
      </c>
      <c r="H147" s="226"/>
      <c r="I147" s="211"/>
      <c r="J147" s="226">
        <v>0</v>
      </c>
      <c r="K147" s="252">
        <v>0</v>
      </c>
      <c r="L147" s="226">
        <v>72116</v>
      </c>
      <c r="M147" s="227">
        <v>2335</v>
      </c>
      <c r="N147" s="227">
        <f t="shared" si="2"/>
        <v>74451</v>
      </c>
    </row>
    <row r="148" spans="1:14" ht="15">
      <c r="A148" s="251">
        <v>34200</v>
      </c>
      <c r="B148" s="212" t="s">
        <v>360</v>
      </c>
      <c r="C148" s="220">
        <v>-51066</v>
      </c>
      <c r="D148" s="221">
        <v>14001</v>
      </c>
      <c r="E148" s="221">
        <v>11193</v>
      </c>
      <c r="F148" s="221"/>
      <c r="G148" s="220">
        <v>10049</v>
      </c>
      <c r="H148" s="221"/>
      <c r="I148" s="213"/>
      <c r="J148" s="221">
        <v>0</v>
      </c>
      <c r="K148" s="253">
        <v>0</v>
      </c>
      <c r="L148" s="221">
        <v>27131</v>
      </c>
      <c r="M148" s="222">
        <v>3350</v>
      </c>
      <c r="N148" s="227">
        <f t="shared" si="2"/>
        <v>30481</v>
      </c>
    </row>
    <row r="149" spans="1:14" ht="15">
      <c r="A149" s="251">
        <v>34205</v>
      </c>
      <c r="B149" s="212" t="s">
        <v>76</v>
      </c>
      <c r="C149" s="220">
        <v>-24552</v>
      </c>
      <c r="D149" s="221">
        <v>6732</v>
      </c>
      <c r="E149" s="221">
        <v>5382</v>
      </c>
      <c r="F149" s="221"/>
      <c r="G149" s="220">
        <v>1848</v>
      </c>
      <c r="H149" s="221"/>
      <c r="I149" s="213"/>
      <c r="J149" s="221">
        <v>0</v>
      </c>
      <c r="K149" s="253">
        <v>0</v>
      </c>
      <c r="L149" s="221">
        <v>13044</v>
      </c>
      <c r="M149" s="222">
        <v>616</v>
      </c>
      <c r="N149" s="227">
        <f t="shared" si="2"/>
        <v>13660</v>
      </c>
    </row>
    <row r="150" spans="1:14" ht="15">
      <c r="A150" s="251">
        <v>34220</v>
      </c>
      <c r="B150" s="212" t="s">
        <v>361</v>
      </c>
      <c r="C150" s="220">
        <v>-58015</v>
      </c>
      <c r="D150" s="221">
        <v>15907</v>
      </c>
      <c r="E150" s="221">
        <v>12716</v>
      </c>
      <c r="F150" s="221"/>
      <c r="G150" s="220">
        <v>1634</v>
      </c>
      <c r="H150" s="221"/>
      <c r="I150" s="213"/>
      <c r="J150" s="221">
        <v>0</v>
      </c>
      <c r="K150" s="253">
        <v>0</v>
      </c>
      <c r="L150" s="221">
        <v>30823</v>
      </c>
      <c r="M150" s="222">
        <v>545</v>
      </c>
      <c r="N150" s="227">
        <f t="shared" si="2"/>
        <v>31368</v>
      </c>
    </row>
    <row r="151" spans="1:14" ht="15">
      <c r="A151" s="251">
        <v>34230</v>
      </c>
      <c r="B151" s="212" t="s">
        <v>362</v>
      </c>
      <c r="C151" s="220">
        <v>-23385</v>
      </c>
      <c r="D151" s="221">
        <v>6412</v>
      </c>
      <c r="E151" s="221">
        <v>5126</v>
      </c>
      <c r="F151" s="221"/>
      <c r="G151" s="220">
        <v>2801</v>
      </c>
      <c r="H151" s="221"/>
      <c r="I151" s="214"/>
      <c r="J151" s="221">
        <v>0</v>
      </c>
      <c r="K151" s="253">
        <v>0</v>
      </c>
      <c r="L151" s="221">
        <v>12424</v>
      </c>
      <c r="M151" s="222">
        <v>934</v>
      </c>
      <c r="N151" s="227">
        <f t="shared" si="2"/>
        <v>13358</v>
      </c>
    </row>
    <row r="152" spans="1:14" ht="15">
      <c r="A152" s="251">
        <v>34300</v>
      </c>
      <c r="B152" s="212" t="s">
        <v>363</v>
      </c>
      <c r="C152" s="220">
        <v>-389072</v>
      </c>
      <c r="D152" s="221">
        <v>106676</v>
      </c>
      <c r="E152" s="221">
        <v>85281</v>
      </c>
      <c r="F152" s="221"/>
      <c r="G152" s="220">
        <v>0</v>
      </c>
      <c r="H152" s="221"/>
      <c r="I152" s="213"/>
      <c r="J152" s="221">
        <v>0</v>
      </c>
      <c r="K152" s="253">
        <v>20484</v>
      </c>
      <c r="L152" s="221">
        <v>206713</v>
      </c>
      <c r="M152" s="222">
        <v>-6828</v>
      </c>
      <c r="N152" s="227">
        <f t="shared" si="2"/>
        <v>199885</v>
      </c>
    </row>
    <row r="153" spans="1:14" ht="15">
      <c r="A153" s="251">
        <v>34400</v>
      </c>
      <c r="B153" s="212" t="s">
        <v>364</v>
      </c>
      <c r="C153" s="220">
        <v>-152488</v>
      </c>
      <c r="D153" s="221">
        <v>41810</v>
      </c>
      <c r="E153" s="221">
        <v>33424</v>
      </c>
      <c r="F153" s="221"/>
      <c r="G153" s="220">
        <v>3609</v>
      </c>
      <c r="H153" s="221"/>
      <c r="I153" s="213"/>
      <c r="J153" s="221">
        <v>0</v>
      </c>
      <c r="K153" s="253">
        <v>0</v>
      </c>
      <c r="L153" s="221">
        <v>81017</v>
      </c>
      <c r="M153" s="222">
        <v>1203</v>
      </c>
      <c r="N153" s="227">
        <f t="shared" si="2"/>
        <v>82220</v>
      </c>
    </row>
    <row r="154" spans="1:14" ht="15">
      <c r="A154" s="209">
        <v>34405</v>
      </c>
      <c r="B154" s="250" t="s">
        <v>77</v>
      </c>
      <c r="C154" s="225">
        <v>-30358</v>
      </c>
      <c r="D154" s="226">
        <v>8324</v>
      </c>
      <c r="E154" s="226">
        <v>6654</v>
      </c>
      <c r="F154" s="226"/>
      <c r="G154" s="225">
        <v>2126</v>
      </c>
      <c r="H154" s="226"/>
      <c r="I154" s="210"/>
      <c r="J154" s="226">
        <v>0</v>
      </c>
      <c r="K154" s="252">
        <v>0</v>
      </c>
      <c r="L154" s="226">
        <v>16129</v>
      </c>
      <c r="M154" s="227">
        <v>709</v>
      </c>
      <c r="N154" s="227">
        <f t="shared" si="2"/>
        <v>16838</v>
      </c>
    </row>
    <row r="155" spans="1:14" ht="15">
      <c r="A155" s="209">
        <v>34500</v>
      </c>
      <c r="B155" s="250" t="s">
        <v>365</v>
      </c>
      <c r="C155" s="225">
        <v>-274551</v>
      </c>
      <c r="D155" s="226">
        <v>75277</v>
      </c>
      <c r="E155" s="226">
        <v>60179</v>
      </c>
      <c r="F155" s="226"/>
      <c r="G155" s="225">
        <v>0</v>
      </c>
      <c r="H155" s="226"/>
      <c r="I155" s="211"/>
      <c r="J155" s="226">
        <v>0</v>
      </c>
      <c r="K155" s="252">
        <v>3451</v>
      </c>
      <c r="L155" s="226">
        <v>145869</v>
      </c>
      <c r="M155" s="227">
        <v>-1150</v>
      </c>
      <c r="N155" s="227">
        <f t="shared" si="2"/>
        <v>144719</v>
      </c>
    </row>
    <row r="156" spans="1:14" ht="15">
      <c r="A156" s="209">
        <v>34501</v>
      </c>
      <c r="B156" s="250" t="s">
        <v>366</v>
      </c>
      <c r="C156" s="225">
        <v>-3380</v>
      </c>
      <c r="D156" s="226">
        <v>927</v>
      </c>
      <c r="E156" s="226">
        <v>741</v>
      </c>
      <c r="F156" s="226"/>
      <c r="G156" s="225">
        <v>0</v>
      </c>
      <c r="H156" s="226"/>
      <c r="I156" s="211"/>
      <c r="J156" s="226">
        <v>0</v>
      </c>
      <c r="K156" s="252">
        <v>232</v>
      </c>
      <c r="L156" s="226">
        <v>1796</v>
      </c>
      <c r="M156" s="227">
        <v>-77</v>
      </c>
      <c r="N156" s="227">
        <f t="shared" si="2"/>
        <v>1719</v>
      </c>
    </row>
    <row r="157" spans="1:14" ht="15">
      <c r="A157" s="209">
        <v>34505</v>
      </c>
      <c r="B157" s="250" t="s">
        <v>78</v>
      </c>
      <c r="C157" s="225">
        <v>-35285</v>
      </c>
      <c r="D157" s="226">
        <v>9674</v>
      </c>
      <c r="E157" s="226">
        <v>7734</v>
      </c>
      <c r="F157" s="226"/>
      <c r="G157" s="225">
        <v>1715</v>
      </c>
      <c r="H157" s="226"/>
      <c r="I157" s="211"/>
      <c r="J157" s="226">
        <v>0</v>
      </c>
      <c r="K157" s="252">
        <v>0</v>
      </c>
      <c r="L157" s="226">
        <v>18747</v>
      </c>
      <c r="M157" s="227">
        <v>572</v>
      </c>
      <c r="N157" s="227">
        <f t="shared" si="2"/>
        <v>19319</v>
      </c>
    </row>
    <row r="158" spans="1:14" ht="15">
      <c r="A158" s="209">
        <v>34600</v>
      </c>
      <c r="B158" s="250" t="s">
        <v>367</v>
      </c>
      <c r="C158" s="225">
        <v>-65160</v>
      </c>
      <c r="D158" s="226">
        <v>17866</v>
      </c>
      <c r="E158" s="226">
        <v>14283</v>
      </c>
      <c r="F158" s="226"/>
      <c r="G158" s="225">
        <v>2053</v>
      </c>
      <c r="H158" s="226"/>
      <c r="I158" s="211"/>
      <c r="J158" s="226">
        <v>0</v>
      </c>
      <c r="K158" s="252">
        <v>0</v>
      </c>
      <c r="L158" s="226">
        <v>34619</v>
      </c>
      <c r="M158" s="227">
        <v>684</v>
      </c>
      <c r="N158" s="227">
        <f t="shared" si="2"/>
        <v>35303</v>
      </c>
    </row>
    <row r="159" spans="1:14" ht="15">
      <c r="A159" s="209">
        <v>34605</v>
      </c>
      <c r="B159" s="250" t="s">
        <v>79</v>
      </c>
      <c r="C159" s="225">
        <v>-13373</v>
      </c>
      <c r="D159" s="226">
        <v>3667</v>
      </c>
      <c r="E159" s="226">
        <v>2931</v>
      </c>
      <c r="F159" s="226"/>
      <c r="G159" s="225">
        <v>1845</v>
      </c>
      <c r="H159" s="226"/>
      <c r="I159" s="211"/>
      <c r="J159" s="226">
        <v>0</v>
      </c>
      <c r="K159" s="252">
        <v>0</v>
      </c>
      <c r="L159" s="226">
        <v>7105</v>
      </c>
      <c r="M159" s="227">
        <v>615</v>
      </c>
      <c r="N159" s="227">
        <f t="shared" si="2"/>
        <v>7720</v>
      </c>
    </row>
    <row r="160" spans="1:14" ht="15">
      <c r="A160" s="209">
        <v>34700</v>
      </c>
      <c r="B160" s="250" t="s">
        <v>368</v>
      </c>
      <c r="C160" s="225">
        <v>-182547</v>
      </c>
      <c r="D160" s="226">
        <v>50051</v>
      </c>
      <c r="E160" s="226">
        <v>40013</v>
      </c>
      <c r="F160" s="226"/>
      <c r="G160" s="225">
        <v>0</v>
      </c>
      <c r="H160" s="226"/>
      <c r="I160" s="210"/>
      <c r="J160" s="226">
        <v>0</v>
      </c>
      <c r="K160" s="252">
        <v>15164</v>
      </c>
      <c r="L160" s="226">
        <v>96987</v>
      </c>
      <c r="M160" s="227">
        <v>-5055</v>
      </c>
      <c r="N160" s="227">
        <f t="shared" si="2"/>
        <v>91932</v>
      </c>
    </row>
    <row r="161" spans="1:14" ht="15">
      <c r="A161" s="209">
        <v>34800</v>
      </c>
      <c r="B161" s="250" t="s">
        <v>369</v>
      </c>
      <c r="C161" s="225">
        <v>-20115</v>
      </c>
      <c r="D161" s="226">
        <v>5515</v>
      </c>
      <c r="E161" s="226">
        <v>4409</v>
      </c>
      <c r="F161" s="226"/>
      <c r="G161" s="225">
        <v>836</v>
      </c>
      <c r="H161" s="226"/>
      <c r="I161" s="211"/>
      <c r="J161" s="226">
        <v>0</v>
      </c>
      <c r="K161" s="252">
        <v>0</v>
      </c>
      <c r="L161" s="226">
        <v>10687</v>
      </c>
      <c r="M161" s="227">
        <v>279</v>
      </c>
      <c r="N161" s="227">
        <f t="shared" si="2"/>
        <v>10966</v>
      </c>
    </row>
    <row r="162" spans="1:14" ht="15">
      <c r="A162" s="209">
        <v>34900</v>
      </c>
      <c r="B162" s="250" t="s">
        <v>370</v>
      </c>
      <c r="C162" s="225">
        <v>-393283</v>
      </c>
      <c r="D162" s="226">
        <v>107831</v>
      </c>
      <c r="E162" s="226">
        <v>86204</v>
      </c>
      <c r="F162" s="226"/>
      <c r="G162" s="225">
        <v>0</v>
      </c>
      <c r="H162" s="226"/>
      <c r="I162" s="211"/>
      <c r="J162" s="226">
        <v>0</v>
      </c>
      <c r="K162" s="252">
        <v>527</v>
      </c>
      <c r="L162" s="226">
        <v>208951</v>
      </c>
      <c r="M162" s="227">
        <v>-176</v>
      </c>
      <c r="N162" s="227">
        <f t="shared" si="2"/>
        <v>208775</v>
      </c>
    </row>
    <row r="163" spans="1:14" ht="15">
      <c r="A163" s="209">
        <v>34901</v>
      </c>
      <c r="B163" s="250" t="s">
        <v>509</v>
      </c>
      <c r="C163" s="225">
        <v>-9736</v>
      </c>
      <c r="D163" s="226">
        <v>2670</v>
      </c>
      <c r="E163" s="226">
        <v>2134</v>
      </c>
      <c r="F163" s="226"/>
      <c r="G163" s="225">
        <v>0</v>
      </c>
      <c r="H163" s="226"/>
      <c r="I163" s="211"/>
      <c r="J163" s="226">
        <v>0</v>
      </c>
      <c r="K163" s="252">
        <v>656</v>
      </c>
      <c r="L163" s="226">
        <v>5173</v>
      </c>
      <c r="M163" s="227">
        <v>-219</v>
      </c>
      <c r="N163" s="227">
        <f t="shared" si="2"/>
        <v>4954</v>
      </c>
    </row>
    <row r="164" spans="1:14" ht="15">
      <c r="A164" s="209">
        <v>34903</v>
      </c>
      <c r="B164" s="250" t="s">
        <v>372</v>
      </c>
      <c r="C164" s="225">
        <v>-617</v>
      </c>
      <c r="D164" s="226">
        <v>169</v>
      </c>
      <c r="E164" s="226">
        <v>135</v>
      </c>
      <c r="F164" s="226"/>
      <c r="G164" s="225">
        <v>306</v>
      </c>
      <c r="H164" s="226"/>
      <c r="I164" s="211"/>
      <c r="J164" s="226">
        <v>0</v>
      </c>
      <c r="K164" s="252">
        <v>0</v>
      </c>
      <c r="L164" s="226">
        <v>328</v>
      </c>
      <c r="M164" s="227">
        <v>102</v>
      </c>
      <c r="N164" s="227">
        <f t="shared" si="2"/>
        <v>430</v>
      </c>
    </row>
    <row r="165" spans="1:14" ht="15">
      <c r="A165" s="209">
        <v>34905</v>
      </c>
      <c r="B165" s="250" t="s">
        <v>80</v>
      </c>
      <c r="C165" s="225">
        <v>-38946</v>
      </c>
      <c r="D165" s="226">
        <v>10678</v>
      </c>
      <c r="E165" s="226">
        <v>8537</v>
      </c>
      <c r="F165" s="226"/>
      <c r="G165" s="225">
        <v>375</v>
      </c>
      <c r="H165" s="226"/>
      <c r="I165" s="211"/>
      <c r="J165" s="226">
        <v>0</v>
      </c>
      <c r="K165" s="252">
        <v>0</v>
      </c>
      <c r="L165" s="226">
        <v>20692</v>
      </c>
      <c r="M165" s="227">
        <v>125</v>
      </c>
      <c r="N165" s="227">
        <f t="shared" si="2"/>
        <v>20817</v>
      </c>
    </row>
    <row r="166" spans="1:14" ht="15">
      <c r="A166" s="251">
        <v>34910</v>
      </c>
      <c r="B166" s="212" t="s">
        <v>373</v>
      </c>
      <c r="C166" s="220">
        <v>-123230</v>
      </c>
      <c r="D166" s="221">
        <v>33787</v>
      </c>
      <c r="E166" s="221">
        <v>27011</v>
      </c>
      <c r="F166" s="221"/>
      <c r="G166" s="220">
        <v>0</v>
      </c>
      <c r="H166" s="221"/>
      <c r="I166" s="213"/>
      <c r="J166" s="221">
        <v>0</v>
      </c>
      <c r="K166" s="253">
        <v>4671</v>
      </c>
      <c r="L166" s="221">
        <v>65472</v>
      </c>
      <c r="M166" s="222">
        <v>-1557</v>
      </c>
      <c r="N166" s="227">
        <f t="shared" si="2"/>
        <v>63915</v>
      </c>
    </row>
    <row r="167" spans="1:14" ht="15">
      <c r="A167" s="251">
        <v>35000</v>
      </c>
      <c r="B167" s="212" t="s">
        <v>374</v>
      </c>
      <c r="C167" s="220">
        <v>-81980</v>
      </c>
      <c r="D167" s="221">
        <v>22478</v>
      </c>
      <c r="E167" s="221">
        <v>17969</v>
      </c>
      <c r="F167" s="221"/>
      <c r="G167" s="220">
        <v>0</v>
      </c>
      <c r="H167" s="221"/>
      <c r="I167" s="213"/>
      <c r="J167" s="221">
        <v>0</v>
      </c>
      <c r="K167" s="253">
        <v>863</v>
      </c>
      <c r="L167" s="221">
        <v>43556</v>
      </c>
      <c r="M167" s="222">
        <v>-288</v>
      </c>
      <c r="N167" s="227">
        <f t="shared" si="2"/>
        <v>43268</v>
      </c>
    </row>
    <row r="168" spans="1:14" ht="15">
      <c r="A168" s="251">
        <v>35005</v>
      </c>
      <c r="B168" s="212" t="s">
        <v>81</v>
      </c>
      <c r="C168" s="220">
        <v>-37412</v>
      </c>
      <c r="D168" s="221">
        <v>10258</v>
      </c>
      <c r="E168" s="221">
        <v>8200</v>
      </c>
      <c r="F168" s="221"/>
      <c r="G168" s="220">
        <v>1584</v>
      </c>
      <c r="H168" s="221"/>
      <c r="I168" s="213"/>
      <c r="J168" s="221">
        <v>0</v>
      </c>
      <c r="K168" s="253">
        <v>0</v>
      </c>
      <c r="L168" s="221">
        <v>19877</v>
      </c>
      <c r="M168" s="222">
        <v>528</v>
      </c>
      <c r="N168" s="227">
        <f t="shared" si="2"/>
        <v>20405</v>
      </c>
    </row>
    <row r="169" spans="1:14" ht="15">
      <c r="A169" s="251">
        <v>35100</v>
      </c>
      <c r="B169" s="212" t="s">
        <v>375</v>
      </c>
      <c r="C169" s="220">
        <v>-720263</v>
      </c>
      <c r="D169" s="221">
        <v>197483</v>
      </c>
      <c r="E169" s="221">
        <v>157876</v>
      </c>
      <c r="F169" s="221"/>
      <c r="G169" s="220">
        <v>0</v>
      </c>
      <c r="H169" s="221"/>
      <c r="I169" s="214"/>
      <c r="J169" s="221">
        <v>0</v>
      </c>
      <c r="K169" s="253">
        <v>52780</v>
      </c>
      <c r="L169" s="221">
        <v>382675</v>
      </c>
      <c r="M169" s="222">
        <v>-17593</v>
      </c>
      <c r="N169" s="227">
        <f t="shared" si="2"/>
        <v>365082</v>
      </c>
    </row>
    <row r="170" spans="1:14" ht="15">
      <c r="A170" s="251">
        <v>35105</v>
      </c>
      <c r="B170" s="212" t="s">
        <v>82</v>
      </c>
      <c r="C170" s="220">
        <v>-62251</v>
      </c>
      <c r="D170" s="221">
        <v>17068</v>
      </c>
      <c r="E170" s="221">
        <v>13645</v>
      </c>
      <c r="F170" s="221"/>
      <c r="G170" s="220">
        <v>0</v>
      </c>
      <c r="H170" s="221"/>
      <c r="I170" s="213"/>
      <c r="J170" s="221">
        <v>0</v>
      </c>
      <c r="K170" s="253">
        <v>23</v>
      </c>
      <c r="L170" s="221">
        <v>33074</v>
      </c>
      <c r="M170" s="222">
        <v>-8</v>
      </c>
      <c r="N170" s="227">
        <f t="shared" si="2"/>
        <v>33066</v>
      </c>
    </row>
    <row r="171" spans="1:14" ht="15">
      <c r="A171" s="251">
        <v>35106</v>
      </c>
      <c r="B171" s="212" t="s">
        <v>376</v>
      </c>
      <c r="C171" s="220">
        <v>-15628</v>
      </c>
      <c r="D171" s="221">
        <v>4285</v>
      </c>
      <c r="E171" s="221">
        <v>3426</v>
      </c>
      <c r="F171" s="221"/>
      <c r="G171" s="220">
        <v>0</v>
      </c>
      <c r="H171" s="221"/>
      <c r="I171" s="213"/>
      <c r="J171" s="221">
        <v>0</v>
      </c>
      <c r="K171" s="253">
        <v>1284</v>
      </c>
      <c r="L171" s="221">
        <v>8303</v>
      </c>
      <c r="M171" s="222">
        <v>-428</v>
      </c>
      <c r="N171" s="227">
        <f t="shared" si="2"/>
        <v>7875</v>
      </c>
    </row>
    <row r="172" spans="1:14" ht="15">
      <c r="A172" s="209">
        <v>35200</v>
      </c>
      <c r="B172" s="250" t="s">
        <v>377</v>
      </c>
      <c r="C172" s="225">
        <v>-29863</v>
      </c>
      <c r="D172" s="226">
        <v>8188</v>
      </c>
      <c r="E172" s="226">
        <v>6546</v>
      </c>
      <c r="F172" s="226"/>
      <c r="G172" s="225">
        <v>2640</v>
      </c>
      <c r="H172" s="226"/>
      <c r="I172" s="210"/>
      <c r="J172" s="226">
        <v>0</v>
      </c>
      <c r="K172" s="252">
        <v>0</v>
      </c>
      <c r="L172" s="226">
        <v>15866</v>
      </c>
      <c r="M172" s="227">
        <v>880</v>
      </c>
      <c r="N172" s="227">
        <f t="shared" si="2"/>
        <v>16746</v>
      </c>
    </row>
    <row r="173" spans="1:14" ht="15">
      <c r="A173" s="209">
        <v>35300</v>
      </c>
      <c r="B173" s="250" t="s">
        <v>510</v>
      </c>
      <c r="C173" s="225">
        <v>-221474</v>
      </c>
      <c r="D173" s="226">
        <v>60724</v>
      </c>
      <c r="E173" s="226">
        <v>48545</v>
      </c>
      <c r="F173" s="226"/>
      <c r="G173" s="225">
        <v>0</v>
      </c>
      <c r="H173" s="226"/>
      <c r="I173" s="211"/>
      <c r="J173" s="226">
        <v>0</v>
      </c>
      <c r="K173" s="252">
        <v>21556</v>
      </c>
      <c r="L173" s="226">
        <v>117669</v>
      </c>
      <c r="M173" s="227">
        <v>-7185</v>
      </c>
      <c r="N173" s="227">
        <f t="shared" si="2"/>
        <v>110484</v>
      </c>
    </row>
    <row r="174" spans="1:14" ht="15">
      <c r="A174" s="209">
        <v>35305</v>
      </c>
      <c r="B174" s="250" t="s">
        <v>83</v>
      </c>
      <c r="C174" s="225">
        <v>-76290</v>
      </c>
      <c r="D174" s="226">
        <v>20917</v>
      </c>
      <c r="E174" s="226">
        <v>16722</v>
      </c>
      <c r="F174" s="226"/>
      <c r="G174" s="225">
        <v>2452</v>
      </c>
      <c r="H174" s="226"/>
      <c r="I174" s="211"/>
      <c r="J174" s="226">
        <v>0</v>
      </c>
      <c r="K174" s="252">
        <v>0</v>
      </c>
      <c r="L174" s="226">
        <v>40533</v>
      </c>
      <c r="M174" s="227">
        <v>817</v>
      </c>
      <c r="N174" s="227">
        <f t="shared" si="2"/>
        <v>41350</v>
      </c>
    </row>
    <row r="175" spans="1:14" ht="15">
      <c r="A175" s="209">
        <v>35400</v>
      </c>
      <c r="B175" s="250" t="s">
        <v>379</v>
      </c>
      <c r="C175" s="225">
        <v>-159205</v>
      </c>
      <c r="D175" s="226">
        <v>43651</v>
      </c>
      <c r="E175" s="226">
        <v>34897</v>
      </c>
      <c r="F175" s="226"/>
      <c r="G175" s="225">
        <v>8977</v>
      </c>
      <c r="H175" s="226"/>
      <c r="I175" s="211"/>
      <c r="J175" s="226">
        <v>0</v>
      </c>
      <c r="K175" s="252">
        <v>0</v>
      </c>
      <c r="L175" s="226">
        <v>84586</v>
      </c>
      <c r="M175" s="227">
        <v>2992</v>
      </c>
      <c r="N175" s="227">
        <f t="shared" si="2"/>
        <v>87578</v>
      </c>
    </row>
    <row r="176" spans="1:14" ht="15">
      <c r="A176" s="209">
        <v>35401</v>
      </c>
      <c r="B176" s="250" t="s">
        <v>380</v>
      </c>
      <c r="C176" s="225">
        <v>-1986</v>
      </c>
      <c r="D176" s="226">
        <v>545</v>
      </c>
      <c r="E176" s="226">
        <v>435</v>
      </c>
      <c r="F176" s="226"/>
      <c r="G176" s="225">
        <v>0</v>
      </c>
      <c r="H176" s="226"/>
      <c r="I176" s="211"/>
      <c r="J176" s="226">
        <v>0</v>
      </c>
      <c r="K176" s="252">
        <v>587</v>
      </c>
      <c r="L176" s="226">
        <v>1055</v>
      </c>
      <c r="M176" s="227">
        <v>-196</v>
      </c>
      <c r="N176" s="227">
        <f t="shared" si="2"/>
        <v>859</v>
      </c>
    </row>
    <row r="177" spans="1:14" ht="15">
      <c r="A177" s="209">
        <v>35405</v>
      </c>
      <c r="B177" s="250" t="s">
        <v>84</v>
      </c>
      <c r="C177" s="225">
        <v>-56218</v>
      </c>
      <c r="D177" s="226">
        <v>15414</v>
      </c>
      <c r="E177" s="226">
        <v>12323</v>
      </c>
      <c r="F177" s="226"/>
      <c r="G177" s="225">
        <v>739</v>
      </c>
      <c r="H177" s="226"/>
      <c r="I177" s="211"/>
      <c r="J177" s="226">
        <v>0</v>
      </c>
      <c r="K177" s="252">
        <v>0</v>
      </c>
      <c r="L177" s="226">
        <v>29869</v>
      </c>
      <c r="M177" s="227">
        <v>246</v>
      </c>
      <c r="N177" s="227">
        <f t="shared" si="2"/>
        <v>30115</v>
      </c>
    </row>
    <row r="178" spans="1:14" ht="15">
      <c r="A178" s="251">
        <v>35500</v>
      </c>
      <c r="B178" s="212" t="s">
        <v>381</v>
      </c>
      <c r="C178" s="220">
        <v>-220857</v>
      </c>
      <c r="D178" s="221">
        <v>60555</v>
      </c>
      <c r="E178" s="221">
        <v>48410</v>
      </c>
      <c r="F178" s="221"/>
      <c r="G178" s="220">
        <v>5142</v>
      </c>
      <c r="H178" s="221"/>
      <c r="I178" s="213"/>
      <c r="J178" s="221">
        <v>0</v>
      </c>
      <c r="K178" s="253">
        <v>0</v>
      </c>
      <c r="L178" s="221">
        <v>117341</v>
      </c>
      <c r="M178" s="222">
        <v>1714</v>
      </c>
      <c r="N178" s="227">
        <f t="shared" si="2"/>
        <v>119055</v>
      </c>
    </row>
    <row r="179" spans="1:14" ht="15">
      <c r="A179" s="251">
        <v>35600</v>
      </c>
      <c r="B179" s="212" t="s">
        <v>382</v>
      </c>
      <c r="C179" s="220">
        <v>-93776</v>
      </c>
      <c r="D179" s="221">
        <v>25712</v>
      </c>
      <c r="E179" s="221">
        <v>20555</v>
      </c>
      <c r="F179" s="221"/>
      <c r="G179" s="220">
        <v>0</v>
      </c>
      <c r="H179" s="221"/>
      <c r="I179" s="213"/>
      <c r="J179" s="221">
        <v>0</v>
      </c>
      <c r="K179" s="253">
        <v>1590</v>
      </c>
      <c r="L179" s="221">
        <v>49823</v>
      </c>
      <c r="M179" s="222">
        <v>-530</v>
      </c>
      <c r="N179" s="227">
        <f t="shared" si="2"/>
        <v>49293</v>
      </c>
    </row>
    <row r="180" spans="1:14" ht="15">
      <c r="A180" s="251">
        <v>35700</v>
      </c>
      <c r="B180" s="212" t="s">
        <v>383</v>
      </c>
      <c r="C180" s="220">
        <v>-50876</v>
      </c>
      <c r="D180" s="221">
        <v>13949</v>
      </c>
      <c r="E180" s="221">
        <v>11152</v>
      </c>
      <c r="F180" s="221"/>
      <c r="G180" s="220">
        <v>819</v>
      </c>
      <c r="H180" s="221"/>
      <c r="I180" s="213"/>
      <c r="J180" s="221">
        <v>0</v>
      </c>
      <c r="K180" s="253">
        <v>0</v>
      </c>
      <c r="L180" s="221">
        <v>27031</v>
      </c>
      <c r="M180" s="222">
        <v>273</v>
      </c>
      <c r="N180" s="227">
        <f t="shared" si="2"/>
        <v>27304</v>
      </c>
    </row>
    <row r="181" spans="1:14" ht="15">
      <c r="A181" s="251">
        <v>35800</v>
      </c>
      <c r="B181" s="212" t="s">
        <v>384</v>
      </c>
      <c r="C181" s="220">
        <v>-71394</v>
      </c>
      <c r="D181" s="221">
        <v>19575</v>
      </c>
      <c r="E181" s="221">
        <v>15649</v>
      </c>
      <c r="F181" s="221"/>
      <c r="G181" s="220">
        <v>6576</v>
      </c>
      <c r="H181" s="221"/>
      <c r="I181" s="214"/>
      <c r="J181" s="221">
        <v>0</v>
      </c>
      <c r="K181" s="253">
        <v>0</v>
      </c>
      <c r="L181" s="221">
        <v>37932</v>
      </c>
      <c r="M181" s="222">
        <v>2192</v>
      </c>
      <c r="N181" s="227">
        <f t="shared" si="2"/>
        <v>40124</v>
      </c>
    </row>
    <row r="182" spans="1:14" ht="15">
      <c r="A182" s="251">
        <v>35805</v>
      </c>
      <c r="B182" s="212" t="s">
        <v>85</v>
      </c>
      <c r="C182" s="220">
        <v>-12878</v>
      </c>
      <c r="D182" s="221">
        <v>3531</v>
      </c>
      <c r="E182" s="221">
        <v>2823</v>
      </c>
      <c r="F182" s="221"/>
      <c r="G182" s="220">
        <v>1105</v>
      </c>
      <c r="H182" s="221"/>
      <c r="I182" s="213"/>
      <c r="J182" s="221">
        <v>0</v>
      </c>
      <c r="K182" s="253">
        <v>0</v>
      </c>
      <c r="L182" s="221">
        <v>6842</v>
      </c>
      <c r="M182" s="222">
        <v>368</v>
      </c>
      <c r="N182" s="227">
        <f t="shared" si="2"/>
        <v>7210</v>
      </c>
    </row>
    <row r="183" spans="1:14" ht="15">
      <c r="A183" s="251">
        <v>35900</v>
      </c>
      <c r="B183" s="212" t="s">
        <v>385</v>
      </c>
      <c r="C183" s="220">
        <v>-133657</v>
      </c>
      <c r="D183" s="221">
        <v>36646</v>
      </c>
      <c r="E183" s="221">
        <v>29297</v>
      </c>
      <c r="F183" s="221"/>
      <c r="G183" s="220">
        <v>2257</v>
      </c>
      <c r="H183" s="221"/>
      <c r="I183" s="213"/>
      <c r="J183" s="221">
        <v>0</v>
      </c>
      <c r="K183" s="253">
        <v>0</v>
      </c>
      <c r="L183" s="221">
        <v>71012</v>
      </c>
      <c r="M183" s="222">
        <v>752</v>
      </c>
      <c r="N183" s="227">
        <f t="shared" si="2"/>
        <v>71764</v>
      </c>
    </row>
    <row r="184" spans="1:14" ht="15">
      <c r="A184" s="209">
        <v>35905</v>
      </c>
      <c r="B184" s="250" t="s">
        <v>86</v>
      </c>
      <c r="C184" s="225">
        <v>-18391</v>
      </c>
      <c r="D184" s="226">
        <v>5042</v>
      </c>
      <c r="E184" s="226">
        <v>4031</v>
      </c>
      <c r="F184" s="226"/>
      <c r="G184" s="225">
        <v>3186</v>
      </c>
      <c r="H184" s="226"/>
      <c r="I184" s="210"/>
      <c r="J184" s="226">
        <v>0</v>
      </c>
      <c r="K184" s="252">
        <v>0</v>
      </c>
      <c r="L184" s="226">
        <v>9771</v>
      </c>
      <c r="M184" s="227">
        <v>1062</v>
      </c>
      <c r="N184" s="227">
        <f t="shared" si="2"/>
        <v>10833</v>
      </c>
    </row>
    <row r="185" spans="1:14" ht="15">
      <c r="A185" s="209">
        <v>36000</v>
      </c>
      <c r="B185" s="250" t="s">
        <v>386</v>
      </c>
      <c r="C185" s="225">
        <v>-3284375</v>
      </c>
      <c r="D185" s="226">
        <v>900516</v>
      </c>
      <c r="E185" s="226">
        <v>719908</v>
      </c>
      <c r="F185" s="226"/>
      <c r="G185" s="225">
        <v>0</v>
      </c>
      <c r="H185" s="226"/>
      <c r="I185" s="211"/>
      <c r="J185" s="226">
        <v>0</v>
      </c>
      <c r="K185" s="252">
        <v>273701</v>
      </c>
      <c r="L185" s="226">
        <v>1744985</v>
      </c>
      <c r="M185" s="227">
        <v>-91234</v>
      </c>
      <c r="N185" s="227">
        <f t="shared" si="2"/>
        <v>1653751</v>
      </c>
    </row>
    <row r="186" spans="1:14" ht="15">
      <c r="A186" s="209">
        <v>36001</v>
      </c>
      <c r="B186" s="250" t="s">
        <v>387</v>
      </c>
      <c r="C186" s="225">
        <v>-1589</v>
      </c>
      <c r="D186" s="226">
        <v>436</v>
      </c>
      <c r="E186" s="226">
        <v>348</v>
      </c>
      <c r="F186" s="226"/>
      <c r="G186" s="225">
        <v>233</v>
      </c>
      <c r="H186" s="226"/>
      <c r="I186" s="211"/>
      <c r="J186" s="226">
        <v>0</v>
      </c>
      <c r="K186" s="252">
        <v>0</v>
      </c>
      <c r="L186" s="226">
        <v>844</v>
      </c>
      <c r="M186" s="227">
        <v>78</v>
      </c>
      <c r="N186" s="227">
        <f t="shared" si="2"/>
        <v>922</v>
      </c>
    </row>
    <row r="187" spans="1:14" ht="15">
      <c r="A187" s="209">
        <v>36002</v>
      </c>
      <c r="B187" s="250" t="s">
        <v>511</v>
      </c>
      <c r="C187" s="225" t="s">
        <v>521</v>
      </c>
      <c r="D187" s="226" t="s">
        <v>522</v>
      </c>
      <c r="E187" s="226" t="s">
        <v>523</v>
      </c>
      <c r="F187" s="226"/>
      <c r="G187" s="225">
        <v>6064</v>
      </c>
      <c r="H187" s="226"/>
      <c r="I187" s="211"/>
      <c r="J187" s="226">
        <v>0</v>
      </c>
      <c r="K187" s="252">
        <v>0</v>
      </c>
      <c r="L187" s="226">
        <v>0</v>
      </c>
      <c r="M187" s="227">
        <v>2021</v>
      </c>
      <c r="N187" s="227">
        <f t="shared" si="2"/>
        <v>2021</v>
      </c>
    </row>
    <row r="188" spans="1:14" ht="15">
      <c r="A188" s="209">
        <v>36003</v>
      </c>
      <c r="B188" s="250" t="s">
        <v>388</v>
      </c>
      <c r="C188" s="225">
        <v>-23757</v>
      </c>
      <c r="D188" s="226">
        <v>6514</v>
      </c>
      <c r="E188" s="226">
        <v>5207</v>
      </c>
      <c r="F188" s="226"/>
      <c r="G188" s="225">
        <v>0</v>
      </c>
      <c r="H188" s="226"/>
      <c r="I188" s="211"/>
      <c r="J188" s="226">
        <v>0</v>
      </c>
      <c r="K188" s="252">
        <v>2758</v>
      </c>
      <c r="L188" s="226">
        <v>12622</v>
      </c>
      <c r="M188" s="227">
        <v>-919</v>
      </c>
      <c r="N188" s="227">
        <f t="shared" si="2"/>
        <v>11703</v>
      </c>
    </row>
    <row r="189" spans="1:14" ht="15">
      <c r="A189" s="209">
        <v>36004</v>
      </c>
      <c r="B189" s="250" t="s">
        <v>389</v>
      </c>
      <c r="C189" s="225">
        <v>-13465</v>
      </c>
      <c r="D189" s="226">
        <v>3692</v>
      </c>
      <c r="E189" s="226">
        <v>2951</v>
      </c>
      <c r="F189" s="226"/>
      <c r="G189" s="225">
        <v>0</v>
      </c>
      <c r="H189" s="226"/>
      <c r="I189" s="211"/>
      <c r="J189" s="226">
        <v>0</v>
      </c>
      <c r="K189" s="252">
        <v>3526</v>
      </c>
      <c r="L189" s="226">
        <v>7154</v>
      </c>
      <c r="M189" s="227">
        <v>-1175</v>
      </c>
      <c r="N189" s="227">
        <f t="shared" si="2"/>
        <v>5979</v>
      </c>
    </row>
    <row r="190" spans="1:14" ht="15">
      <c r="A190" s="251">
        <v>36005</v>
      </c>
      <c r="B190" s="212" t="s">
        <v>87</v>
      </c>
      <c r="C190" s="220">
        <v>-273708</v>
      </c>
      <c r="D190" s="221">
        <v>75046</v>
      </c>
      <c r="E190" s="221">
        <v>59994</v>
      </c>
      <c r="F190" s="221"/>
      <c r="G190" s="220">
        <v>2527</v>
      </c>
      <c r="H190" s="221"/>
      <c r="I190" s="213"/>
      <c r="J190" s="221">
        <v>0</v>
      </c>
      <c r="K190" s="253">
        <v>0</v>
      </c>
      <c r="L190" s="221">
        <v>145421</v>
      </c>
      <c r="M190" s="222">
        <v>842</v>
      </c>
      <c r="N190" s="227">
        <f t="shared" si="2"/>
        <v>146263</v>
      </c>
    </row>
    <row r="191" spans="1:14" ht="15">
      <c r="A191" s="251">
        <v>36006</v>
      </c>
      <c r="B191" s="212" t="s">
        <v>390</v>
      </c>
      <c r="C191" s="220">
        <v>-29949</v>
      </c>
      <c r="D191" s="221">
        <v>8211</v>
      </c>
      <c r="E191" s="221">
        <v>6565</v>
      </c>
      <c r="F191" s="221"/>
      <c r="G191" s="220">
        <v>0</v>
      </c>
      <c r="H191" s="221"/>
      <c r="I191" s="213"/>
      <c r="J191" s="221">
        <v>0</v>
      </c>
      <c r="K191" s="253">
        <v>4052</v>
      </c>
      <c r="L191" s="221">
        <v>15912</v>
      </c>
      <c r="M191" s="222">
        <v>-1351</v>
      </c>
      <c r="N191" s="227">
        <f t="shared" si="2"/>
        <v>14561</v>
      </c>
    </row>
    <row r="192" spans="1:14" ht="15">
      <c r="A192" s="251">
        <v>36007</v>
      </c>
      <c r="B192" s="212" t="s">
        <v>391</v>
      </c>
      <c r="C192" s="220">
        <v>-10617</v>
      </c>
      <c r="D192" s="221">
        <v>2911</v>
      </c>
      <c r="E192" s="221">
        <v>2327</v>
      </c>
      <c r="F192" s="221"/>
      <c r="G192" s="220">
        <v>0</v>
      </c>
      <c r="H192" s="221"/>
      <c r="I192" s="213"/>
      <c r="J192" s="221">
        <v>0</v>
      </c>
      <c r="K192" s="253">
        <v>1744</v>
      </c>
      <c r="L192" s="221">
        <v>5641</v>
      </c>
      <c r="M192" s="222">
        <v>-581</v>
      </c>
      <c r="N192" s="227">
        <f t="shared" si="2"/>
        <v>5060</v>
      </c>
    </row>
    <row r="193" spans="1:14" ht="15">
      <c r="A193" s="251">
        <v>36008</v>
      </c>
      <c r="B193" s="212" t="s">
        <v>392</v>
      </c>
      <c r="C193" s="220">
        <v>-33738</v>
      </c>
      <c r="D193" s="221">
        <v>9250</v>
      </c>
      <c r="E193" s="221">
        <v>7395</v>
      </c>
      <c r="F193" s="221"/>
      <c r="G193" s="220">
        <v>0</v>
      </c>
      <c r="H193" s="221"/>
      <c r="I193" s="214"/>
      <c r="J193" s="221">
        <v>0</v>
      </c>
      <c r="K193" s="253">
        <v>8453</v>
      </c>
      <c r="L193" s="221">
        <v>17925</v>
      </c>
      <c r="M193" s="222">
        <v>-2818</v>
      </c>
      <c r="N193" s="227">
        <f t="shared" si="2"/>
        <v>15107</v>
      </c>
    </row>
    <row r="194" spans="1:14" ht="15">
      <c r="A194" s="251">
        <v>36009</v>
      </c>
      <c r="B194" s="212" t="s">
        <v>393</v>
      </c>
      <c r="C194" s="220">
        <v>-8001</v>
      </c>
      <c r="D194" s="221">
        <v>2194</v>
      </c>
      <c r="E194" s="221">
        <v>1754</v>
      </c>
      <c r="F194" s="221"/>
      <c r="G194" s="220">
        <v>563</v>
      </c>
      <c r="H194" s="221"/>
      <c r="I194" s="213"/>
      <c r="J194" s="221">
        <v>0</v>
      </c>
      <c r="K194" s="253">
        <v>0</v>
      </c>
      <c r="L194" s="221">
        <v>4251</v>
      </c>
      <c r="M194" s="222">
        <v>188</v>
      </c>
      <c r="N194" s="227">
        <f t="shared" si="2"/>
        <v>4439</v>
      </c>
    </row>
    <row r="195" spans="1:14" ht="15">
      <c r="A195" s="251">
        <v>36100</v>
      </c>
      <c r="B195" s="212" t="s">
        <v>394</v>
      </c>
      <c r="C195" s="220">
        <v>-40027</v>
      </c>
      <c r="D195" s="221">
        <v>10975</v>
      </c>
      <c r="E195" s="221">
        <v>8774</v>
      </c>
      <c r="F195" s="221"/>
      <c r="G195" s="220">
        <v>2934</v>
      </c>
      <c r="H195" s="221"/>
      <c r="I195" s="213"/>
      <c r="J195" s="221">
        <v>0</v>
      </c>
      <c r="K195" s="253">
        <v>0</v>
      </c>
      <c r="L195" s="221">
        <v>21267</v>
      </c>
      <c r="M195" s="222">
        <v>978</v>
      </c>
      <c r="N195" s="227">
        <f t="shared" si="2"/>
        <v>22245</v>
      </c>
    </row>
    <row r="196" spans="1:14" ht="15">
      <c r="A196" s="209">
        <v>36102</v>
      </c>
      <c r="B196" s="250" t="s">
        <v>395</v>
      </c>
      <c r="C196" s="225">
        <v>-12248</v>
      </c>
      <c r="D196" s="226">
        <v>3358</v>
      </c>
      <c r="E196" s="226">
        <v>2685</v>
      </c>
      <c r="F196" s="226"/>
      <c r="G196" s="225">
        <v>0</v>
      </c>
      <c r="H196" s="226"/>
      <c r="I196" s="210"/>
      <c r="J196" s="226">
        <v>0</v>
      </c>
      <c r="K196" s="252">
        <v>4743</v>
      </c>
      <c r="L196" s="226">
        <v>6508</v>
      </c>
      <c r="M196" s="227">
        <v>-1581</v>
      </c>
      <c r="N196" s="227">
        <f t="shared" si="2"/>
        <v>4927</v>
      </c>
    </row>
    <row r="197" spans="1:14" ht="15">
      <c r="A197" s="209">
        <v>36105</v>
      </c>
      <c r="B197" s="250" t="s">
        <v>88</v>
      </c>
      <c r="C197" s="225">
        <v>-21850</v>
      </c>
      <c r="D197" s="226">
        <v>5991</v>
      </c>
      <c r="E197" s="226">
        <v>4789</v>
      </c>
      <c r="F197" s="226"/>
      <c r="G197" s="225">
        <v>1384</v>
      </c>
      <c r="H197" s="226"/>
      <c r="I197" s="211"/>
      <c r="J197" s="226">
        <v>0</v>
      </c>
      <c r="K197" s="252">
        <v>0</v>
      </c>
      <c r="L197" s="226">
        <v>11609</v>
      </c>
      <c r="M197" s="227">
        <v>461</v>
      </c>
      <c r="N197" s="227">
        <f t="shared" ref="N197:N260" si="3">SUM(L197+M197)</f>
        <v>12070</v>
      </c>
    </row>
    <row r="198" spans="1:14" ht="15">
      <c r="A198" s="209">
        <v>36200</v>
      </c>
      <c r="B198" s="250" t="s">
        <v>396</v>
      </c>
      <c r="C198" s="225">
        <v>-85183</v>
      </c>
      <c r="D198" s="226">
        <v>23356</v>
      </c>
      <c r="E198" s="226">
        <v>18671</v>
      </c>
      <c r="F198" s="226"/>
      <c r="G198" s="225">
        <v>3575</v>
      </c>
      <c r="H198" s="226"/>
      <c r="I198" s="211"/>
      <c r="J198" s="226">
        <v>0</v>
      </c>
      <c r="K198" s="252">
        <v>0</v>
      </c>
      <c r="L198" s="226">
        <v>45258</v>
      </c>
      <c r="M198" s="227">
        <v>1192</v>
      </c>
      <c r="N198" s="227">
        <f t="shared" si="3"/>
        <v>46450</v>
      </c>
    </row>
    <row r="199" spans="1:14" ht="15">
      <c r="A199" s="209">
        <v>36205</v>
      </c>
      <c r="B199" s="250" t="s">
        <v>89</v>
      </c>
      <c r="C199" s="225">
        <v>-15445</v>
      </c>
      <c r="D199" s="226">
        <v>4235</v>
      </c>
      <c r="E199" s="226">
        <v>3385</v>
      </c>
      <c r="F199" s="226"/>
      <c r="G199" s="225">
        <v>0</v>
      </c>
      <c r="H199" s="226"/>
      <c r="I199" s="211"/>
      <c r="J199" s="226">
        <v>0</v>
      </c>
      <c r="K199" s="252">
        <v>359</v>
      </c>
      <c r="L199" s="226">
        <v>8206</v>
      </c>
      <c r="M199" s="227">
        <v>-120</v>
      </c>
      <c r="N199" s="227">
        <f t="shared" si="3"/>
        <v>8086</v>
      </c>
    </row>
    <row r="200" spans="1:14" ht="15">
      <c r="A200" s="209">
        <v>36300</v>
      </c>
      <c r="B200" s="250" t="s">
        <v>397</v>
      </c>
      <c r="C200" s="225">
        <v>-273946</v>
      </c>
      <c r="D200" s="226">
        <v>75111</v>
      </c>
      <c r="E200" s="226">
        <v>60047</v>
      </c>
      <c r="F200" s="226"/>
      <c r="G200" s="225">
        <v>0</v>
      </c>
      <c r="H200" s="226"/>
      <c r="I200" s="211"/>
      <c r="J200" s="226">
        <v>0</v>
      </c>
      <c r="K200" s="252">
        <v>8036</v>
      </c>
      <c r="L200" s="226">
        <v>145547</v>
      </c>
      <c r="M200" s="227">
        <v>-2679</v>
      </c>
      <c r="N200" s="227">
        <f t="shared" si="3"/>
        <v>142868</v>
      </c>
    </row>
    <row r="201" spans="1:14" ht="15">
      <c r="A201" s="209">
        <v>36301</v>
      </c>
      <c r="B201" s="250" t="s">
        <v>398</v>
      </c>
      <c r="C201" s="225">
        <v>-4419</v>
      </c>
      <c r="D201" s="226">
        <v>1212</v>
      </c>
      <c r="E201" s="226">
        <v>969</v>
      </c>
      <c r="F201" s="226"/>
      <c r="G201" s="225">
        <v>0</v>
      </c>
      <c r="H201" s="226"/>
      <c r="I201" s="211"/>
      <c r="J201" s="226">
        <v>0</v>
      </c>
      <c r="K201" s="252">
        <v>1225</v>
      </c>
      <c r="L201" s="226">
        <v>2348</v>
      </c>
      <c r="M201" s="227">
        <v>-408</v>
      </c>
      <c r="N201" s="227">
        <f t="shared" si="3"/>
        <v>1940</v>
      </c>
    </row>
    <row r="202" spans="1:14" ht="15">
      <c r="A202" s="251">
        <v>36302</v>
      </c>
      <c r="B202" s="212" t="s">
        <v>399</v>
      </c>
      <c r="C202" s="220">
        <v>-6528</v>
      </c>
      <c r="D202" s="221">
        <v>1790</v>
      </c>
      <c r="E202" s="221">
        <v>1431</v>
      </c>
      <c r="F202" s="221"/>
      <c r="G202" s="220">
        <v>0</v>
      </c>
      <c r="H202" s="221"/>
      <c r="I202" s="213"/>
      <c r="J202" s="221">
        <v>0</v>
      </c>
      <c r="K202" s="253">
        <v>579</v>
      </c>
      <c r="L202" s="221">
        <v>3468</v>
      </c>
      <c r="M202" s="222">
        <v>-193</v>
      </c>
      <c r="N202" s="227">
        <f t="shared" si="3"/>
        <v>3275</v>
      </c>
    </row>
    <row r="203" spans="1:14" ht="15">
      <c r="A203" s="251">
        <v>36305</v>
      </c>
      <c r="B203" s="212" t="s">
        <v>90</v>
      </c>
      <c r="C203" s="220">
        <v>-49990</v>
      </c>
      <c r="D203" s="221">
        <v>13706</v>
      </c>
      <c r="E203" s="221">
        <v>10957</v>
      </c>
      <c r="F203" s="221"/>
      <c r="G203" s="220">
        <v>8169</v>
      </c>
      <c r="H203" s="221"/>
      <c r="I203" s="213"/>
      <c r="J203" s="221">
        <v>0</v>
      </c>
      <c r="K203" s="253">
        <v>0</v>
      </c>
      <c r="L203" s="221">
        <v>26560</v>
      </c>
      <c r="M203" s="222">
        <v>2723</v>
      </c>
      <c r="N203" s="227">
        <f t="shared" si="3"/>
        <v>29283</v>
      </c>
    </row>
    <row r="204" spans="1:14" ht="15">
      <c r="A204" s="251">
        <v>36310</v>
      </c>
      <c r="B204" s="212" t="s">
        <v>401</v>
      </c>
      <c r="C204" s="220">
        <v>-2139</v>
      </c>
      <c r="D204" s="221">
        <v>587</v>
      </c>
      <c r="E204" s="221">
        <v>469</v>
      </c>
      <c r="F204" s="221"/>
      <c r="G204" s="220">
        <v>0</v>
      </c>
      <c r="H204" s="221"/>
      <c r="I204" s="213"/>
      <c r="J204" s="221">
        <v>0</v>
      </c>
      <c r="K204" s="253">
        <v>1841</v>
      </c>
      <c r="L204" s="221">
        <v>1137</v>
      </c>
      <c r="M204" s="222">
        <v>-614</v>
      </c>
      <c r="N204" s="227">
        <f t="shared" si="3"/>
        <v>523</v>
      </c>
    </row>
    <row r="205" spans="1:14" ht="15">
      <c r="A205" s="251">
        <v>36400</v>
      </c>
      <c r="B205" s="212" t="s">
        <v>402</v>
      </c>
      <c r="C205" s="220">
        <v>-302245</v>
      </c>
      <c r="D205" s="221">
        <v>82870</v>
      </c>
      <c r="E205" s="221">
        <v>66250</v>
      </c>
      <c r="F205" s="221"/>
      <c r="G205" s="220">
        <v>0</v>
      </c>
      <c r="H205" s="221"/>
      <c r="I205" s="214"/>
      <c r="J205" s="221">
        <v>0</v>
      </c>
      <c r="K205" s="253">
        <v>516</v>
      </c>
      <c r="L205" s="221">
        <v>160582</v>
      </c>
      <c r="M205" s="222">
        <v>-172</v>
      </c>
      <c r="N205" s="227">
        <f t="shared" si="3"/>
        <v>160410</v>
      </c>
    </row>
    <row r="206" spans="1:14" ht="15">
      <c r="A206" s="251">
        <v>36405</v>
      </c>
      <c r="B206" s="212" t="s">
        <v>403</v>
      </c>
      <c r="C206" s="220">
        <v>-52655</v>
      </c>
      <c r="D206" s="221">
        <v>14437</v>
      </c>
      <c r="E206" s="221">
        <v>11542</v>
      </c>
      <c r="F206" s="221"/>
      <c r="G206" s="220">
        <v>0</v>
      </c>
      <c r="H206" s="221"/>
      <c r="I206" s="213"/>
      <c r="J206" s="221">
        <v>0</v>
      </c>
      <c r="K206" s="253">
        <v>2684</v>
      </c>
      <c r="L206" s="221">
        <v>27975</v>
      </c>
      <c r="M206" s="222">
        <v>-895</v>
      </c>
      <c r="N206" s="227">
        <f t="shared" si="3"/>
        <v>27080</v>
      </c>
    </row>
    <row r="207" spans="1:14" ht="15">
      <c r="A207" s="251">
        <v>36500</v>
      </c>
      <c r="B207" s="212" t="s">
        <v>404</v>
      </c>
      <c r="C207" s="220">
        <v>-595290</v>
      </c>
      <c r="D207" s="221">
        <v>163218</v>
      </c>
      <c r="E207" s="221">
        <v>130483</v>
      </c>
      <c r="F207" s="221"/>
      <c r="G207" s="220">
        <v>0</v>
      </c>
      <c r="H207" s="221"/>
      <c r="I207" s="213"/>
      <c r="J207" s="221">
        <v>0</v>
      </c>
      <c r="K207" s="253">
        <v>29060</v>
      </c>
      <c r="L207" s="221">
        <v>316277</v>
      </c>
      <c r="M207" s="222">
        <v>-9687</v>
      </c>
      <c r="N207" s="227">
        <f t="shared" si="3"/>
        <v>306590</v>
      </c>
    </row>
    <row r="208" spans="1:14" ht="15">
      <c r="A208" s="209">
        <v>36501</v>
      </c>
      <c r="B208" s="250" t="s">
        <v>512</v>
      </c>
      <c r="C208" s="225">
        <v>-7860</v>
      </c>
      <c r="D208" s="226">
        <v>2155</v>
      </c>
      <c r="E208" s="226">
        <v>1723</v>
      </c>
      <c r="F208" s="226"/>
      <c r="G208" s="225">
        <v>0</v>
      </c>
      <c r="H208" s="226"/>
      <c r="I208" s="210"/>
      <c r="J208" s="226">
        <v>0</v>
      </c>
      <c r="K208" s="252">
        <v>1970</v>
      </c>
      <c r="L208" s="226">
        <v>4176</v>
      </c>
      <c r="M208" s="227">
        <v>-657</v>
      </c>
      <c r="N208" s="227">
        <f t="shared" si="3"/>
        <v>3519</v>
      </c>
    </row>
    <row r="209" spans="1:14" ht="15">
      <c r="A209" s="209">
        <v>36502</v>
      </c>
      <c r="B209" s="250" t="s">
        <v>406</v>
      </c>
      <c r="C209" s="225">
        <v>-2744</v>
      </c>
      <c r="D209" s="226">
        <v>752</v>
      </c>
      <c r="E209" s="226">
        <v>602</v>
      </c>
      <c r="F209" s="226"/>
      <c r="G209" s="225">
        <v>0</v>
      </c>
      <c r="H209" s="226"/>
      <c r="I209" s="211"/>
      <c r="J209" s="226">
        <v>0</v>
      </c>
      <c r="K209" s="252">
        <v>193</v>
      </c>
      <c r="L209" s="226">
        <v>1458</v>
      </c>
      <c r="M209" s="227">
        <v>-64</v>
      </c>
      <c r="N209" s="227">
        <f t="shared" si="3"/>
        <v>1394</v>
      </c>
    </row>
    <row r="210" spans="1:14" ht="15">
      <c r="A210" s="209">
        <v>36505</v>
      </c>
      <c r="B210" s="250" t="s">
        <v>92</v>
      </c>
      <c r="C210" s="225">
        <v>-119435</v>
      </c>
      <c r="D210" s="226">
        <v>32747</v>
      </c>
      <c r="E210" s="226">
        <v>26179</v>
      </c>
      <c r="F210" s="226"/>
      <c r="G210" s="225">
        <v>0</v>
      </c>
      <c r="H210" s="226"/>
      <c r="I210" s="211"/>
      <c r="J210" s="226">
        <v>0</v>
      </c>
      <c r="K210" s="252">
        <v>496</v>
      </c>
      <c r="L210" s="226">
        <v>63455</v>
      </c>
      <c r="M210" s="227">
        <v>-165</v>
      </c>
      <c r="N210" s="227">
        <f t="shared" si="3"/>
        <v>63290</v>
      </c>
    </row>
    <row r="211" spans="1:14" ht="15">
      <c r="A211" s="209">
        <v>36600</v>
      </c>
      <c r="B211" s="250" t="s">
        <v>407</v>
      </c>
      <c r="C211" s="225">
        <v>-42020</v>
      </c>
      <c r="D211" s="226">
        <v>11521</v>
      </c>
      <c r="E211" s="226">
        <v>9210</v>
      </c>
      <c r="F211" s="226"/>
      <c r="G211" s="225">
        <v>4287</v>
      </c>
      <c r="H211" s="226"/>
      <c r="I211" s="211"/>
      <c r="J211" s="226">
        <v>0</v>
      </c>
      <c r="K211" s="252">
        <v>0</v>
      </c>
      <c r="L211" s="226">
        <v>22325</v>
      </c>
      <c r="M211" s="227">
        <v>1429</v>
      </c>
      <c r="N211" s="227">
        <f t="shared" si="3"/>
        <v>23754</v>
      </c>
    </row>
    <row r="212" spans="1:14" ht="15">
      <c r="A212" s="209">
        <v>36601</v>
      </c>
      <c r="B212" s="250" t="s">
        <v>408</v>
      </c>
      <c r="C212" s="225">
        <v>-25811</v>
      </c>
      <c r="D212" s="226">
        <v>7077</v>
      </c>
      <c r="E212" s="226">
        <v>5658</v>
      </c>
      <c r="F212" s="226"/>
      <c r="G212" s="225">
        <v>0</v>
      </c>
      <c r="H212" s="226"/>
      <c r="I212" s="211"/>
      <c r="J212" s="226">
        <v>0</v>
      </c>
      <c r="K212" s="252">
        <v>6260</v>
      </c>
      <c r="L212" s="226">
        <v>13713</v>
      </c>
      <c r="M212" s="227">
        <v>-2087</v>
      </c>
      <c r="N212" s="227">
        <f t="shared" si="3"/>
        <v>11626</v>
      </c>
    </row>
    <row r="213" spans="1:14" ht="15">
      <c r="A213" s="209">
        <v>36700</v>
      </c>
      <c r="B213" s="250" t="s">
        <v>409</v>
      </c>
      <c r="C213" s="225">
        <v>-501178</v>
      </c>
      <c r="D213" s="226">
        <v>137414</v>
      </c>
      <c r="E213" s="226">
        <v>109854</v>
      </c>
      <c r="F213" s="226"/>
      <c r="G213" s="225">
        <v>0</v>
      </c>
      <c r="H213" s="226"/>
      <c r="I213" s="211"/>
      <c r="J213" s="226">
        <v>0</v>
      </c>
      <c r="K213" s="252">
        <v>22167</v>
      </c>
      <c r="L213" s="226">
        <v>266275</v>
      </c>
      <c r="M213" s="227">
        <v>-7389</v>
      </c>
      <c r="N213" s="227">
        <f t="shared" si="3"/>
        <v>258886</v>
      </c>
    </row>
    <row r="214" spans="1:14" ht="15">
      <c r="A214" s="251">
        <v>36701</v>
      </c>
      <c r="B214" s="212" t="s">
        <v>410</v>
      </c>
      <c r="C214" s="220">
        <v>-1821</v>
      </c>
      <c r="D214" s="221">
        <v>499</v>
      </c>
      <c r="E214" s="221">
        <v>399</v>
      </c>
      <c r="F214" s="221"/>
      <c r="G214" s="220">
        <v>227</v>
      </c>
      <c r="H214" s="221"/>
      <c r="I214" s="213"/>
      <c r="J214" s="221">
        <v>0</v>
      </c>
      <c r="K214" s="253">
        <v>0</v>
      </c>
      <c r="L214" s="221">
        <v>968</v>
      </c>
      <c r="M214" s="222">
        <v>76</v>
      </c>
      <c r="N214" s="227">
        <f t="shared" si="3"/>
        <v>1044</v>
      </c>
    </row>
    <row r="215" spans="1:14" ht="15">
      <c r="A215" s="251">
        <v>36705</v>
      </c>
      <c r="B215" s="212" t="s">
        <v>93</v>
      </c>
      <c r="C215" s="220">
        <v>-58956</v>
      </c>
      <c r="D215" s="221">
        <v>16165</v>
      </c>
      <c r="E215" s="221">
        <v>12923</v>
      </c>
      <c r="F215" s="221"/>
      <c r="G215" s="220">
        <v>0</v>
      </c>
      <c r="H215" s="221"/>
      <c r="I215" s="213"/>
      <c r="J215" s="221">
        <v>0</v>
      </c>
      <c r="K215" s="253">
        <v>803</v>
      </c>
      <c r="L215" s="221">
        <v>31323</v>
      </c>
      <c r="M215" s="222">
        <v>-268</v>
      </c>
      <c r="N215" s="227">
        <f t="shared" si="3"/>
        <v>31055</v>
      </c>
    </row>
    <row r="216" spans="1:14" ht="15">
      <c r="A216" s="251">
        <v>36800</v>
      </c>
      <c r="B216" s="212" t="s">
        <v>411</v>
      </c>
      <c r="C216" s="220">
        <v>-189118</v>
      </c>
      <c r="D216" s="221">
        <v>51853</v>
      </c>
      <c r="E216" s="221">
        <v>41453</v>
      </c>
      <c r="F216" s="221"/>
      <c r="G216" s="220">
        <v>0</v>
      </c>
      <c r="H216" s="221"/>
      <c r="I216" s="213"/>
      <c r="J216" s="221">
        <v>0</v>
      </c>
      <c r="K216" s="253">
        <v>1132</v>
      </c>
      <c r="L216" s="221">
        <v>100478</v>
      </c>
      <c r="M216" s="222">
        <v>-377</v>
      </c>
      <c r="N216" s="227">
        <f t="shared" si="3"/>
        <v>100101</v>
      </c>
    </row>
    <row r="217" spans="1:14" ht="15">
      <c r="A217" s="251">
        <v>36802</v>
      </c>
      <c r="B217" s="212" t="s">
        <v>412</v>
      </c>
      <c r="C217" s="220">
        <v>-6931</v>
      </c>
      <c r="D217" s="221">
        <v>1900</v>
      </c>
      <c r="E217" s="221">
        <v>1519</v>
      </c>
      <c r="F217" s="221"/>
      <c r="G217" s="220">
        <v>0</v>
      </c>
      <c r="H217" s="221"/>
      <c r="I217" s="214"/>
      <c r="J217" s="221">
        <v>0</v>
      </c>
      <c r="K217" s="253">
        <v>2767</v>
      </c>
      <c r="L217" s="221">
        <v>3682</v>
      </c>
      <c r="M217" s="222">
        <v>-922</v>
      </c>
      <c r="N217" s="227">
        <f t="shared" si="3"/>
        <v>2760</v>
      </c>
    </row>
    <row r="218" spans="1:14" ht="15">
      <c r="A218" s="251">
        <v>36810</v>
      </c>
      <c r="B218" s="212" t="s">
        <v>413</v>
      </c>
      <c r="C218" s="220">
        <v>-357198</v>
      </c>
      <c r="D218" s="221">
        <v>97937</v>
      </c>
      <c r="E218" s="221">
        <v>78295</v>
      </c>
      <c r="F218" s="221"/>
      <c r="G218" s="220">
        <v>0</v>
      </c>
      <c r="H218" s="221"/>
      <c r="I218" s="213"/>
      <c r="J218" s="221">
        <v>0</v>
      </c>
      <c r="K218" s="253">
        <v>8791</v>
      </c>
      <c r="L218" s="221">
        <v>189779</v>
      </c>
      <c r="M218" s="222">
        <v>-2930</v>
      </c>
      <c r="N218" s="227">
        <f t="shared" si="3"/>
        <v>186849</v>
      </c>
    </row>
    <row r="219" spans="1:14" ht="15">
      <c r="A219" s="251">
        <v>36900</v>
      </c>
      <c r="B219" s="212" t="s">
        <v>414</v>
      </c>
      <c r="C219" s="220">
        <v>-34991</v>
      </c>
      <c r="D219" s="221">
        <v>9594</v>
      </c>
      <c r="E219" s="221">
        <v>7670</v>
      </c>
      <c r="F219" s="221"/>
      <c r="G219" s="220">
        <v>390</v>
      </c>
      <c r="H219" s="221"/>
      <c r="I219" s="213"/>
      <c r="J219" s="221">
        <v>0</v>
      </c>
      <c r="K219" s="253">
        <v>0</v>
      </c>
      <c r="L219" s="221">
        <v>18591</v>
      </c>
      <c r="M219" s="222">
        <v>130</v>
      </c>
      <c r="N219" s="227">
        <f t="shared" si="3"/>
        <v>18721</v>
      </c>
    </row>
    <row r="220" spans="1:14" ht="15">
      <c r="A220" s="209">
        <v>36901</v>
      </c>
      <c r="B220" s="250" t="s">
        <v>415</v>
      </c>
      <c r="C220" s="225">
        <v>-11857</v>
      </c>
      <c r="D220" s="226">
        <v>3251</v>
      </c>
      <c r="E220" s="226">
        <v>2599</v>
      </c>
      <c r="F220" s="226"/>
      <c r="G220" s="225">
        <v>0</v>
      </c>
      <c r="H220" s="226"/>
      <c r="I220" s="210"/>
      <c r="J220" s="226">
        <v>0</v>
      </c>
      <c r="K220" s="252">
        <v>32</v>
      </c>
      <c r="L220" s="226">
        <v>6300</v>
      </c>
      <c r="M220" s="227">
        <v>-11</v>
      </c>
      <c r="N220" s="227">
        <f t="shared" si="3"/>
        <v>6289</v>
      </c>
    </row>
    <row r="221" spans="1:14" ht="15">
      <c r="A221" s="209">
        <v>36905</v>
      </c>
      <c r="B221" s="250" t="s">
        <v>94</v>
      </c>
      <c r="C221" s="225">
        <v>-11704</v>
      </c>
      <c r="D221" s="226">
        <v>3209</v>
      </c>
      <c r="E221" s="226">
        <v>2566</v>
      </c>
      <c r="F221" s="226"/>
      <c r="G221" s="225">
        <v>768</v>
      </c>
      <c r="H221" s="226"/>
      <c r="I221" s="211"/>
      <c r="J221" s="226">
        <v>0</v>
      </c>
      <c r="K221" s="252">
        <v>0</v>
      </c>
      <c r="L221" s="226">
        <v>6219</v>
      </c>
      <c r="M221" s="227">
        <v>256</v>
      </c>
      <c r="N221" s="227">
        <f t="shared" si="3"/>
        <v>6475</v>
      </c>
    </row>
    <row r="222" spans="1:14" ht="15">
      <c r="A222" s="209">
        <v>37000</v>
      </c>
      <c r="B222" s="250" t="s">
        <v>416</v>
      </c>
      <c r="C222" s="225">
        <v>-117057</v>
      </c>
      <c r="D222" s="226">
        <v>32095</v>
      </c>
      <c r="E222" s="226">
        <v>25658</v>
      </c>
      <c r="F222" s="226"/>
      <c r="G222" s="225">
        <v>3982</v>
      </c>
      <c r="H222" s="226"/>
      <c r="I222" s="211"/>
      <c r="J222" s="226">
        <v>0</v>
      </c>
      <c r="K222" s="252">
        <v>0</v>
      </c>
      <c r="L222" s="226">
        <v>62192</v>
      </c>
      <c r="M222" s="227">
        <v>1327</v>
      </c>
      <c r="N222" s="227">
        <f t="shared" si="3"/>
        <v>63519</v>
      </c>
    </row>
    <row r="223" spans="1:14" ht="15">
      <c r="A223" s="209">
        <v>37001</v>
      </c>
      <c r="B223" s="250" t="s">
        <v>513</v>
      </c>
      <c r="C223" s="225">
        <v>-4865</v>
      </c>
      <c r="D223" s="226">
        <v>1334</v>
      </c>
      <c r="E223" s="226">
        <v>1066</v>
      </c>
      <c r="F223" s="226"/>
      <c r="G223" s="225">
        <v>0</v>
      </c>
      <c r="H223" s="226"/>
      <c r="I223" s="211"/>
      <c r="J223" s="226">
        <v>0</v>
      </c>
      <c r="K223" s="252">
        <v>2531</v>
      </c>
      <c r="L223" s="226">
        <v>2585</v>
      </c>
      <c r="M223" s="227">
        <v>-844</v>
      </c>
      <c r="N223" s="227">
        <f t="shared" si="3"/>
        <v>1741</v>
      </c>
    </row>
    <row r="224" spans="1:14" ht="15">
      <c r="A224" s="209">
        <v>37005</v>
      </c>
      <c r="B224" s="250" t="s">
        <v>95</v>
      </c>
      <c r="C224" s="225">
        <v>-27944</v>
      </c>
      <c r="D224" s="226">
        <v>7662</v>
      </c>
      <c r="E224" s="226">
        <v>6125</v>
      </c>
      <c r="F224" s="226"/>
      <c r="G224" s="225">
        <v>3605</v>
      </c>
      <c r="H224" s="226"/>
      <c r="I224" s="211"/>
      <c r="J224" s="226">
        <v>0</v>
      </c>
      <c r="K224" s="252">
        <v>0</v>
      </c>
      <c r="L224" s="226">
        <v>14847</v>
      </c>
      <c r="M224" s="227">
        <v>1202</v>
      </c>
      <c r="N224" s="227">
        <f t="shared" si="3"/>
        <v>16049</v>
      </c>
    </row>
    <row r="225" spans="1:14" ht="15">
      <c r="A225" s="209">
        <v>37100</v>
      </c>
      <c r="B225" s="250" t="s">
        <v>418</v>
      </c>
      <c r="C225" s="225">
        <v>-177572</v>
      </c>
      <c r="D225" s="226">
        <v>48687</v>
      </c>
      <c r="E225" s="226">
        <v>38922</v>
      </c>
      <c r="F225" s="226"/>
      <c r="G225" s="225">
        <v>0</v>
      </c>
      <c r="H225" s="226"/>
      <c r="I225" s="211"/>
      <c r="J225" s="226">
        <v>0</v>
      </c>
      <c r="K225" s="252">
        <v>11560</v>
      </c>
      <c r="L225" s="226">
        <v>94344</v>
      </c>
      <c r="M225" s="227">
        <v>-3853</v>
      </c>
      <c r="N225" s="227">
        <f t="shared" si="3"/>
        <v>90491</v>
      </c>
    </row>
    <row r="226" spans="1:14" ht="15">
      <c r="A226" s="251">
        <v>37200</v>
      </c>
      <c r="B226" s="212" t="s">
        <v>419</v>
      </c>
      <c r="C226" s="220">
        <v>-39465</v>
      </c>
      <c r="D226" s="221">
        <v>10821</v>
      </c>
      <c r="E226" s="221">
        <v>8650</v>
      </c>
      <c r="F226" s="221"/>
      <c r="G226" s="220">
        <v>0</v>
      </c>
      <c r="H226" s="221"/>
      <c r="I226" s="213"/>
      <c r="J226" s="221">
        <v>0</v>
      </c>
      <c r="K226" s="253">
        <v>1214</v>
      </c>
      <c r="L226" s="221">
        <v>20968</v>
      </c>
      <c r="M226" s="222">
        <v>-405</v>
      </c>
      <c r="N226" s="227">
        <f t="shared" si="3"/>
        <v>20563</v>
      </c>
    </row>
    <row r="227" spans="1:14" ht="15">
      <c r="A227" s="251">
        <v>37300</v>
      </c>
      <c r="B227" s="212" t="s">
        <v>420</v>
      </c>
      <c r="C227" s="220">
        <v>-105438</v>
      </c>
      <c r="D227" s="221">
        <v>28909</v>
      </c>
      <c r="E227" s="221">
        <v>23111</v>
      </c>
      <c r="F227" s="221"/>
      <c r="G227" s="220">
        <v>0</v>
      </c>
      <c r="H227" s="221"/>
      <c r="I227" s="213"/>
      <c r="J227" s="221">
        <v>0</v>
      </c>
      <c r="K227" s="253">
        <v>6834</v>
      </c>
      <c r="L227" s="221">
        <v>56019</v>
      </c>
      <c r="M227" s="222">
        <v>-2278</v>
      </c>
      <c r="N227" s="227">
        <f t="shared" si="3"/>
        <v>53741</v>
      </c>
    </row>
    <row r="228" spans="1:14" ht="15">
      <c r="A228" s="251">
        <v>37301</v>
      </c>
      <c r="B228" s="212" t="s">
        <v>421</v>
      </c>
      <c r="C228" s="220">
        <v>-11478</v>
      </c>
      <c r="D228" s="221">
        <v>3147</v>
      </c>
      <c r="E228" s="221">
        <v>2516</v>
      </c>
      <c r="F228" s="221"/>
      <c r="G228" s="220">
        <v>0</v>
      </c>
      <c r="H228" s="221"/>
      <c r="I228" s="213"/>
      <c r="J228" s="221">
        <v>0</v>
      </c>
      <c r="K228" s="253">
        <v>1144</v>
      </c>
      <c r="L228" s="221">
        <v>6098</v>
      </c>
      <c r="M228" s="222">
        <v>-381</v>
      </c>
      <c r="N228" s="227">
        <f t="shared" si="3"/>
        <v>5717</v>
      </c>
    </row>
    <row r="229" spans="1:14" ht="15">
      <c r="A229" s="251">
        <v>37305</v>
      </c>
      <c r="B229" s="212" t="s">
        <v>96</v>
      </c>
      <c r="C229" s="220">
        <v>-26917</v>
      </c>
      <c r="D229" s="221">
        <v>7380</v>
      </c>
      <c r="E229" s="221">
        <v>5900</v>
      </c>
      <c r="F229" s="221"/>
      <c r="G229" s="220">
        <v>7395</v>
      </c>
      <c r="H229" s="221"/>
      <c r="I229" s="214"/>
      <c r="J229" s="221">
        <v>0</v>
      </c>
      <c r="K229" s="253">
        <v>0</v>
      </c>
      <c r="L229" s="221">
        <v>14301</v>
      </c>
      <c r="M229" s="222">
        <v>2465</v>
      </c>
      <c r="N229" s="227">
        <f t="shared" si="3"/>
        <v>16766</v>
      </c>
    </row>
    <row r="230" spans="1:14" ht="15">
      <c r="A230" s="251">
        <v>37400</v>
      </c>
      <c r="B230" s="212" t="s">
        <v>422</v>
      </c>
      <c r="C230" s="220">
        <v>-492181</v>
      </c>
      <c r="D230" s="221">
        <v>134947</v>
      </c>
      <c r="E230" s="221">
        <v>107882</v>
      </c>
      <c r="F230" s="221"/>
      <c r="G230" s="220">
        <v>0</v>
      </c>
      <c r="H230" s="221"/>
      <c r="I230" s="213"/>
      <c r="J230" s="221">
        <v>0</v>
      </c>
      <c r="K230" s="253">
        <v>21336</v>
      </c>
      <c r="L230" s="221">
        <v>261495</v>
      </c>
      <c r="M230" s="222">
        <v>-7112</v>
      </c>
      <c r="N230" s="227">
        <f t="shared" si="3"/>
        <v>254383</v>
      </c>
    </row>
    <row r="231" spans="1:14" ht="15">
      <c r="A231" s="251">
        <v>37405</v>
      </c>
      <c r="B231" s="212" t="s">
        <v>97</v>
      </c>
      <c r="C231" s="220">
        <v>-113928</v>
      </c>
      <c r="D231" s="221">
        <v>31237</v>
      </c>
      <c r="E231" s="221">
        <v>24972</v>
      </c>
      <c r="F231" s="221"/>
      <c r="G231" s="220">
        <v>0</v>
      </c>
      <c r="H231" s="221"/>
      <c r="I231" s="213"/>
      <c r="J231" s="221">
        <v>0</v>
      </c>
      <c r="K231" s="253">
        <v>3993</v>
      </c>
      <c r="L231" s="221">
        <v>60530</v>
      </c>
      <c r="M231" s="222">
        <v>-1331</v>
      </c>
      <c r="N231" s="227">
        <f t="shared" si="3"/>
        <v>59199</v>
      </c>
    </row>
    <row r="232" spans="1:14" ht="15">
      <c r="A232" s="209">
        <v>37500</v>
      </c>
      <c r="B232" s="250" t="s">
        <v>423</v>
      </c>
      <c r="C232" s="225">
        <v>-54617</v>
      </c>
      <c r="D232" s="226">
        <v>14975</v>
      </c>
      <c r="E232" s="226">
        <v>11972</v>
      </c>
      <c r="F232" s="226"/>
      <c r="G232" s="225">
        <v>1111</v>
      </c>
      <c r="H232" s="226"/>
      <c r="I232" s="210"/>
      <c r="J232" s="226">
        <v>0</v>
      </c>
      <c r="K232" s="252">
        <v>0</v>
      </c>
      <c r="L232" s="226">
        <v>29018</v>
      </c>
      <c r="M232" s="227">
        <v>370</v>
      </c>
      <c r="N232" s="227">
        <f t="shared" si="3"/>
        <v>29388</v>
      </c>
    </row>
    <row r="233" spans="1:14" ht="15">
      <c r="A233" s="209">
        <v>37600</v>
      </c>
      <c r="B233" s="250" t="s">
        <v>424</v>
      </c>
      <c r="C233" s="225">
        <v>-344368</v>
      </c>
      <c r="D233" s="226">
        <v>94420</v>
      </c>
      <c r="E233" s="226">
        <v>75483</v>
      </c>
      <c r="F233" s="226"/>
      <c r="G233" s="225">
        <v>0</v>
      </c>
      <c r="H233" s="226"/>
      <c r="I233" s="211"/>
      <c r="J233" s="226">
        <v>0</v>
      </c>
      <c r="K233" s="252">
        <v>8036</v>
      </c>
      <c r="L233" s="226">
        <v>182963</v>
      </c>
      <c r="M233" s="227">
        <v>-2679</v>
      </c>
      <c r="N233" s="227">
        <f t="shared" si="3"/>
        <v>180284</v>
      </c>
    </row>
    <row r="234" spans="1:14" ht="15">
      <c r="A234" s="209">
        <v>37601</v>
      </c>
      <c r="B234" s="250" t="s">
        <v>425</v>
      </c>
      <c r="C234" s="225">
        <v>-14345</v>
      </c>
      <c r="D234" s="226">
        <v>3933</v>
      </c>
      <c r="E234" s="226">
        <v>3144</v>
      </c>
      <c r="F234" s="226"/>
      <c r="G234" s="225">
        <v>0</v>
      </c>
      <c r="H234" s="226"/>
      <c r="I234" s="211"/>
      <c r="J234" s="226">
        <v>0</v>
      </c>
      <c r="K234" s="252">
        <v>4381</v>
      </c>
      <c r="L234" s="226">
        <v>7621</v>
      </c>
      <c r="M234" s="227">
        <v>-1460</v>
      </c>
      <c r="N234" s="227">
        <f t="shared" si="3"/>
        <v>6161</v>
      </c>
    </row>
    <row r="235" spans="1:14" ht="15">
      <c r="A235" s="209">
        <v>37605</v>
      </c>
      <c r="B235" s="250" t="s">
        <v>98</v>
      </c>
      <c r="C235" s="225">
        <v>-42472</v>
      </c>
      <c r="D235" s="226">
        <v>11645</v>
      </c>
      <c r="E235" s="226">
        <v>9310</v>
      </c>
      <c r="F235" s="226"/>
      <c r="G235" s="225">
        <v>0</v>
      </c>
      <c r="H235" s="226"/>
      <c r="I235" s="211"/>
      <c r="J235" s="226">
        <v>0</v>
      </c>
      <c r="K235" s="252">
        <v>1793</v>
      </c>
      <c r="L235" s="226">
        <v>22565</v>
      </c>
      <c r="M235" s="227">
        <v>-598</v>
      </c>
      <c r="N235" s="227">
        <f t="shared" si="3"/>
        <v>21967</v>
      </c>
    </row>
    <row r="236" spans="1:14" ht="15">
      <c r="A236" s="209">
        <v>37610</v>
      </c>
      <c r="B236" s="250" t="s">
        <v>426</v>
      </c>
      <c r="C236" s="225">
        <v>-106691</v>
      </c>
      <c r="D236" s="226">
        <v>29253</v>
      </c>
      <c r="E236" s="226">
        <v>23386</v>
      </c>
      <c r="F236" s="226"/>
      <c r="G236" s="225">
        <v>0</v>
      </c>
      <c r="H236" s="226"/>
      <c r="I236" s="211"/>
      <c r="J236" s="226">
        <v>0</v>
      </c>
      <c r="K236" s="252">
        <v>8248</v>
      </c>
      <c r="L236" s="226">
        <v>56685</v>
      </c>
      <c r="M236" s="227">
        <v>-2749</v>
      </c>
      <c r="N236" s="227">
        <f t="shared" si="3"/>
        <v>53936</v>
      </c>
    </row>
    <row r="237" spans="1:14" ht="15">
      <c r="A237" s="209">
        <v>37700</v>
      </c>
      <c r="B237" s="250" t="s">
        <v>427</v>
      </c>
      <c r="C237" s="225">
        <v>-145184</v>
      </c>
      <c r="D237" s="226">
        <v>39807</v>
      </c>
      <c r="E237" s="226">
        <v>31823</v>
      </c>
      <c r="F237" s="226"/>
      <c r="G237" s="225">
        <v>2118</v>
      </c>
      <c r="H237" s="226"/>
      <c r="I237" s="211"/>
      <c r="J237" s="226">
        <v>0</v>
      </c>
      <c r="K237" s="252">
        <v>0</v>
      </c>
      <c r="L237" s="226">
        <v>77136</v>
      </c>
      <c r="M237" s="227">
        <v>706</v>
      </c>
      <c r="N237" s="227">
        <f t="shared" si="3"/>
        <v>77842</v>
      </c>
    </row>
    <row r="238" spans="1:14" ht="15">
      <c r="A238" s="209">
        <v>37705</v>
      </c>
      <c r="B238" s="250" t="s">
        <v>99</v>
      </c>
      <c r="C238" s="225">
        <v>-43267</v>
      </c>
      <c r="D238" s="226">
        <v>11863</v>
      </c>
      <c r="E238" s="226">
        <v>9484</v>
      </c>
      <c r="F238" s="226"/>
      <c r="G238" s="225">
        <v>927</v>
      </c>
      <c r="H238" s="226"/>
      <c r="I238" s="210"/>
      <c r="J238" s="226">
        <v>0</v>
      </c>
      <c r="K238" s="252">
        <v>0</v>
      </c>
      <c r="L238" s="226">
        <v>22988</v>
      </c>
      <c r="M238" s="227">
        <v>309</v>
      </c>
      <c r="N238" s="227">
        <f t="shared" si="3"/>
        <v>23297</v>
      </c>
    </row>
    <row r="239" spans="1:14" ht="15">
      <c r="A239" s="209">
        <v>37800</v>
      </c>
      <c r="B239" s="250" t="s">
        <v>428</v>
      </c>
      <c r="C239" s="225">
        <v>-448578</v>
      </c>
      <c r="D239" s="226">
        <v>122992</v>
      </c>
      <c r="E239" s="226">
        <v>98325</v>
      </c>
      <c r="F239" s="226"/>
      <c r="G239" s="225">
        <v>0</v>
      </c>
      <c r="H239" s="226"/>
      <c r="I239" s="211"/>
      <c r="J239" s="226">
        <v>0</v>
      </c>
      <c r="K239" s="252">
        <v>130</v>
      </c>
      <c r="L239" s="226">
        <v>238329</v>
      </c>
      <c r="M239" s="227">
        <v>-43</v>
      </c>
      <c r="N239" s="227">
        <f t="shared" si="3"/>
        <v>238286</v>
      </c>
    </row>
    <row r="240" spans="1:14" ht="15">
      <c r="A240" s="209">
        <v>37801</v>
      </c>
      <c r="B240" s="250" t="s">
        <v>429</v>
      </c>
      <c r="C240" s="225">
        <v>-3447</v>
      </c>
      <c r="D240" s="226">
        <v>945</v>
      </c>
      <c r="E240" s="226">
        <v>756</v>
      </c>
      <c r="F240" s="226"/>
      <c r="G240" s="225">
        <v>0</v>
      </c>
      <c r="H240" s="226"/>
      <c r="I240" s="211"/>
      <c r="J240" s="226">
        <v>0</v>
      </c>
      <c r="K240" s="252">
        <v>926</v>
      </c>
      <c r="L240" s="226">
        <v>1831</v>
      </c>
      <c r="M240" s="227">
        <v>-309</v>
      </c>
      <c r="N240" s="227">
        <f t="shared" si="3"/>
        <v>1522</v>
      </c>
    </row>
    <row r="241" spans="1:14" ht="15">
      <c r="A241" s="209">
        <v>37805</v>
      </c>
      <c r="B241" s="250" t="s">
        <v>100</v>
      </c>
      <c r="C241" s="225">
        <v>-33573</v>
      </c>
      <c r="D241" s="226">
        <v>9205</v>
      </c>
      <c r="E241" s="226">
        <v>7359</v>
      </c>
      <c r="F241" s="226"/>
      <c r="G241" s="225">
        <v>3960</v>
      </c>
      <c r="H241" s="226"/>
      <c r="I241" s="211"/>
      <c r="J241" s="226">
        <v>0</v>
      </c>
      <c r="K241" s="252">
        <v>0</v>
      </c>
      <c r="L241" s="226">
        <v>17837</v>
      </c>
      <c r="M241" s="227">
        <v>1320</v>
      </c>
      <c r="N241" s="227">
        <f t="shared" si="3"/>
        <v>19157</v>
      </c>
    </row>
    <row r="242" spans="1:14" ht="15">
      <c r="A242" s="209">
        <v>37900</v>
      </c>
      <c r="B242" s="250" t="s">
        <v>430</v>
      </c>
      <c r="C242" s="225">
        <v>-234841</v>
      </c>
      <c r="D242" s="226">
        <v>64389</v>
      </c>
      <c r="E242" s="226">
        <v>51475</v>
      </c>
      <c r="F242" s="226"/>
      <c r="G242" s="225">
        <v>9950</v>
      </c>
      <c r="H242" s="226"/>
      <c r="I242" s="211"/>
      <c r="J242" s="226">
        <v>0</v>
      </c>
      <c r="K242" s="252">
        <v>0</v>
      </c>
      <c r="L242" s="226">
        <v>124771</v>
      </c>
      <c r="M242" s="227">
        <v>3317</v>
      </c>
      <c r="N242" s="227">
        <f t="shared" si="3"/>
        <v>128088</v>
      </c>
    </row>
    <row r="243" spans="1:14" ht="15">
      <c r="A243" s="209">
        <v>37901</v>
      </c>
      <c r="B243" s="250" t="s">
        <v>431</v>
      </c>
      <c r="C243" s="225">
        <v>-3190</v>
      </c>
      <c r="D243" s="226">
        <v>875</v>
      </c>
      <c r="E243" s="226">
        <v>699</v>
      </c>
      <c r="F243" s="226"/>
      <c r="G243" s="225">
        <v>229</v>
      </c>
      <c r="H243" s="226"/>
      <c r="I243" s="211"/>
      <c r="J243" s="226">
        <v>0</v>
      </c>
      <c r="K243" s="252">
        <v>0</v>
      </c>
      <c r="L243" s="226">
        <v>1695</v>
      </c>
      <c r="M243" s="227">
        <v>76</v>
      </c>
      <c r="N243" s="227">
        <f t="shared" si="3"/>
        <v>1771</v>
      </c>
    </row>
    <row r="244" spans="1:14" ht="15">
      <c r="A244" s="251">
        <v>37905</v>
      </c>
      <c r="B244" s="212" t="s">
        <v>101</v>
      </c>
      <c r="C244" s="220">
        <v>-28305</v>
      </c>
      <c r="D244" s="221">
        <v>7761</v>
      </c>
      <c r="E244" s="221">
        <v>6204</v>
      </c>
      <c r="F244" s="221"/>
      <c r="G244" s="220">
        <v>1451</v>
      </c>
      <c r="H244" s="221"/>
      <c r="I244" s="213"/>
      <c r="J244" s="221">
        <v>0</v>
      </c>
      <c r="K244" s="253">
        <v>0</v>
      </c>
      <c r="L244" s="221">
        <v>15038</v>
      </c>
      <c r="M244" s="222">
        <v>484</v>
      </c>
      <c r="N244" s="227">
        <f t="shared" si="3"/>
        <v>15522</v>
      </c>
    </row>
    <row r="245" spans="1:14" ht="15">
      <c r="A245" s="251">
        <v>38000</v>
      </c>
      <c r="B245" s="212" t="s">
        <v>432</v>
      </c>
      <c r="C245" s="220">
        <v>-390997</v>
      </c>
      <c r="D245" s="221">
        <v>107204</v>
      </c>
      <c r="E245" s="221">
        <v>85703</v>
      </c>
      <c r="F245" s="221"/>
      <c r="G245" s="220">
        <v>0</v>
      </c>
      <c r="H245" s="221"/>
      <c r="I245" s="213"/>
      <c r="J245" s="221">
        <v>0</v>
      </c>
      <c r="K245" s="253">
        <v>9846</v>
      </c>
      <c r="L245" s="221">
        <v>207736</v>
      </c>
      <c r="M245" s="222">
        <v>-3282</v>
      </c>
      <c r="N245" s="227">
        <f t="shared" si="3"/>
        <v>204454</v>
      </c>
    </row>
    <row r="246" spans="1:14" ht="15">
      <c r="A246" s="251">
        <v>38005</v>
      </c>
      <c r="B246" s="212" t="s">
        <v>102</v>
      </c>
      <c r="C246" s="220">
        <v>-75080</v>
      </c>
      <c r="D246" s="221">
        <v>20586</v>
      </c>
      <c r="E246" s="221">
        <v>16457</v>
      </c>
      <c r="F246" s="221"/>
      <c r="G246" s="220">
        <v>5081</v>
      </c>
      <c r="H246" s="221"/>
      <c r="I246" s="213"/>
      <c r="J246" s="221">
        <v>0</v>
      </c>
      <c r="K246" s="253">
        <v>0</v>
      </c>
      <c r="L246" s="221">
        <v>39890</v>
      </c>
      <c r="M246" s="222">
        <v>1694</v>
      </c>
      <c r="N246" s="227">
        <f t="shared" si="3"/>
        <v>41584</v>
      </c>
    </row>
    <row r="247" spans="1:14" ht="15">
      <c r="A247" s="251">
        <v>38100</v>
      </c>
      <c r="B247" s="212" t="s">
        <v>433</v>
      </c>
      <c r="C247" s="220">
        <v>-174363</v>
      </c>
      <c r="D247" s="221">
        <v>47807</v>
      </c>
      <c r="E247" s="221">
        <v>38219</v>
      </c>
      <c r="F247" s="221"/>
      <c r="G247" s="220">
        <v>4928</v>
      </c>
      <c r="H247" s="221"/>
      <c r="I247" s="214"/>
      <c r="J247" s="221">
        <v>0</v>
      </c>
      <c r="K247" s="253">
        <v>0</v>
      </c>
      <c r="L247" s="221">
        <v>92639</v>
      </c>
      <c r="M247" s="222">
        <v>1643</v>
      </c>
      <c r="N247" s="227">
        <f t="shared" si="3"/>
        <v>94282</v>
      </c>
    </row>
    <row r="248" spans="1:14" ht="15">
      <c r="A248" s="251">
        <v>38105</v>
      </c>
      <c r="B248" s="212" t="s">
        <v>103</v>
      </c>
      <c r="C248" s="220">
        <v>-35211</v>
      </c>
      <c r="D248" s="221">
        <v>9654</v>
      </c>
      <c r="E248" s="221">
        <v>7718</v>
      </c>
      <c r="F248" s="221"/>
      <c r="G248" s="220">
        <v>1408</v>
      </c>
      <c r="H248" s="221"/>
      <c r="I248" s="213"/>
      <c r="J248" s="221">
        <v>0</v>
      </c>
      <c r="K248" s="253">
        <v>0</v>
      </c>
      <c r="L248" s="221">
        <v>18708</v>
      </c>
      <c r="M248" s="222">
        <v>469</v>
      </c>
      <c r="N248" s="227">
        <f t="shared" si="3"/>
        <v>19177</v>
      </c>
    </row>
    <row r="249" spans="1:14" ht="15">
      <c r="A249" s="251">
        <v>38200</v>
      </c>
      <c r="B249" s="212" t="s">
        <v>434</v>
      </c>
      <c r="C249" s="220">
        <v>-166515</v>
      </c>
      <c r="D249" s="221">
        <v>45655</v>
      </c>
      <c r="E249" s="221">
        <v>36499</v>
      </c>
      <c r="F249" s="221"/>
      <c r="G249" s="220">
        <v>2378</v>
      </c>
      <c r="H249" s="221"/>
      <c r="I249" s="213"/>
      <c r="J249" s="221">
        <v>0</v>
      </c>
      <c r="K249" s="253">
        <v>0</v>
      </c>
      <c r="L249" s="221">
        <v>88469</v>
      </c>
      <c r="M249" s="222">
        <v>793</v>
      </c>
      <c r="N249" s="227">
        <f t="shared" si="3"/>
        <v>89262</v>
      </c>
    </row>
    <row r="250" spans="1:14" ht="15">
      <c r="A250" s="209">
        <v>38205</v>
      </c>
      <c r="B250" s="250" t="s">
        <v>104</v>
      </c>
      <c r="C250" s="225">
        <v>-24399</v>
      </c>
      <c r="D250" s="226">
        <v>6690</v>
      </c>
      <c r="E250" s="226">
        <v>5348</v>
      </c>
      <c r="F250" s="226"/>
      <c r="G250" s="225">
        <v>1638</v>
      </c>
      <c r="H250" s="226"/>
      <c r="I250" s="210"/>
      <c r="J250" s="226">
        <v>0</v>
      </c>
      <c r="K250" s="252">
        <v>0</v>
      </c>
      <c r="L250" s="226">
        <v>12963</v>
      </c>
      <c r="M250" s="227">
        <v>546</v>
      </c>
      <c r="N250" s="227">
        <f t="shared" si="3"/>
        <v>13509</v>
      </c>
    </row>
    <row r="251" spans="1:14" ht="15">
      <c r="A251" s="209">
        <v>38210</v>
      </c>
      <c r="B251" s="250" t="s">
        <v>435</v>
      </c>
      <c r="C251" s="225">
        <v>-63149</v>
      </c>
      <c r="D251" s="226">
        <v>17314</v>
      </c>
      <c r="E251" s="226">
        <v>13842</v>
      </c>
      <c r="F251" s="226"/>
      <c r="G251" s="225">
        <v>0</v>
      </c>
      <c r="H251" s="226"/>
      <c r="I251" s="211"/>
      <c r="J251" s="226">
        <v>0</v>
      </c>
      <c r="K251" s="252">
        <v>1178</v>
      </c>
      <c r="L251" s="226">
        <v>33551</v>
      </c>
      <c r="M251" s="227">
        <v>-393</v>
      </c>
      <c r="N251" s="227">
        <f t="shared" si="3"/>
        <v>33158</v>
      </c>
    </row>
    <row r="252" spans="1:14" ht="15">
      <c r="A252" s="209">
        <v>38300</v>
      </c>
      <c r="B252" s="250" t="s">
        <v>436</v>
      </c>
      <c r="C252" s="225">
        <v>-131989</v>
      </c>
      <c r="D252" s="226">
        <v>36189</v>
      </c>
      <c r="E252" s="226">
        <v>28931</v>
      </c>
      <c r="F252" s="226"/>
      <c r="G252" s="225">
        <v>2029</v>
      </c>
      <c r="H252" s="226"/>
      <c r="I252" s="211"/>
      <c r="J252" s="226">
        <v>0</v>
      </c>
      <c r="K252" s="252">
        <v>0</v>
      </c>
      <c r="L252" s="226">
        <v>70125</v>
      </c>
      <c r="M252" s="227">
        <v>676</v>
      </c>
      <c r="N252" s="227">
        <f t="shared" si="3"/>
        <v>70801</v>
      </c>
    </row>
    <row r="253" spans="1:14" ht="15">
      <c r="A253" s="209">
        <v>38400</v>
      </c>
      <c r="B253" s="250" t="s">
        <v>437</v>
      </c>
      <c r="C253" s="225">
        <v>-160978</v>
      </c>
      <c r="D253" s="226">
        <v>44137</v>
      </c>
      <c r="E253" s="226">
        <v>35285</v>
      </c>
      <c r="F253" s="226"/>
      <c r="G253" s="225">
        <v>5291</v>
      </c>
      <c r="H253" s="226"/>
      <c r="I253" s="211"/>
      <c r="J253" s="226">
        <v>0</v>
      </c>
      <c r="K253" s="252">
        <v>0</v>
      </c>
      <c r="L253" s="226">
        <v>85527</v>
      </c>
      <c r="M253" s="227">
        <v>1764</v>
      </c>
      <c r="N253" s="227">
        <f t="shared" si="3"/>
        <v>87291</v>
      </c>
    </row>
    <row r="254" spans="1:14" ht="15">
      <c r="A254" s="209">
        <v>38402</v>
      </c>
      <c r="B254" s="250" t="s">
        <v>438</v>
      </c>
      <c r="C254" s="225">
        <v>-6845</v>
      </c>
      <c r="D254" s="226">
        <v>1877</v>
      </c>
      <c r="E254" s="226">
        <v>1500</v>
      </c>
      <c r="F254" s="226"/>
      <c r="G254" s="225">
        <v>0</v>
      </c>
      <c r="H254" s="226"/>
      <c r="I254" s="211"/>
      <c r="J254" s="226">
        <v>0</v>
      </c>
      <c r="K254" s="252">
        <v>1444</v>
      </c>
      <c r="L254" s="226">
        <v>3637</v>
      </c>
      <c r="M254" s="227">
        <v>-481</v>
      </c>
      <c r="N254" s="227">
        <f t="shared" si="3"/>
        <v>3156</v>
      </c>
    </row>
    <row r="255" spans="1:14" ht="15">
      <c r="A255" s="209">
        <v>38405</v>
      </c>
      <c r="B255" s="250" t="s">
        <v>105</v>
      </c>
      <c r="C255" s="225">
        <v>-42955</v>
      </c>
      <c r="D255" s="226">
        <v>11778</v>
      </c>
      <c r="E255" s="226">
        <v>9415</v>
      </c>
      <c r="F255" s="226"/>
      <c r="G255" s="225">
        <v>0</v>
      </c>
      <c r="H255" s="226"/>
      <c r="I255" s="211"/>
      <c r="J255" s="226">
        <v>0</v>
      </c>
      <c r="K255" s="252">
        <v>2752</v>
      </c>
      <c r="L255" s="226">
        <v>22822</v>
      </c>
      <c r="M255" s="227">
        <v>-917</v>
      </c>
      <c r="N255" s="227">
        <f t="shared" si="3"/>
        <v>21905</v>
      </c>
    </row>
    <row r="256" spans="1:14" ht="15">
      <c r="A256" s="251">
        <v>38500</v>
      </c>
      <c r="B256" s="212" t="s">
        <v>439</v>
      </c>
      <c r="C256" s="220">
        <v>-124544</v>
      </c>
      <c r="D256" s="221">
        <v>34148</v>
      </c>
      <c r="E256" s="221">
        <v>27299</v>
      </c>
      <c r="F256" s="221"/>
      <c r="G256" s="220">
        <v>8933</v>
      </c>
      <c r="H256" s="221"/>
      <c r="I256" s="213"/>
      <c r="J256" s="221">
        <v>0</v>
      </c>
      <c r="K256" s="253">
        <v>0</v>
      </c>
      <c r="L256" s="221">
        <v>66170</v>
      </c>
      <c r="M256" s="222">
        <v>2978</v>
      </c>
      <c r="N256" s="227">
        <f t="shared" si="3"/>
        <v>69148</v>
      </c>
    </row>
    <row r="257" spans="1:14" ht="15">
      <c r="A257" s="251">
        <v>38600</v>
      </c>
      <c r="B257" s="212" t="s">
        <v>440</v>
      </c>
      <c r="C257" s="220">
        <v>-162958</v>
      </c>
      <c r="D257" s="221">
        <v>44680</v>
      </c>
      <c r="E257" s="221">
        <v>35719</v>
      </c>
      <c r="F257" s="221"/>
      <c r="G257" s="220">
        <v>817</v>
      </c>
      <c r="H257" s="221"/>
      <c r="I257" s="213"/>
      <c r="J257" s="221">
        <v>0</v>
      </c>
      <c r="K257" s="253">
        <v>0</v>
      </c>
      <c r="L257" s="221">
        <v>86580</v>
      </c>
      <c r="M257" s="222">
        <v>272</v>
      </c>
      <c r="N257" s="227">
        <f t="shared" si="3"/>
        <v>86852</v>
      </c>
    </row>
    <row r="258" spans="1:14" ht="15">
      <c r="A258" s="251">
        <v>38601</v>
      </c>
      <c r="B258" s="212" t="s">
        <v>441</v>
      </c>
      <c r="C258" s="220">
        <v>-1944</v>
      </c>
      <c r="D258" s="221">
        <v>533</v>
      </c>
      <c r="E258" s="221">
        <v>426</v>
      </c>
      <c r="F258" s="221"/>
      <c r="G258" s="220">
        <v>114</v>
      </c>
      <c r="H258" s="221"/>
      <c r="I258" s="213"/>
      <c r="J258" s="221">
        <v>0</v>
      </c>
      <c r="K258" s="253">
        <v>0</v>
      </c>
      <c r="L258" s="221">
        <v>1033</v>
      </c>
      <c r="M258" s="222">
        <v>38</v>
      </c>
      <c r="N258" s="227">
        <f t="shared" si="3"/>
        <v>1071</v>
      </c>
    </row>
    <row r="259" spans="1:14" ht="15">
      <c r="A259" s="251">
        <v>38602</v>
      </c>
      <c r="B259" s="212" t="s">
        <v>442</v>
      </c>
      <c r="C259" s="220">
        <v>-12181</v>
      </c>
      <c r="D259" s="221">
        <v>3340</v>
      </c>
      <c r="E259" s="221">
        <v>2670</v>
      </c>
      <c r="F259" s="221"/>
      <c r="G259" s="220">
        <v>0</v>
      </c>
      <c r="H259" s="221"/>
      <c r="I259" s="214"/>
      <c r="J259" s="221">
        <v>0</v>
      </c>
      <c r="K259" s="253">
        <v>2259</v>
      </c>
      <c r="L259" s="221">
        <v>6472</v>
      </c>
      <c r="M259" s="222">
        <v>-753</v>
      </c>
      <c r="N259" s="227">
        <f t="shared" si="3"/>
        <v>5719</v>
      </c>
    </row>
    <row r="260" spans="1:14" ht="15">
      <c r="A260" s="251">
        <v>38605</v>
      </c>
      <c r="B260" s="212" t="s">
        <v>106</v>
      </c>
      <c r="C260" s="220">
        <v>-45302</v>
      </c>
      <c r="D260" s="221">
        <v>12421</v>
      </c>
      <c r="E260" s="221">
        <v>9930</v>
      </c>
      <c r="F260" s="221"/>
      <c r="G260" s="220">
        <v>541</v>
      </c>
      <c r="H260" s="221"/>
      <c r="I260" s="213"/>
      <c r="J260" s="221">
        <v>0</v>
      </c>
      <c r="K260" s="253">
        <v>0</v>
      </c>
      <c r="L260" s="221">
        <v>24069</v>
      </c>
      <c r="M260" s="222">
        <v>180</v>
      </c>
      <c r="N260" s="227">
        <f t="shared" si="3"/>
        <v>24249</v>
      </c>
    </row>
    <row r="261" spans="1:14" ht="15">
      <c r="A261" s="251">
        <v>38610</v>
      </c>
      <c r="B261" s="212" t="s">
        <v>443</v>
      </c>
      <c r="C261" s="220">
        <v>-31740</v>
      </c>
      <c r="D261" s="221">
        <v>8702</v>
      </c>
      <c r="E261" s="221">
        <v>6957</v>
      </c>
      <c r="F261" s="221"/>
      <c r="G261" s="220">
        <v>3314</v>
      </c>
      <c r="H261" s="221"/>
      <c r="I261" s="213"/>
      <c r="J261" s="221">
        <v>0</v>
      </c>
      <c r="K261" s="253">
        <v>0</v>
      </c>
      <c r="L261" s="221">
        <v>16863</v>
      </c>
      <c r="M261" s="222">
        <v>1105</v>
      </c>
      <c r="N261" s="227">
        <f t="shared" ref="N261:N294" si="4">SUM(L261+M261)</f>
        <v>17968</v>
      </c>
    </row>
    <row r="262" spans="1:14" ht="15">
      <c r="A262" s="209">
        <v>38620</v>
      </c>
      <c r="B262" s="250" t="s">
        <v>444</v>
      </c>
      <c r="C262" s="225">
        <v>-26330</v>
      </c>
      <c r="D262" s="226">
        <v>7219</v>
      </c>
      <c r="E262" s="226">
        <v>5771</v>
      </c>
      <c r="F262" s="226"/>
      <c r="G262" s="225">
        <v>2266</v>
      </c>
      <c r="H262" s="226"/>
      <c r="I262" s="210"/>
      <c r="J262" s="226">
        <v>0</v>
      </c>
      <c r="K262" s="252">
        <v>0</v>
      </c>
      <c r="L262" s="226">
        <v>13989</v>
      </c>
      <c r="M262" s="227">
        <v>755</v>
      </c>
      <c r="N262" s="227">
        <f t="shared" si="4"/>
        <v>14744</v>
      </c>
    </row>
    <row r="263" spans="1:14" ht="15">
      <c r="A263" s="209">
        <v>38700</v>
      </c>
      <c r="B263" s="250" t="s">
        <v>445</v>
      </c>
      <c r="C263" s="225">
        <v>-49367</v>
      </c>
      <c r="D263" s="226">
        <v>13535</v>
      </c>
      <c r="E263" s="226">
        <v>10821</v>
      </c>
      <c r="F263" s="226"/>
      <c r="G263" s="225">
        <v>0</v>
      </c>
      <c r="H263" s="226"/>
      <c r="I263" s="211"/>
      <c r="J263" s="226">
        <v>0</v>
      </c>
      <c r="K263" s="252">
        <v>1883</v>
      </c>
      <c r="L263" s="226">
        <v>26228</v>
      </c>
      <c r="M263" s="227">
        <v>-628</v>
      </c>
      <c r="N263" s="227">
        <f t="shared" si="4"/>
        <v>25600</v>
      </c>
    </row>
    <row r="264" spans="1:14" ht="15">
      <c r="A264" s="209">
        <v>38701</v>
      </c>
      <c r="B264" s="250" t="s">
        <v>514</v>
      </c>
      <c r="C264" s="225">
        <v>-2695</v>
      </c>
      <c r="D264" s="226">
        <v>739</v>
      </c>
      <c r="E264" s="226">
        <v>591</v>
      </c>
      <c r="F264" s="226"/>
      <c r="G264" s="225">
        <v>780</v>
      </c>
      <c r="H264" s="226"/>
      <c r="I264" s="211"/>
      <c r="J264" s="226">
        <v>0</v>
      </c>
      <c r="K264" s="252">
        <v>0</v>
      </c>
      <c r="L264" s="226">
        <v>1432</v>
      </c>
      <c r="M264" s="227">
        <v>260</v>
      </c>
      <c r="N264" s="227">
        <f t="shared" si="4"/>
        <v>1692</v>
      </c>
    </row>
    <row r="265" spans="1:14" ht="15">
      <c r="A265" s="209">
        <v>38800</v>
      </c>
      <c r="B265" s="250" t="s">
        <v>447</v>
      </c>
      <c r="C265" s="225">
        <v>-83050</v>
      </c>
      <c r="D265" s="226">
        <v>22771</v>
      </c>
      <c r="E265" s="226">
        <v>18204</v>
      </c>
      <c r="F265" s="226"/>
      <c r="G265" s="225">
        <v>0</v>
      </c>
      <c r="H265" s="226"/>
      <c r="I265" s="211"/>
      <c r="J265" s="226">
        <v>0</v>
      </c>
      <c r="K265" s="252">
        <v>37</v>
      </c>
      <c r="L265" s="226">
        <v>44124</v>
      </c>
      <c r="M265" s="227">
        <v>-12</v>
      </c>
      <c r="N265" s="227">
        <f t="shared" si="4"/>
        <v>44112</v>
      </c>
    </row>
    <row r="266" spans="1:14" ht="15">
      <c r="A266" s="209">
        <v>38801</v>
      </c>
      <c r="B266" s="250" t="s">
        <v>448</v>
      </c>
      <c r="C266" s="225">
        <v>-7041</v>
      </c>
      <c r="D266" s="226">
        <v>1931</v>
      </c>
      <c r="E266" s="226">
        <v>1543</v>
      </c>
      <c r="F266" s="226"/>
      <c r="G266" s="225">
        <v>0</v>
      </c>
      <c r="H266" s="226"/>
      <c r="I266" s="211"/>
      <c r="J266" s="226">
        <v>0</v>
      </c>
      <c r="K266" s="252">
        <v>1575</v>
      </c>
      <c r="L266" s="226">
        <v>3741</v>
      </c>
      <c r="M266" s="227">
        <v>-525</v>
      </c>
      <c r="N266" s="227">
        <f t="shared" si="4"/>
        <v>3216</v>
      </c>
    </row>
    <row r="267" spans="1:14" ht="15">
      <c r="A267" s="209">
        <v>38900</v>
      </c>
      <c r="B267" s="250" t="s">
        <v>449</v>
      </c>
      <c r="C267" s="225">
        <v>-17939</v>
      </c>
      <c r="D267" s="226">
        <v>4918</v>
      </c>
      <c r="E267" s="226">
        <v>3932</v>
      </c>
      <c r="F267" s="226"/>
      <c r="G267" s="225">
        <v>1077</v>
      </c>
      <c r="H267" s="226"/>
      <c r="I267" s="211"/>
      <c r="J267" s="226">
        <v>0</v>
      </c>
      <c r="K267" s="252">
        <v>0</v>
      </c>
      <c r="L267" s="226">
        <v>9531</v>
      </c>
      <c r="M267" s="227">
        <v>359</v>
      </c>
      <c r="N267" s="227">
        <f t="shared" si="4"/>
        <v>9890</v>
      </c>
    </row>
    <row r="268" spans="1:14" ht="15">
      <c r="A268" s="251">
        <v>39000</v>
      </c>
      <c r="B268" s="212" t="s">
        <v>450</v>
      </c>
      <c r="C268" s="220">
        <v>-861224</v>
      </c>
      <c r="D268" s="221">
        <v>236132</v>
      </c>
      <c r="E268" s="221">
        <v>188773</v>
      </c>
      <c r="F268" s="221"/>
      <c r="G268" s="220">
        <v>0</v>
      </c>
      <c r="H268" s="221"/>
      <c r="I268" s="213"/>
      <c r="J268" s="221">
        <v>0</v>
      </c>
      <c r="K268" s="253">
        <v>52754</v>
      </c>
      <c r="L268" s="221">
        <v>457567</v>
      </c>
      <c r="M268" s="222">
        <v>-17585</v>
      </c>
      <c r="N268" s="227">
        <f t="shared" si="4"/>
        <v>439982</v>
      </c>
    </row>
    <row r="269" spans="1:14" ht="15">
      <c r="A269" s="251">
        <v>39100</v>
      </c>
      <c r="B269" s="212" t="s">
        <v>451</v>
      </c>
      <c r="C269" s="220">
        <v>-125742</v>
      </c>
      <c r="D269" s="221">
        <v>34476</v>
      </c>
      <c r="E269" s="221">
        <v>27562</v>
      </c>
      <c r="F269" s="221"/>
      <c r="G269" s="220">
        <v>11653</v>
      </c>
      <c r="H269" s="221"/>
      <c r="I269" s="213"/>
      <c r="J269" s="221">
        <v>0</v>
      </c>
      <c r="K269" s="253">
        <v>0</v>
      </c>
      <c r="L269" s="221">
        <v>66807</v>
      </c>
      <c r="M269" s="222">
        <v>3884</v>
      </c>
      <c r="N269" s="227">
        <f t="shared" si="4"/>
        <v>70691</v>
      </c>
    </row>
    <row r="270" spans="1:14" ht="15">
      <c r="A270" s="251">
        <v>39101</v>
      </c>
      <c r="B270" s="212" t="s">
        <v>452</v>
      </c>
      <c r="C270" s="220">
        <v>-10329</v>
      </c>
      <c r="D270" s="221">
        <v>2832</v>
      </c>
      <c r="E270" s="221">
        <v>2264</v>
      </c>
      <c r="F270" s="221"/>
      <c r="G270" s="220">
        <v>0</v>
      </c>
      <c r="H270" s="221"/>
      <c r="I270" s="213"/>
      <c r="J270" s="221">
        <v>0</v>
      </c>
      <c r="K270" s="253">
        <v>409</v>
      </c>
      <c r="L270" s="221">
        <v>5488</v>
      </c>
      <c r="M270" s="222">
        <v>-136</v>
      </c>
      <c r="N270" s="227">
        <f t="shared" si="4"/>
        <v>5352</v>
      </c>
    </row>
    <row r="271" spans="1:14" ht="15">
      <c r="A271" s="251">
        <v>39105</v>
      </c>
      <c r="B271" s="212" t="s">
        <v>107</v>
      </c>
      <c r="C271" s="220">
        <v>-51787</v>
      </c>
      <c r="D271" s="221">
        <v>14199</v>
      </c>
      <c r="E271" s="221">
        <v>11351</v>
      </c>
      <c r="F271" s="221"/>
      <c r="G271" s="220">
        <v>3127</v>
      </c>
      <c r="H271" s="221"/>
      <c r="I271" s="214"/>
      <c r="J271" s="221">
        <v>0</v>
      </c>
      <c r="K271" s="253">
        <v>0</v>
      </c>
      <c r="L271" s="221">
        <v>27514</v>
      </c>
      <c r="M271" s="222">
        <v>1042</v>
      </c>
      <c r="N271" s="227">
        <f t="shared" si="4"/>
        <v>28556</v>
      </c>
    </row>
    <row r="272" spans="1:14" ht="15">
      <c r="A272" s="251">
        <v>39200</v>
      </c>
      <c r="B272" s="212" t="s">
        <v>453</v>
      </c>
      <c r="C272" s="220">
        <v>-3573656</v>
      </c>
      <c r="D272" s="221">
        <v>979832</v>
      </c>
      <c r="E272" s="221">
        <v>783316</v>
      </c>
      <c r="F272" s="221"/>
      <c r="G272" s="220">
        <v>0</v>
      </c>
      <c r="H272" s="221"/>
      <c r="I272" s="213"/>
      <c r="J272" s="221">
        <v>0</v>
      </c>
      <c r="K272" s="253">
        <v>235844</v>
      </c>
      <c r="L272" s="221">
        <v>1898680</v>
      </c>
      <c r="M272" s="222">
        <v>-78615</v>
      </c>
      <c r="N272" s="227">
        <f t="shared" si="4"/>
        <v>1820065</v>
      </c>
    </row>
    <row r="273" spans="1:14" ht="15">
      <c r="A273" s="251">
        <v>39201</v>
      </c>
      <c r="B273" s="212" t="s">
        <v>454</v>
      </c>
      <c r="C273" s="220">
        <v>-10714</v>
      </c>
      <c r="D273" s="221">
        <v>2938</v>
      </c>
      <c r="E273" s="221">
        <v>2348</v>
      </c>
      <c r="F273" s="221"/>
      <c r="G273" s="220">
        <v>0</v>
      </c>
      <c r="H273" s="221"/>
      <c r="I273" s="213"/>
      <c r="J273" s="221">
        <v>0</v>
      </c>
      <c r="K273" s="253">
        <v>1842</v>
      </c>
      <c r="L273" s="221">
        <v>5693</v>
      </c>
      <c r="M273" s="222">
        <v>-614</v>
      </c>
      <c r="N273" s="227">
        <f t="shared" si="4"/>
        <v>5079</v>
      </c>
    </row>
    <row r="274" spans="1:14" ht="15">
      <c r="A274" s="209">
        <v>39204</v>
      </c>
      <c r="B274" s="250" t="s">
        <v>455</v>
      </c>
      <c r="C274" s="225">
        <v>-10030</v>
      </c>
      <c r="D274" s="226">
        <v>2750</v>
      </c>
      <c r="E274" s="226">
        <v>2198</v>
      </c>
      <c r="F274" s="226"/>
      <c r="G274" s="225">
        <v>0</v>
      </c>
      <c r="H274" s="226"/>
      <c r="I274" s="210"/>
      <c r="J274" s="226">
        <v>0</v>
      </c>
      <c r="K274" s="252">
        <v>3324</v>
      </c>
      <c r="L274" s="226">
        <v>5329</v>
      </c>
      <c r="M274" s="227">
        <v>-1108</v>
      </c>
      <c r="N274" s="227">
        <f t="shared" si="4"/>
        <v>4221</v>
      </c>
    </row>
    <row r="275" spans="1:14" ht="15">
      <c r="A275" s="209">
        <v>39205</v>
      </c>
      <c r="B275" s="250" t="s">
        <v>108</v>
      </c>
      <c r="C275" s="225">
        <v>-289752</v>
      </c>
      <c r="D275" s="226">
        <v>79445</v>
      </c>
      <c r="E275" s="226">
        <v>63511</v>
      </c>
      <c r="F275" s="226"/>
      <c r="G275" s="225">
        <v>0</v>
      </c>
      <c r="H275" s="226"/>
      <c r="I275" s="211"/>
      <c r="J275" s="226">
        <v>0</v>
      </c>
      <c r="K275" s="252">
        <v>8745</v>
      </c>
      <c r="L275" s="226">
        <v>153945</v>
      </c>
      <c r="M275" s="227">
        <v>-2915</v>
      </c>
      <c r="N275" s="227">
        <f t="shared" si="4"/>
        <v>151030</v>
      </c>
    </row>
    <row r="276" spans="1:14" ht="15">
      <c r="A276" s="209">
        <v>39208</v>
      </c>
      <c r="B276" s="250" t="s">
        <v>456</v>
      </c>
      <c r="C276" s="225">
        <v>-21154</v>
      </c>
      <c r="D276" s="226">
        <v>5800</v>
      </c>
      <c r="E276" s="226">
        <v>4637</v>
      </c>
      <c r="F276" s="226"/>
      <c r="G276" s="225">
        <v>0</v>
      </c>
      <c r="H276" s="226"/>
      <c r="I276" s="211"/>
      <c r="J276" s="226">
        <v>0</v>
      </c>
      <c r="K276" s="252">
        <v>1668</v>
      </c>
      <c r="L276" s="226">
        <v>11239</v>
      </c>
      <c r="M276" s="227">
        <v>-556</v>
      </c>
      <c r="N276" s="227">
        <f t="shared" si="4"/>
        <v>10683</v>
      </c>
    </row>
    <row r="277" spans="1:14" ht="15">
      <c r="A277" s="209">
        <v>39209</v>
      </c>
      <c r="B277" s="250" t="s">
        <v>457</v>
      </c>
      <c r="C277" s="225">
        <v>-11711</v>
      </c>
      <c r="D277" s="226">
        <v>3211</v>
      </c>
      <c r="E277" s="226">
        <v>2567</v>
      </c>
      <c r="F277" s="226"/>
      <c r="G277" s="225">
        <v>0</v>
      </c>
      <c r="H277" s="226"/>
      <c r="I277" s="211"/>
      <c r="J277" s="226">
        <v>0</v>
      </c>
      <c r="K277" s="252">
        <v>2299</v>
      </c>
      <c r="L277" s="226">
        <v>6222</v>
      </c>
      <c r="M277" s="227">
        <v>-766</v>
      </c>
      <c r="N277" s="227">
        <f t="shared" si="4"/>
        <v>5456</v>
      </c>
    </row>
    <row r="278" spans="1:14" ht="15">
      <c r="A278" s="209">
        <v>39300</v>
      </c>
      <c r="B278" s="250" t="s">
        <v>458</v>
      </c>
      <c r="C278" s="225">
        <v>-46525</v>
      </c>
      <c r="D278" s="226">
        <v>12756</v>
      </c>
      <c r="E278" s="226">
        <v>10198</v>
      </c>
      <c r="F278" s="226"/>
      <c r="G278" s="225">
        <v>5970</v>
      </c>
      <c r="H278" s="226"/>
      <c r="I278" s="211"/>
      <c r="J278" s="226">
        <v>0</v>
      </c>
      <c r="K278" s="252">
        <v>0</v>
      </c>
      <c r="L278" s="226">
        <v>24718</v>
      </c>
      <c r="M278" s="227">
        <v>1990</v>
      </c>
      <c r="N278" s="227">
        <f t="shared" si="4"/>
        <v>26708</v>
      </c>
    </row>
    <row r="279" spans="1:14" ht="15">
      <c r="A279" s="209">
        <v>39301</v>
      </c>
      <c r="B279" s="250" t="s">
        <v>459</v>
      </c>
      <c r="C279" s="225">
        <v>-3294</v>
      </c>
      <c r="D279" s="226">
        <v>903</v>
      </c>
      <c r="E279" s="226">
        <v>722</v>
      </c>
      <c r="F279" s="226"/>
      <c r="G279" s="225">
        <v>0</v>
      </c>
      <c r="H279" s="226"/>
      <c r="I279" s="211"/>
      <c r="J279" s="226">
        <v>0</v>
      </c>
      <c r="K279" s="252">
        <v>493</v>
      </c>
      <c r="L279" s="226">
        <v>1750</v>
      </c>
      <c r="M279" s="227">
        <v>-164</v>
      </c>
      <c r="N279" s="227">
        <f t="shared" si="4"/>
        <v>1586</v>
      </c>
    </row>
    <row r="280" spans="1:14" ht="15">
      <c r="A280" s="251">
        <v>39400</v>
      </c>
      <c r="B280" s="212" t="s">
        <v>460</v>
      </c>
      <c r="C280" s="220">
        <v>-33121</v>
      </c>
      <c r="D280" s="221">
        <v>9081</v>
      </c>
      <c r="E280" s="221">
        <v>7260</v>
      </c>
      <c r="F280" s="221"/>
      <c r="G280" s="220">
        <v>4943</v>
      </c>
      <c r="H280" s="221"/>
      <c r="I280" s="213"/>
      <c r="J280" s="221">
        <v>0</v>
      </c>
      <c r="K280" s="253">
        <v>0</v>
      </c>
      <c r="L280" s="221">
        <v>17597</v>
      </c>
      <c r="M280" s="222">
        <v>1648</v>
      </c>
      <c r="N280" s="227">
        <f t="shared" si="4"/>
        <v>19245</v>
      </c>
    </row>
    <row r="281" spans="1:14" ht="15">
      <c r="A281" s="251">
        <v>39401</v>
      </c>
      <c r="B281" s="212" t="s">
        <v>461</v>
      </c>
      <c r="C281" s="220">
        <v>-19021</v>
      </c>
      <c r="D281" s="221">
        <v>5215</v>
      </c>
      <c r="E281" s="221">
        <v>4169</v>
      </c>
      <c r="F281" s="221"/>
      <c r="G281" s="220">
        <v>0</v>
      </c>
      <c r="H281" s="221"/>
      <c r="I281" s="213"/>
      <c r="J281" s="221">
        <v>0</v>
      </c>
      <c r="K281" s="253">
        <v>8766</v>
      </c>
      <c r="L281" s="221">
        <v>10106</v>
      </c>
      <c r="M281" s="222">
        <v>-2922</v>
      </c>
      <c r="N281" s="227">
        <f t="shared" si="4"/>
        <v>7184</v>
      </c>
    </row>
    <row r="282" spans="1:14" ht="15">
      <c r="A282" s="251">
        <v>39500</v>
      </c>
      <c r="B282" s="212" t="s">
        <v>462</v>
      </c>
      <c r="C282" s="220">
        <v>-106654</v>
      </c>
      <c r="D282" s="221">
        <v>29243</v>
      </c>
      <c r="E282" s="221">
        <v>23378</v>
      </c>
      <c r="F282" s="221"/>
      <c r="G282" s="220">
        <v>0</v>
      </c>
      <c r="H282" s="221"/>
      <c r="I282" s="213"/>
      <c r="J282" s="221">
        <v>0</v>
      </c>
      <c r="K282" s="253">
        <v>1044</v>
      </c>
      <c r="L282" s="221">
        <v>56665</v>
      </c>
      <c r="M282" s="222">
        <v>-348</v>
      </c>
      <c r="N282" s="227">
        <f t="shared" si="4"/>
        <v>56317</v>
      </c>
    </row>
    <row r="283" spans="1:14" ht="15">
      <c r="A283" s="251">
        <v>39501</v>
      </c>
      <c r="B283" s="212" t="s">
        <v>515</v>
      </c>
      <c r="C283" s="220">
        <v>-3692</v>
      </c>
      <c r="D283" s="221">
        <v>1012</v>
      </c>
      <c r="E283" s="221">
        <v>809</v>
      </c>
      <c r="F283" s="221"/>
      <c r="G283" s="220">
        <v>0</v>
      </c>
      <c r="H283" s="221"/>
      <c r="I283" s="214"/>
      <c r="J283" s="221">
        <v>0</v>
      </c>
      <c r="K283" s="253">
        <v>488</v>
      </c>
      <c r="L283" s="221">
        <v>1961</v>
      </c>
      <c r="M283" s="222">
        <v>-163</v>
      </c>
      <c r="N283" s="227">
        <f t="shared" si="4"/>
        <v>1798</v>
      </c>
    </row>
    <row r="284" spans="1:14" ht="15">
      <c r="A284" s="251">
        <v>39600</v>
      </c>
      <c r="B284" s="212" t="s">
        <v>464</v>
      </c>
      <c r="C284" s="220">
        <v>-349331</v>
      </c>
      <c r="D284" s="221">
        <v>95780</v>
      </c>
      <c r="E284" s="221">
        <v>76571</v>
      </c>
      <c r="F284" s="221"/>
      <c r="G284" s="220">
        <v>5421</v>
      </c>
      <c r="H284" s="221"/>
      <c r="I284" s="213"/>
      <c r="J284" s="221">
        <v>0</v>
      </c>
      <c r="K284" s="253">
        <v>0</v>
      </c>
      <c r="L284" s="221">
        <v>185599</v>
      </c>
      <c r="M284" s="222">
        <v>1807</v>
      </c>
      <c r="N284" s="227">
        <f t="shared" si="4"/>
        <v>187406</v>
      </c>
    </row>
    <row r="285" spans="1:14" ht="15">
      <c r="A285" s="251">
        <v>39605</v>
      </c>
      <c r="B285" s="212" t="s">
        <v>109</v>
      </c>
      <c r="C285" s="220">
        <v>-51390</v>
      </c>
      <c r="D285" s="221">
        <v>14090</v>
      </c>
      <c r="E285" s="221">
        <v>11264</v>
      </c>
      <c r="F285" s="221"/>
      <c r="G285" s="220">
        <v>735</v>
      </c>
      <c r="H285" s="221"/>
      <c r="I285" s="213"/>
      <c r="J285" s="221">
        <v>0</v>
      </c>
      <c r="K285" s="253">
        <v>0</v>
      </c>
      <c r="L285" s="221">
        <v>27303</v>
      </c>
      <c r="M285" s="222">
        <v>245</v>
      </c>
      <c r="N285" s="227">
        <f t="shared" si="4"/>
        <v>27548</v>
      </c>
    </row>
    <row r="286" spans="1:14" ht="15">
      <c r="A286" s="209">
        <v>39700</v>
      </c>
      <c r="B286" s="250" t="s">
        <v>465</v>
      </c>
      <c r="C286" s="225">
        <v>-202582</v>
      </c>
      <c r="D286" s="226">
        <v>55544</v>
      </c>
      <c r="E286" s="226">
        <v>44404</v>
      </c>
      <c r="F286" s="226"/>
      <c r="G286" s="225">
        <v>2024</v>
      </c>
      <c r="H286" s="226"/>
      <c r="I286" s="210"/>
      <c r="J286" s="226">
        <v>0</v>
      </c>
      <c r="K286" s="252">
        <v>0</v>
      </c>
      <c r="L286" s="226">
        <v>107632</v>
      </c>
      <c r="M286" s="227">
        <v>675</v>
      </c>
      <c r="N286" s="227">
        <f t="shared" si="4"/>
        <v>108307</v>
      </c>
    </row>
    <row r="287" spans="1:14" ht="15">
      <c r="A287" s="209">
        <v>39703</v>
      </c>
      <c r="B287" s="250" t="s">
        <v>466</v>
      </c>
      <c r="C287" s="225">
        <v>-8758</v>
      </c>
      <c r="D287" s="226">
        <v>2401</v>
      </c>
      <c r="E287" s="226">
        <v>1920</v>
      </c>
      <c r="F287" s="226"/>
      <c r="G287" s="225">
        <v>0</v>
      </c>
      <c r="H287" s="226"/>
      <c r="I287" s="211"/>
      <c r="J287" s="226">
        <v>0</v>
      </c>
      <c r="K287" s="252">
        <v>3030</v>
      </c>
      <c r="L287" s="226">
        <v>4653</v>
      </c>
      <c r="M287" s="227">
        <v>-1010</v>
      </c>
      <c r="N287" s="227">
        <f t="shared" si="4"/>
        <v>3643</v>
      </c>
    </row>
    <row r="288" spans="1:14" ht="15">
      <c r="A288" s="209">
        <v>39705</v>
      </c>
      <c r="B288" s="250" t="s">
        <v>110</v>
      </c>
      <c r="C288" s="225">
        <v>-47759</v>
      </c>
      <c r="D288" s="226">
        <v>13095</v>
      </c>
      <c r="E288" s="226">
        <v>10468</v>
      </c>
      <c r="F288" s="226"/>
      <c r="G288" s="225">
        <v>3455</v>
      </c>
      <c r="H288" s="226"/>
      <c r="I288" s="211"/>
      <c r="J288" s="226">
        <v>0</v>
      </c>
      <c r="K288" s="252">
        <v>0</v>
      </c>
      <c r="L288" s="226">
        <v>25374</v>
      </c>
      <c r="M288" s="227">
        <v>1152</v>
      </c>
      <c r="N288" s="227">
        <f t="shared" si="4"/>
        <v>26526</v>
      </c>
    </row>
    <row r="289" spans="1:14" ht="15">
      <c r="A289" s="209">
        <v>39800</v>
      </c>
      <c r="B289" s="250" t="s">
        <v>467</v>
      </c>
      <c r="C289" s="225">
        <v>-227311</v>
      </c>
      <c r="D289" s="226">
        <v>62325</v>
      </c>
      <c r="E289" s="226">
        <v>49825</v>
      </c>
      <c r="F289" s="226"/>
      <c r="G289" s="225">
        <v>4564</v>
      </c>
      <c r="H289" s="226"/>
      <c r="I289" s="211"/>
      <c r="J289" s="226">
        <v>0</v>
      </c>
      <c r="K289" s="252">
        <v>0</v>
      </c>
      <c r="L289" s="226">
        <v>120770</v>
      </c>
      <c r="M289" s="227">
        <v>1521</v>
      </c>
      <c r="N289" s="227">
        <f t="shared" si="4"/>
        <v>122291</v>
      </c>
    </row>
    <row r="290" spans="1:14" ht="15">
      <c r="A290" s="209">
        <v>39805</v>
      </c>
      <c r="B290" s="250" t="s">
        <v>111</v>
      </c>
      <c r="C290" s="225">
        <v>-26893</v>
      </c>
      <c r="D290" s="226">
        <v>7374</v>
      </c>
      <c r="E290" s="226">
        <v>5895</v>
      </c>
      <c r="F290" s="226"/>
      <c r="G290" s="225">
        <v>887</v>
      </c>
      <c r="H290" s="226"/>
      <c r="I290" s="211"/>
      <c r="J290" s="226">
        <v>0</v>
      </c>
      <c r="K290" s="252">
        <v>0</v>
      </c>
      <c r="L290" s="226">
        <v>14288</v>
      </c>
      <c r="M290" s="227">
        <v>296</v>
      </c>
      <c r="N290" s="227">
        <f t="shared" si="4"/>
        <v>14584</v>
      </c>
    </row>
    <row r="291" spans="1:14" ht="15">
      <c r="A291" s="209">
        <v>39900</v>
      </c>
      <c r="B291" s="250" t="s">
        <v>468</v>
      </c>
      <c r="C291" s="225">
        <v>-114093</v>
      </c>
      <c r="D291" s="226">
        <v>31282</v>
      </c>
      <c r="E291" s="226">
        <v>25008</v>
      </c>
      <c r="F291" s="226"/>
      <c r="G291" s="225">
        <v>2300</v>
      </c>
      <c r="H291" s="226"/>
      <c r="I291" s="211"/>
      <c r="J291" s="226">
        <v>0</v>
      </c>
      <c r="K291" s="252">
        <v>0</v>
      </c>
      <c r="L291" s="226">
        <v>60617</v>
      </c>
      <c r="M291" s="227">
        <v>767</v>
      </c>
      <c r="N291" s="227">
        <f t="shared" si="4"/>
        <v>61384</v>
      </c>
    </row>
    <row r="292" spans="1:14" ht="15">
      <c r="A292" s="251">
        <v>51000</v>
      </c>
      <c r="B292" s="212" t="s">
        <v>516</v>
      </c>
      <c r="C292" s="220">
        <v>-1604632</v>
      </c>
      <c r="D292" s="221">
        <v>439961</v>
      </c>
      <c r="E292" s="221">
        <v>351722</v>
      </c>
      <c r="F292" s="221"/>
      <c r="G292" s="220">
        <v>406492</v>
      </c>
      <c r="H292" s="221"/>
      <c r="I292" s="213"/>
      <c r="J292" s="221">
        <v>0</v>
      </c>
      <c r="K292" s="253">
        <v>0</v>
      </c>
      <c r="L292" s="221">
        <v>852540</v>
      </c>
      <c r="M292" s="222">
        <v>135497</v>
      </c>
      <c r="N292" s="227">
        <f t="shared" si="4"/>
        <v>988037</v>
      </c>
    </row>
    <row r="293" spans="1:14" ht="15">
      <c r="A293" s="251">
        <v>51000.2</v>
      </c>
      <c r="B293" s="212" t="s">
        <v>517</v>
      </c>
      <c r="C293" s="220">
        <v>-996</v>
      </c>
      <c r="D293" s="221">
        <v>273</v>
      </c>
      <c r="E293" s="221">
        <v>218</v>
      </c>
      <c r="F293" s="221"/>
      <c r="G293" s="220">
        <v>697</v>
      </c>
      <c r="H293" s="221"/>
      <c r="I293" s="213"/>
      <c r="J293" s="221">
        <v>0</v>
      </c>
      <c r="K293" s="253">
        <v>0</v>
      </c>
      <c r="L293" s="221">
        <v>529</v>
      </c>
      <c r="M293" s="222">
        <v>232</v>
      </c>
      <c r="N293" s="227">
        <f t="shared" si="4"/>
        <v>761</v>
      </c>
    </row>
    <row r="294" spans="1:14" ht="15">
      <c r="A294" s="251">
        <v>51000.3</v>
      </c>
      <c r="B294" s="212" t="s">
        <v>518</v>
      </c>
      <c r="C294" s="220">
        <v>-38878</v>
      </c>
      <c r="D294" s="221">
        <v>10660</v>
      </c>
      <c r="E294" s="221">
        <v>8522</v>
      </c>
      <c r="F294" s="221"/>
      <c r="G294" s="220">
        <v>8579</v>
      </c>
      <c r="H294" s="221"/>
      <c r="I294" s="213"/>
      <c r="J294" s="221">
        <v>0</v>
      </c>
      <c r="K294" s="253">
        <v>0</v>
      </c>
      <c r="L294" s="221">
        <v>20656</v>
      </c>
      <c r="M294" s="222">
        <v>2860</v>
      </c>
      <c r="N294" s="227">
        <f t="shared" si="4"/>
        <v>23516</v>
      </c>
    </row>
    <row r="295" spans="1:14" ht="15">
      <c r="A295" s="218"/>
      <c r="B295" s="219"/>
      <c r="C295" s="220"/>
      <c r="D295" s="221"/>
      <c r="E295" s="221"/>
      <c r="F295" s="221"/>
      <c r="G295" s="220"/>
      <c r="H295" s="221"/>
      <c r="I295" s="213"/>
      <c r="J295" s="221">
        <v>0</v>
      </c>
      <c r="K295" s="253"/>
      <c r="L295" s="221"/>
      <c r="M295" s="222"/>
      <c r="N295" s="222"/>
    </row>
    <row r="296" spans="1:14" ht="15">
      <c r="A296" s="218"/>
      <c r="B296" s="219"/>
      <c r="C296" s="220"/>
      <c r="D296" s="221"/>
      <c r="E296" s="221"/>
      <c r="F296" s="221"/>
      <c r="G296" s="220"/>
      <c r="H296" s="221"/>
      <c r="I296" s="213"/>
      <c r="J296" s="221">
        <v>0</v>
      </c>
      <c r="K296" s="253"/>
      <c r="L296" s="221"/>
      <c r="M296" s="222"/>
      <c r="N296" s="222"/>
    </row>
    <row r="297" spans="1:14" ht="15">
      <c r="A297" s="218"/>
      <c r="B297" s="219"/>
      <c r="C297" s="220"/>
      <c r="D297" s="221"/>
      <c r="E297" s="221"/>
      <c r="F297" s="221"/>
      <c r="G297" s="220"/>
      <c r="H297" s="221"/>
      <c r="I297" s="213"/>
      <c r="J297" s="221">
        <v>0</v>
      </c>
      <c r="K297" s="253"/>
      <c r="L297" s="221"/>
      <c r="M297" s="222"/>
      <c r="N297" s="222"/>
    </row>
    <row r="298" spans="1:14" ht="15">
      <c r="A298" s="223"/>
      <c r="B298" s="224"/>
      <c r="C298" s="225"/>
      <c r="D298" s="226"/>
      <c r="E298" s="226"/>
      <c r="F298" s="226"/>
      <c r="G298" s="225"/>
      <c r="H298" s="226"/>
      <c r="I298" s="211"/>
      <c r="J298" s="226">
        <v>0</v>
      </c>
      <c r="K298" s="252"/>
      <c r="L298" s="226"/>
      <c r="M298" s="227"/>
      <c r="N298" s="227"/>
    </row>
    <row r="299" spans="1:14" ht="15">
      <c r="A299" s="223"/>
      <c r="B299" s="224"/>
      <c r="C299" s="225"/>
      <c r="D299" s="226"/>
      <c r="E299" s="226"/>
      <c r="F299" s="226"/>
      <c r="G299" s="225"/>
      <c r="H299" s="226"/>
      <c r="I299" s="211"/>
      <c r="J299" s="226">
        <v>0</v>
      </c>
      <c r="K299" s="252"/>
      <c r="L299" s="226"/>
      <c r="M299" s="227"/>
      <c r="N299" s="227"/>
    </row>
    <row r="300" spans="1:14" ht="15">
      <c r="A300" s="223"/>
      <c r="B300" s="224"/>
      <c r="C300" s="225"/>
      <c r="D300" s="226"/>
      <c r="E300" s="226"/>
      <c r="F300" s="226"/>
      <c r="G300" s="225"/>
      <c r="H300" s="226"/>
      <c r="I300" s="211"/>
      <c r="J300" s="226">
        <v>0</v>
      </c>
      <c r="K300" s="252"/>
      <c r="L300" s="226"/>
      <c r="M300" s="227"/>
      <c r="N300" s="227"/>
    </row>
    <row r="301" spans="1:14" ht="15">
      <c r="A301" s="223"/>
      <c r="B301" s="224"/>
      <c r="C301" s="225"/>
      <c r="D301" s="226"/>
      <c r="E301" s="226"/>
      <c r="F301" s="226"/>
      <c r="G301" s="225"/>
      <c r="H301" s="226"/>
      <c r="I301" s="210"/>
      <c r="J301" s="226">
        <v>0</v>
      </c>
      <c r="K301" s="252"/>
      <c r="L301" s="226"/>
      <c r="M301" s="227"/>
      <c r="N301" s="227"/>
    </row>
    <row r="302" spans="1:14" ht="15">
      <c r="A302" s="223"/>
      <c r="B302" s="224"/>
      <c r="C302" s="225"/>
      <c r="D302" s="226"/>
      <c r="E302" s="226"/>
      <c r="F302" s="226"/>
      <c r="G302" s="225"/>
      <c r="H302" s="226"/>
      <c r="I302" s="228"/>
      <c r="J302" s="226">
        <v>0</v>
      </c>
      <c r="K302" s="252"/>
      <c r="L302" s="226"/>
      <c r="M302" s="227"/>
      <c r="N302" s="227"/>
    </row>
    <row r="303" spans="1:14" ht="13.5" thickBot="1">
      <c r="A303" s="212" t="s">
        <v>191</v>
      </c>
      <c r="B303" s="215"/>
      <c r="C303" s="216">
        <f t="shared" ref="C303:N303" si="5">SUM(C4:C302)</f>
        <v>-61119997</v>
      </c>
      <c r="D303" s="216">
        <f t="shared" si="5"/>
        <v>16758001</v>
      </c>
      <c r="E303" s="216">
        <f t="shared" si="5"/>
        <v>13397003</v>
      </c>
      <c r="F303" s="216">
        <f t="shared" si="5"/>
        <v>0</v>
      </c>
      <c r="G303" s="216">
        <f t="shared" si="5"/>
        <v>1710439</v>
      </c>
      <c r="H303" s="216">
        <f t="shared" si="5"/>
        <v>0</v>
      </c>
      <c r="I303" s="216">
        <f t="shared" si="5"/>
        <v>0</v>
      </c>
      <c r="J303" s="216">
        <f t="shared" si="5"/>
        <v>0</v>
      </c>
      <c r="K303" s="216">
        <f t="shared" si="5"/>
        <v>1709802</v>
      </c>
      <c r="L303" s="216">
        <f t="shared" si="5"/>
        <v>32472993</v>
      </c>
      <c r="M303" s="216">
        <f t="shared" si="5"/>
        <v>119</v>
      </c>
      <c r="N303" s="216">
        <f t="shared" si="5"/>
        <v>32473112</v>
      </c>
    </row>
    <row r="304" spans="1:14" ht="13.5" thickTop="1"/>
  </sheetData>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5"/>
  <sheetViews>
    <sheetView workbookViewId="0">
      <selection activeCell="C4" sqref="C4"/>
    </sheetView>
  </sheetViews>
  <sheetFormatPr defaultRowHeight="12.75"/>
  <cols>
    <col min="1" max="1" width="15.28515625" customWidth="1"/>
    <col min="2" max="2" width="55.5703125" bestFit="1" customWidth="1"/>
    <col min="3" max="7" width="19.28515625" customWidth="1"/>
  </cols>
  <sheetData>
    <row r="1" spans="1:17">
      <c r="A1" s="22">
        <v>1</v>
      </c>
      <c r="B1" s="22">
        <v>2</v>
      </c>
      <c r="C1" s="22">
        <v>3</v>
      </c>
      <c r="D1" s="22">
        <v>4</v>
      </c>
      <c r="E1" s="22">
        <v>5</v>
      </c>
      <c r="F1" s="22">
        <v>6</v>
      </c>
      <c r="G1" s="22">
        <v>7</v>
      </c>
    </row>
    <row r="2" spans="1:17" ht="15">
      <c r="C2" s="60">
        <v>2019</v>
      </c>
      <c r="D2" s="60">
        <v>2020</v>
      </c>
      <c r="E2" s="60">
        <v>2021</v>
      </c>
      <c r="F2" s="60">
        <v>2022</v>
      </c>
      <c r="G2" s="60">
        <v>2023</v>
      </c>
    </row>
    <row r="3" spans="1:17" ht="45">
      <c r="A3" s="60" t="s">
        <v>162</v>
      </c>
      <c r="B3" s="60" t="s">
        <v>163</v>
      </c>
      <c r="C3" s="60" t="s">
        <v>128</v>
      </c>
      <c r="D3" s="60" t="s">
        <v>128</v>
      </c>
      <c r="E3" s="60" t="s">
        <v>128</v>
      </c>
      <c r="F3" s="60" t="s">
        <v>128</v>
      </c>
      <c r="G3" s="60" t="s">
        <v>128</v>
      </c>
    </row>
    <row r="4" spans="1:17" ht="15">
      <c r="A4" s="218">
        <v>10200</v>
      </c>
      <c r="B4" s="219" t="s">
        <v>256</v>
      </c>
      <c r="C4" s="229">
        <v>7982</v>
      </c>
      <c r="D4" s="229">
        <v>7982</v>
      </c>
      <c r="E4" s="229">
        <v>7979</v>
      </c>
      <c r="F4" s="229">
        <v>3214</v>
      </c>
      <c r="G4" s="229">
        <v>0</v>
      </c>
      <c r="M4" s="256">
        <f>ROUND(C4,0)</f>
        <v>7982</v>
      </c>
      <c r="N4" s="256">
        <f t="shared" ref="N4:Q4" si="0">ROUND(D4,0)</f>
        <v>7982</v>
      </c>
      <c r="O4" s="256">
        <f t="shared" si="0"/>
        <v>7979</v>
      </c>
      <c r="P4" s="256">
        <f t="shared" si="0"/>
        <v>3214</v>
      </c>
      <c r="Q4" s="256">
        <f t="shared" si="0"/>
        <v>0</v>
      </c>
    </row>
    <row r="5" spans="1:17" ht="15">
      <c r="A5" s="218">
        <v>10400</v>
      </c>
      <c r="B5" s="219" t="s">
        <v>257</v>
      </c>
      <c r="C5" s="229">
        <v>29868</v>
      </c>
      <c r="D5" s="229">
        <v>29868</v>
      </c>
      <c r="E5" s="229">
        <v>29860</v>
      </c>
      <c r="F5" s="229">
        <v>9465</v>
      </c>
      <c r="G5" s="229">
        <v>0</v>
      </c>
      <c r="M5" s="256">
        <f t="shared" ref="M5:M68" si="1">ROUND(C5,0)</f>
        <v>29868</v>
      </c>
      <c r="N5" s="256">
        <f t="shared" ref="N5:N68" si="2">ROUND(D5,0)</f>
        <v>29868</v>
      </c>
      <c r="O5" s="256">
        <f t="shared" ref="O5:O68" si="3">ROUND(E5,0)</f>
        <v>29860</v>
      </c>
      <c r="P5" s="256">
        <f t="shared" ref="P5:P68" si="4">ROUND(F5,0)</f>
        <v>9465</v>
      </c>
      <c r="Q5" s="256">
        <f t="shared" ref="Q5:Q68" si="5">ROUND(G5,0)</f>
        <v>0</v>
      </c>
    </row>
    <row r="6" spans="1:17" ht="15">
      <c r="A6" s="218">
        <v>10500</v>
      </c>
      <c r="B6" s="219" t="s">
        <v>258</v>
      </c>
      <c r="C6" s="229">
        <v>5001</v>
      </c>
      <c r="D6" s="229">
        <v>5001</v>
      </c>
      <c r="E6" s="229">
        <v>4999</v>
      </c>
      <c r="F6" s="229">
        <v>2346</v>
      </c>
      <c r="G6" s="229">
        <v>0</v>
      </c>
      <c r="M6" s="256">
        <f t="shared" si="1"/>
        <v>5001</v>
      </c>
      <c r="N6" s="256">
        <f t="shared" si="2"/>
        <v>5001</v>
      </c>
      <c r="O6" s="256">
        <f t="shared" si="3"/>
        <v>4999</v>
      </c>
      <c r="P6" s="256">
        <f t="shared" si="4"/>
        <v>2346</v>
      </c>
      <c r="Q6" s="256">
        <f t="shared" si="5"/>
        <v>0</v>
      </c>
    </row>
    <row r="7" spans="1:17" ht="15">
      <c r="A7" s="218">
        <v>10700</v>
      </c>
      <c r="B7" s="219" t="s">
        <v>259</v>
      </c>
      <c r="C7" s="229">
        <v>42449</v>
      </c>
      <c r="D7" s="229">
        <v>42449</v>
      </c>
      <c r="E7" s="229">
        <v>42437</v>
      </c>
      <c r="F7" s="229">
        <v>13678</v>
      </c>
      <c r="G7" s="229">
        <v>0</v>
      </c>
      <c r="M7" s="256">
        <f t="shared" si="1"/>
        <v>42449</v>
      </c>
      <c r="N7" s="256">
        <f t="shared" si="2"/>
        <v>42449</v>
      </c>
      <c r="O7" s="256">
        <f t="shared" si="3"/>
        <v>42437</v>
      </c>
      <c r="P7" s="256">
        <f t="shared" si="4"/>
        <v>13678</v>
      </c>
      <c r="Q7" s="256">
        <f t="shared" si="5"/>
        <v>0</v>
      </c>
    </row>
    <row r="8" spans="1:17" ht="15">
      <c r="A8" s="218">
        <v>10800</v>
      </c>
      <c r="B8" s="219" t="s">
        <v>260</v>
      </c>
      <c r="C8" s="229">
        <v>172745</v>
      </c>
      <c r="D8" s="229">
        <v>172745</v>
      </c>
      <c r="E8" s="229">
        <v>172693</v>
      </c>
      <c r="F8" s="229">
        <v>58419</v>
      </c>
      <c r="G8" s="229">
        <v>0</v>
      </c>
      <c r="M8" s="256">
        <f t="shared" si="1"/>
        <v>172745</v>
      </c>
      <c r="N8" s="256">
        <f t="shared" si="2"/>
        <v>172745</v>
      </c>
      <c r="O8" s="256">
        <f t="shared" si="3"/>
        <v>172693</v>
      </c>
      <c r="P8" s="256">
        <f t="shared" si="4"/>
        <v>58419</v>
      </c>
      <c r="Q8" s="256">
        <f t="shared" si="5"/>
        <v>0</v>
      </c>
    </row>
    <row r="9" spans="1:17" ht="15">
      <c r="A9" s="218">
        <v>10850</v>
      </c>
      <c r="B9" s="219" t="s">
        <v>261</v>
      </c>
      <c r="C9" s="229">
        <v>1975</v>
      </c>
      <c r="D9" s="229">
        <v>1975</v>
      </c>
      <c r="E9" s="229">
        <v>1974</v>
      </c>
      <c r="F9" s="229">
        <v>432</v>
      </c>
      <c r="G9" s="229">
        <v>0</v>
      </c>
      <c r="M9" s="256">
        <f t="shared" si="1"/>
        <v>1975</v>
      </c>
      <c r="N9" s="256">
        <f t="shared" si="2"/>
        <v>1975</v>
      </c>
      <c r="O9" s="256">
        <f t="shared" si="3"/>
        <v>1974</v>
      </c>
      <c r="P9" s="256">
        <f t="shared" si="4"/>
        <v>432</v>
      </c>
      <c r="Q9" s="256">
        <f t="shared" si="5"/>
        <v>0</v>
      </c>
    </row>
    <row r="10" spans="1:17" ht="15">
      <c r="A10" s="218">
        <v>10900</v>
      </c>
      <c r="B10" s="219" t="s">
        <v>262</v>
      </c>
      <c r="C10" s="229">
        <v>22640</v>
      </c>
      <c r="D10" s="229">
        <v>22640</v>
      </c>
      <c r="E10" s="229">
        <v>22636</v>
      </c>
      <c r="F10" s="229">
        <v>5098</v>
      </c>
      <c r="G10" s="229">
        <v>0</v>
      </c>
      <c r="M10" s="256">
        <f t="shared" si="1"/>
        <v>22640</v>
      </c>
      <c r="N10" s="256">
        <f t="shared" si="2"/>
        <v>22640</v>
      </c>
      <c r="O10" s="256">
        <f t="shared" si="3"/>
        <v>22636</v>
      </c>
      <c r="P10" s="256">
        <f t="shared" si="4"/>
        <v>5098</v>
      </c>
      <c r="Q10" s="256">
        <f t="shared" si="5"/>
        <v>0</v>
      </c>
    </row>
    <row r="11" spans="1:17" ht="15">
      <c r="A11" s="218">
        <v>10910</v>
      </c>
      <c r="B11" s="219" t="s">
        <v>263</v>
      </c>
      <c r="C11" s="229">
        <v>1891</v>
      </c>
      <c r="D11" s="229">
        <v>1891</v>
      </c>
      <c r="E11" s="229">
        <v>1890</v>
      </c>
      <c r="F11" s="229">
        <v>877</v>
      </c>
      <c r="G11" s="229">
        <v>0</v>
      </c>
      <c r="M11" s="256">
        <f t="shared" si="1"/>
        <v>1891</v>
      </c>
      <c r="N11" s="256">
        <f t="shared" si="2"/>
        <v>1891</v>
      </c>
      <c r="O11" s="256">
        <f t="shared" si="3"/>
        <v>1890</v>
      </c>
      <c r="P11" s="256">
        <f t="shared" si="4"/>
        <v>877</v>
      </c>
      <c r="Q11" s="256">
        <f t="shared" si="5"/>
        <v>0</v>
      </c>
    </row>
    <row r="12" spans="1:17" ht="15">
      <c r="A12" s="218">
        <v>10930</v>
      </c>
      <c r="B12" s="219" t="s">
        <v>264</v>
      </c>
      <c r="C12" s="229">
        <v>25734</v>
      </c>
      <c r="D12" s="229">
        <v>25734</v>
      </c>
      <c r="E12" s="229">
        <v>25727</v>
      </c>
      <c r="F12" s="229">
        <v>7905</v>
      </c>
      <c r="G12" s="229">
        <v>0</v>
      </c>
      <c r="M12" s="256">
        <f t="shared" si="1"/>
        <v>25734</v>
      </c>
      <c r="N12" s="256">
        <f t="shared" si="2"/>
        <v>25734</v>
      </c>
      <c r="O12" s="256">
        <f t="shared" si="3"/>
        <v>25727</v>
      </c>
      <c r="P12" s="256">
        <f t="shared" si="4"/>
        <v>7905</v>
      </c>
      <c r="Q12" s="256">
        <f t="shared" si="5"/>
        <v>0</v>
      </c>
    </row>
    <row r="13" spans="1:17" ht="15">
      <c r="A13" s="218">
        <v>10940</v>
      </c>
      <c r="B13" s="219" t="s">
        <v>265</v>
      </c>
      <c r="C13" s="229">
        <v>7448</v>
      </c>
      <c r="D13" s="229">
        <v>7448</v>
      </c>
      <c r="E13" s="229">
        <v>7446</v>
      </c>
      <c r="F13" s="229">
        <v>1971</v>
      </c>
      <c r="G13" s="229">
        <v>0</v>
      </c>
      <c r="M13" s="256">
        <f t="shared" si="1"/>
        <v>7448</v>
      </c>
      <c r="N13" s="256">
        <f t="shared" si="2"/>
        <v>7448</v>
      </c>
      <c r="O13" s="256">
        <f t="shared" si="3"/>
        <v>7446</v>
      </c>
      <c r="P13" s="256">
        <f t="shared" si="4"/>
        <v>1971</v>
      </c>
      <c r="Q13" s="256">
        <f t="shared" si="5"/>
        <v>0</v>
      </c>
    </row>
    <row r="14" spans="1:17" ht="15">
      <c r="A14" s="218">
        <v>10950</v>
      </c>
      <c r="B14" s="219" t="s">
        <v>36</v>
      </c>
      <c r="C14" s="229">
        <v>7487</v>
      </c>
      <c r="D14" s="229">
        <v>7487</v>
      </c>
      <c r="E14" s="229">
        <v>7485</v>
      </c>
      <c r="F14" s="229">
        <v>2519</v>
      </c>
      <c r="G14" s="229">
        <v>0</v>
      </c>
      <c r="M14" s="256">
        <f t="shared" si="1"/>
        <v>7487</v>
      </c>
      <c r="N14" s="256">
        <f t="shared" si="2"/>
        <v>7487</v>
      </c>
      <c r="O14" s="256">
        <f t="shared" si="3"/>
        <v>7485</v>
      </c>
      <c r="P14" s="256">
        <f t="shared" si="4"/>
        <v>2519</v>
      </c>
      <c r="Q14" s="256">
        <f t="shared" si="5"/>
        <v>0</v>
      </c>
    </row>
    <row r="15" spans="1:17" ht="15">
      <c r="A15" s="218">
        <v>11300</v>
      </c>
      <c r="B15" s="219" t="s">
        <v>266</v>
      </c>
      <c r="C15" s="229">
        <v>56657</v>
      </c>
      <c r="D15" s="229">
        <v>56657</v>
      </c>
      <c r="E15" s="229">
        <v>56645</v>
      </c>
      <c r="F15" s="229">
        <v>13893</v>
      </c>
      <c r="G15" s="229">
        <v>0</v>
      </c>
      <c r="M15" s="256">
        <f t="shared" si="1"/>
        <v>56657</v>
      </c>
      <c r="N15" s="256">
        <f t="shared" si="2"/>
        <v>56657</v>
      </c>
      <c r="O15" s="256">
        <f t="shared" si="3"/>
        <v>56645</v>
      </c>
      <c r="P15" s="256">
        <f t="shared" si="4"/>
        <v>13893</v>
      </c>
      <c r="Q15" s="256">
        <f t="shared" si="5"/>
        <v>0</v>
      </c>
    </row>
    <row r="16" spans="1:17" ht="15">
      <c r="A16" s="218">
        <v>11310</v>
      </c>
      <c r="B16" s="219" t="s">
        <v>112</v>
      </c>
      <c r="C16" s="229">
        <v>5040</v>
      </c>
      <c r="D16" s="229">
        <v>5040</v>
      </c>
      <c r="E16" s="229">
        <v>5039</v>
      </c>
      <c r="F16" s="229">
        <v>1505</v>
      </c>
      <c r="G16" s="229">
        <v>0</v>
      </c>
      <c r="M16" s="256">
        <f t="shared" si="1"/>
        <v>5040</v>
      </c>
      <c r="N16" s="256">
        <f t="shared" si="2"/>
        <v>5040</v>
      </c>
      <c r="O16" s="256">
        <f t="shared" si="3"/>
        <v>5039</v>
      </c>
      <c r="P16" s="256">
        <f t="shared" si="4"/>
        <v>1505</v>
      </c>
      <c r="Q16" s="256">
        <f t="shared" si="5"/>
        <v>0</v>
      </c>
    </row>
    <row r="17" spans="1:17" ht="15">
      <c r="A17" s="218">
        <v>11600</v>
      </c>
      <c r="B17" s="219" t="s">
        <v>267</v>
      </c>
      <c r="C17" s="229">
        <v>17065</v>
      </c>
      <c r="D17" s="229">
        <v>17065</v>
      </c>
      <c r="E17" s="229">
        <v>17059</v>
      </c>
      <c r="F17" s="229">
        <v>6383</v>
      </c>
      <c r="G17" s="229">
        <v>0</v>
      </c>
      <c r="M17" s="256">
        <f t="shared" si="1"/>
        <v>17065</v>
      </c>
      <c r="N17" s="256">
        <f t="shared" si="2"/>
        <v>17065</v>
      </c>
      <c r="O17" s="256">
        <f t="shared" si="3"/>
        <v>17059</v>
      </c>
      <c r="P17" s="256">
        <f t="shared" si="4"/>
        <v>6383</v>
      </c>
      <c r="Q17" s="256">
        <f t="shared" si="5"/>
        <v>0</v>
      </c>
    </row>
    <row r="18" spans="1:17" ht="15">
      <c r="A18" s="218">
        <v>11900</v>
      </c>
      <c r="B18" s="219" t="s">
        <v>268</v>
      </c>
      <c r="C18" s="229">
        <v>2222</v>
      </c>
      <c r="D18" s="229">
        <v>2222</v>
      </c>
      <c r="E18" s="229">
        <v>2221</v>
      </c>
      <c r="F18" s="229">
        <v>629</v>
      </c>
      <c r="G18" s="229">
        <v>0</v>
      </c>
      <c r="M18" s="256">
        <f t="shared" si="1"/>
        <v>2222</v>
      </c>
      <c r="N18" s="256">
        <f t="shared" si="2"/>
        <v>2222</v>
      </c>
      <c r="O18" s="256">
        <f t="shared" si="3"/>
        <v>2221</v>
      </c>
      <c r="P18" s="256">
        <f t="shared" si="4"/>
        <v>629</v>
      </c>
      <c r="Q18" s="256">
        <f t="shared" si="5"/>
        <v>0</v>
      </c>
    </row>
    <row r="19" spans="1:17" ht="15">
      <c r="A19" s="218">
        <v>12100</v>
      </c>
      <c r="B19" s="219" t="s">
        <v>269</v>
      </c>
      <c r="C19" s="229">
        <v>2319</v>
      </c>
      <c r="D19" s="229">
        <v>2319</v>
      </c>
      <c r="E19" s="229">
        <v>2319</v>
      </c>
      <c r="F19" s="229">
        <v>796</v>
      </c>
      <c r="G19" s="229">
        <v>0</v>
      </c>
      <c r="M19" s="256">
        <f t="shared" si="1"/>
        <v>2319</v>
      </c>
      <c r="N19" s="256">
        <f t="shared" si="2"/>
        <v>2319</v>
      </c>
      <c r="O19" s="256">
        <f t="shared" si="3"/>
        <v>2319</v>
      </c>
      <c r="P19" s="256">
        <f t="shared" si="4"/>
        <v>796</v>
      </c>
      <c r="Q19" s="256">
        <f t="shared" si="5"/>
        <v>0</v>
      </c>
    </row>
    <row r="20" spans="1:17" ht="15">
      <c r="A20" s="218">
        <v>12150</v>
      </c>
      <c r="B20" s="219" t="s">
        <v>270</v>
      </c>
      <c r="C20" s="229">
        <v>225</v>
      </c>
      <c r="D20" s="229">
        <v>225</v>
      </c>
      <c r="E20" s="229">
        <v>225</v>
      </c>
      <c r="F20" s="229">
        <v>124</v>
      </c>
      <c r="G20" s="229">
        <v>0</v>
      </c>
      <c r="M20" s="256">
        <f t="shared" si="1"/>
        <v>225</v>
      </c>
      <c r="N20" s="256">
        <f t="shared" si="2"/>
        <v>225</v>
      </c>
      <c r="O20" s="256">
        <f t="shared" si="3"/>
        <v>225</v>
      </c>
      <c r="P20" s="256">
        <f t="shared" si="4"/>
        <v>124</v>
      </c>
      <c r="Q20" s="256">
        <f t="shared" si="5"/>
        <v>0</v>
      </c>
    </row>
    <row r="21" spans="1:17" ht="15">
      <c r="A21" s="218">
        <v>12160</v>
      </c>
      <c r="B21" s="219" t="s">
        <v>271</v>
      </c>
      <c r="C21" s="229">
        <v>19331</v>
      </c>
      <c r="D21" s="229">
        <v>19331</v>
      </c>
      <c r="E21" s="229">
        <v>19326</v>
      </c>
      <c r="F21" s="229">
        <v>5523</v>
      </c>
      <c r="G21" s="229">
        <v>0</v>
      </c>
      <c r="M21" s="256">
        <f t="shared" si="1"/>
        <v>19331</v>
      </c>
      <c r="N21" s="256">
        <f t="shared" si="2"/>
        <v>19331</v>
      </c>
      <c r="O21" s="256">
        <f t="shared" si="3"/>
        <v>19326</v>
      </c>
      <c r="P21" s="256">
        <f t="shared" si="4"/>
        <v>5523</v>
      </c>
      <c r="Q21" s="256">
        <f t="shared" si="5"/>
        <v>0</v>
      </c>
    </row>
    <row r="22" spans="1:17" ht="15">
      <c r="A22" s="218">
        <v>12200</v>
      </c>
      <c r="B22" s="219" t="s">
        <v>524</v>
      </c>
      <c r="C22" s="229">
        <v>-66</v>
      </c>
      <c r="D22" s="229">
        <v>-66</v>
      </c>
      <c r="E22" s="229">
        <v>-66</v>
      </c>
      <c r="F22" s="229">
        <v>10</v>
      </c>
      <c r="G22" s="229">
        <v>0</v>
      </c>
      <c r="M22" s="256">
        <f t="shared" si="1"/>
        <v>-66</v>
      </c>
      <c r="N22" s="256">
        <f t="shared" si="2"/>
        <v>-66</v>
      </c>
      <c r="O22" s="256">
        <f t="shared" si="3"/>
        <v>-66</v>
      </c>
      <c r="P22" s="256">
        <f t="shared" si="4"/>
        <v>10</v>
      </c>
      <c r="Q22" s="256">
        <f t="shared" si="5"/>
        <v>0</v>
      </c>
    </row>
    <row r="23" spans="1:17" ht="15">
      <c r="A23" s="218">
        <v>12220</v>
      </c>
      <c r="B23" s="219" t="s">
        <v>272</v>
      </c>
      <c r="C23" s="229">
        <v>459910</v>
      </c>
      <c r="D23" s="229">
        <v>459910</v>
      </c>
      <c r="E23" s="229">
        <v>459785</v>
      </c>
      <c r="F23" s="229">
        <v>139825</v>
      </c>
      <c r="G23" s="229">
        <v>0</v>
      </c>
      <c r="M23" s="256">
        <f t="shared" si="1"/>
        <v>459910</v>
      </c>
      <c r="N23" s="256">
        <f t="shared" si="2"/>
        <v>459910</v>
      </c>
      <c r="O23" s="256">
        <f t="shared" si="3"/>
        <v>459785</v>
      </c>
      <c r="P23" s="256">
        <f t="shared" si="4"/>
        <v>139825</v>
      </c>
      <c r="Q23" s="256">
        <f t="shared" si="5"/>
        <v>0</v>
      </c>
    </row>
    <row r="24" spans="1:17" ht="15">
      <c r="A24" s="218">
        <v>12510</v>
      </c>
      <c r="B24" s="219" t="s">
        <v>273</v>
      </c>
      <c r="C24" s="229">
        <v>60143</v>
      </c>
      <c r="D24" s="229">
        <v>60143</v>
      </c>
      <c r="E24" s="229">
        <v>60129</v>
      </c>
      <c r="F24" s="229">
        <v>15302</v>
      </c>
      <c r="G24" s="229">
        <v>0</v>
      </c>
      <c r="M24" s="256">
        <f t="shared" si="1"/>
        <v>60143</v>
      </c>
      <c r="N24" s="256">
        <f t="shared" si="2"/>
        <v>60143</v>
      </c>
      <c r="O24" s="256">
        <f t="shared" si="3"/>
        <v>60129</v>
      </c>
      <c r="P24" s="256">
        <f t="shared" si="4"/>
        <v>15302</v>
      </c>
      <c r="Q24" s="256">
        <f t="shared" si="5"/>
        <v>0</v>
      </c>
    </row>
    <row r="25" spans="1:17" ht="15">
      <c r="A25" s="218">
        <v>12600</v>
      </c>
      <c r="B25" s="219" t="s">
        <v>274</v>
      </c>
      <c r="C25" s="229">
        <v>16560</v>
      </c>
      <c r="D25" s="229">
        <v>16560</v>
      </c>
      <c r="E25" s="229">
        <v>16556</v>
      </c>
      <c r="F25" s="229">
        <v>4175</v>
      </c>
      <c r="G25" s="229">
        <v>0</v>
      </c>
      <c r="M25" s="256">
        <f t="shared" si="1"/>
        <v>16560</v>
      </c>
      <c r="N25" s="256">
        <f t="shared" si="2"/>
        <v>16560</v>
      </c>
      <c r="O25" s="256">
        <f t="shared" si="3"/>
        <v>16556</v>
      </c>
      <c r="P25" s="256">
        <f t="shared" si="4"/>
        <v>4175</v>
      </c>
      <c r="Q25" s="256">
        <f t="shared" si="5"/>
        <v>0</v>
      </c>
    </row>
    <row r="26" spans="1:17" ht="15">
      <c r="A26" s="218">
        <v>12700</v>
      </c>
      <c r="B26" s="219" t="s">
        <v>275</v>
      </c>
      <c r="C26" s="229">
        <v>12330</v>
      </c>
      <c r="D26" s="229">
        <v>12330</v>
      </c>
      <c r="E26" s="229">
        <v>12327</v>
      </c>
      <c r="F26" s="229">
        <v>3262</v>
      </c>
      <c r="G26" s="229">
        <v>0</v>
      </c>
      <c r="M26" s="256">
        <f t="shared" si="1"/>
        <v>12330</v>
      </c>
      <c r="N26" s="256">
        <f t="shared" si="2"/>
        <v>12330</v>
      </c>
      <c r="O26" s="256">
        <f t="shared" si="3"/>
        <v>12327</v>
      </c>
      <c r="P26" s="256">
        <f t="shared" si="4"/>
        <v>3262</v>
      </c>
      <c r="Q26" s="256">
        <f t="shared" si="5"/>
        <v>0</v>
      </c>
    </row>
    <row r="27" spans="1:17" ht="15">
      <c r="A27" s="218">
        <v>13500</v>
      </c>
      <c r="B27" s="219" t="s">
        <v>276</v>
      </c>
      <c r="C27" s="229">
        <v>40585</v>
      </c>
      <c r="D27" s="229">
        <v>40585</v>
      </c>
      <c r="E27" s="229">
        <v>40573</v>
      </c>
      <c r="F27" s="229">
        <v>12992</v>
      </c>
      <c r="G27" s="229">
        <v>0</v>
      </c>
      <c r="M27" s="256">
        <f t="shared" si="1"/>
        <v>40585</v>
      </c>
      <c r="N27" s="256">
        <f t="shared" si="2"/>
        <v>40585</v>
      </c>
      <c r="O27" s="256">
        <f t="shared" si="3"/>
        <v>40573</v>
      </c>
      <c r="P27" s="256">
        <f t="shared" si="4"/>
        <v>12992</v>
      </c>
      <c r="Q27" s="256">
        <f t="shared" si="5"/>
        <v>0</v>
      </c>
    </row>
    <row r="28" spans="1:17" ht="15">
      <c r="A28" s="218">
        <v>13700</v>
      </c>
      <c r="B28" s="219" t="s">
        <v>277</v>
      </c>
      <c r="C28" s="229">
        <v>5783</v>
      </c>
      <c r="D28" s="229">
        <v>5783</v>
      </c>
      <c r="E28" s="229">
        <v>5781</v>
      </c>
      <c r="F28" s="229">
        <v>1372</v>
      </c>
      <c r="G28" s="229">
        <v>0</v>
      </c>
      <c r="M28" s="256">
        <f t="shared" si="1"/>
        <v>5783</v>
      </c>
      <c r="N28" s="256">
        <f t="shared" si="2"/>
        <v>5783</v>
      </c>
      <c r="O28" s="256">
        <f t="shared" si="3"/>
        <v>5781</v>
      </c>
      <c r="P28" s="256">
        <f t="shared" si="4"/>
        <v>1372</v>
      </c>
      <c r="Q28" s="256">
        <f t="shared" si="5"/>
        <v>0</v>
      </c>
    </row>
    <row r="29" spans="1:17" ht="15">
      <c r="A29" s="218">
        <v>14300</v>
      </c>
      <c r="B29" s="219" t="s">
        <v>525</v>
      </c>
      <c r="C29" s="229">
        <v>11398</v>
      </c>
      <c r="D29" s="229">
        <v>11398</v>
      </c>
      <c r="E29" s="229">
        <v>11394</v>
      </c>
      <c r="F29" s="229">
        <v>4928</v>
      </c>
      <c r="G29" s="229">
        <v>0</v>
      </c>
      <c r="M29" s="256">
        <f t="shared" si="1"/>
        <v>11398</v>
      </c>
      <c r="N29" s="256">
        <f t="shared" si="2"/>
        <v>11398</v>
      </c>
      <c r="O29" s="256">
        <f t="shared" si="3"/>
        <v>11394</v>
      </c>
      <c r="P29" s="256">
        <f t="shared" si="4"/>
        <v>4928</v>
      </c>
      <c r="Q29" s="256">
        <f t="shared" si="5"/>
        <v>0</v>
      </c>
    </row>
    <row r="30" spans="1:17" ht="15">
      <c r="A30" s="218">
        <v>14300.2</v>
      </c>
      <c r="B30" s="219" t="s">
        <v>526</v>
      </c>
      <c r="C30" s="229">
        <v>1654</v>
      </c>
      <c r="D30" s="229">
        <v>1654</v>
      </c>
      <c r="E30" s="229">
        <v>1654</v>
      </c>
      <c r="F30" s="229">
        <v>571</v>
      </c>
      <c r="G30" s="229">
        <v>0</v>
      </c>
      <c r="M30" s="256">
        <f t="shared" si="1"/>
        <v>1654</v>
      </c>
      <c r="N30" s="256">
        <f t="shared" si="2"/>
        <v>1654</v>
      </c>
      <c r="O30" s="256">
        <f t="shared" si="3"/>
        <v>1654</v>
      </c>
      <c r="P30" s="256">
        <f t="shared" si="4"/>
        <v>571</v>
      </c>
      <c r="Q30" s="256">
        <f t="shared" si="5"/>
        <v>0</v>
      </c>
    </row>
    <row r="31" spans="1:17" ht="15">
      <c r="A31" s="218">
        <v>18400</v>
      </c>
      <c r="B31" s="219" t="s">
        <v>279</v>
      </c>
      <c r="C31" s="229">
        <v>55468</v>
      </c>
      <c r="D31" s="229">
        <v>55468</v>
      </c>
      <c r="E31" s="229">
        <v>55454</v>
      </c>
      <c r="F31" s="229">
        <v>16278</v>
      </c>
      <c r="G31" s="229">
        <v>0</v>
      </c>
      <c r="M31" s="256">
        <f t="shared" si="1"/>
        <v>55468</v>
      </c>
      <c r="N31" s="256">
        <f t="shared" si="2"/>
        <v>55468</v>
      </c>
      <c r="O31" s="256">
        <f t="shared" si="3"/>
        <v>55454</v>
      </c>
      <c r="P31" s="256">
        <f t="shared" si="4"/>
        <v>16278</v>
      </c>
      <c r="Q31" s="256">
        <f t="shared" si="5"/>
        <v>0</v>
      </c>
    </row>
    <row r="32" spans="1:17" ht="15">
      <c r="A32" s="218">
        <v>18600</v>
      </c>
      <c r="B32" s="219" t="s">
        <v>280</v>
      </c>
      <c r="C32" s="229">
        <v>236</v>
      </c>
      <c r="D32" s="229">
        <v>236</v>
      </c>
      <c r="E32" s="229">
        <v>236</v>
      </c>
      <c r="F32" s="229">
        <v>46</v>
      </c>
      <c r="G32" s="229">
        <v>0</v>
      </c>
      <c r="M32" s="256">
        <f t="shared" si="1"/>
        <v>236</v>
      </c>
      <c r="N32" s="256">
        <f t="shared" si="2"/>
        <v>236</v>
      </c>
      <c r="O32" s="256">
        <f t="shared" si="3"/>
        <v>236</v>
      </c>
      <c r="P32" s="256">
        <f t="shared" si="4"/>
        <v>46</v>
      </c>
      <c r="Q32" s="256">
        <f t="shared" si="5"/>
        <v>0</v>
      </c>
    </row>
    <row r="33" spans="1:17" ht="15">
      <c r="A33" s="218">
        <v>18690</v>
      </c>
      <c r="B33" s="219" t="s">
        <v>282</v>
      </c>
      <c r="C33" s="229">
        <v>123</v>
      </c>
      <c r="D33" s="229">
        <v>123</v>
      </c>
      <c r="E33" s="229">
        <v>123</v>
      </c>
      <c r="F33" s="229">
        <v>0</v>
      </c>
      <c r="G33" s="229">
        <v>0</v>
      </c>
      <c r="M33" s="256">
        <f t="shared" si="1"/>
        <v>123</v>
      </c>
      <c r="N33" s="256">
        <f t="shared" si="2"/>
        <v>123</v>
      </c>
      <c r="O33" s="256">
        <f t="shared" si="3"/>
        <v>123</v>
      </c>
      <c r="P33" s="256">
        <f t="shared" si="4"/>
        <v>0</v>
      </c>
      <c r="Q33" s="256">
        <f t="shared" si="5"/>
        <v>0</v>
      </c>
    </row>
    <row r="34" spans="1:17" ht="15">
      <c r="A34" s="218">
        <v>18740</v>
      </c>
      <c r="B34" s="219" t="s">
        <v>283</v>
      </c>
      <c r="C34" s="229">
        <v>75</v>
      </c>
      <c r="D34" s="229">
        <v>75</v>
      </c>
      <c r="E34" s="229">
        <v>75</v>
      </c>
      <c r="F34" s="229">
        <v>23</v>
      </c>
      <c r="G34" s="229">
        <v>0</v>
      </c>
      <c r="M34" s="256">
        <f t="shared" si="1"/>
        <v>75</v>
      </c>
      <c r="N34" s="256">
        <f t="shared" si="2"/>
        <v>75</v>
      </c>
      <c r="O34" s="256">
        <f t="shared" si="3"/>
        <v>75</v>
      </c>
      <c r="P34" s="256">
        <f t="shared" si="4"/>
        <v>23</v>
      </c>
      <c r="Q34" s="256">
        <f t="shared" si="5"/>
        <v>0</v>
      </c>
    </row>
    <row r="35" spans="1:17" ht="15">
      <c r="A35" s="218">
        <v>18780</v>
      </c>
      <c r="B35" s="219" t="s">
        <v>284</v>
      </c>
      <c r="C35" s="229">
        <v>190</v>
      </c>
      <c r="D35" s="229">
        <v>190</v>
      </c>
      <c r="E35" s="229">
        <v>190</v>
      </c>
      <c r="F35" s="229">
        <v>39</v>
      </c>
      <c r="G35" s="229">
        <v>0</v>
      </c>
      <c r="M35" s="256">
        <f t="shared" si="1"/>
        <v>190</v>
      </c>
      <c r="N35" s="256">
        <f t="shared" si="2"/>
        <v>190</v>
      </c>
      <c r="O35" s="256">
        <f t="shared" si="3"/>
        <v>190</v>
      </c>
      <c r="P35" s="256">
        <f t="shared" si="4"/>
        <v>39</v>
      </c>
      <c r="Q35" s="256">
        <f t="shared" si="5"/>
        <v>0</v>
      </c>
    </row>
    <row r="36" spans="1:17" ht="15">
      <c r="A36" s="218">
        <v>19005</v>
      </c>
      <c r="B36" s="219" t="s">
        <v>285</v>
      </c>
      <c r="C36" s="229">
        <v>8785</v>
      </c>
      <c r="D36" s="229">
        <v>8785</v>
      </c>
      <c r="E36" s="229">
        <v>8784</v>
      </c>
      <c r="F36" s="229">
        <v>2190</v>
      </c>
      <c r="G36" s="229">
        <v>0</v>
      </c>
      <c r="M36" s="256">
        <f t="shared" si="1"/>
        <v>8785</v>
      </c>
      <c r="N36" s="256">
        <f t="shared" si="2"/>
        <v>8785</v>
      </c>
      <c r="O36" s="256">
        <f t="shared" si="3"/>
        <v>8784</v>
      </c>
      <c r="P36" s="256">
        <f t="shared" si="4"/>
        <v>2190</v>
      </c>
      <c r="Q36" s="256">
        <f t="shared" si="5"/>
        <v>0</v>
      </c>
    </row>
    <row r="37" spans="1:17" ht="15">
      <c r="A37" s="218">
        <v>19100</v>
      </c>
      <c r="B37" s="219" t="s">
        <v>286</v>
      </c>
      <c r="C37" s="229">
        <v>589005</v>
      </c>
      <c r="D37" s="229">
        <v>589005</v>
      </c>
      <c r="E37" s="229">
        <v>588820</v>
      </c>
      <c r="F37" s="229">
        <v>206855</v>
      </c>
      <c r="G37" s="229">
        <v>0</v>
      </c>
      <c r="M37" s="256">
        <f t="shared" si="1"/>
        <v>589005</v>
      </c>
      <c r="N37" s="256">
        <f t="shared" si="2"/>
        <v>589005</v>
      </c>
      <c r="O37" s="256">
        <f t="shared" si="3"/>
        <v>588820</v>
      </c>
      <c r="P37" s="256">
        <f t="shared" si="4"/>
        <v>206855</v>
      </c>
      <c r="Q37" s="256">
        <f t="shared" si="5"/>
        <v>0</v>
      </c>
    </row>
    <row r="38" spans="1:17" ht="15">
      <c r="A38" s="218">
        <v>20100</v>
      </c>
      <c r="B38" s="219" t="s">
        <v>37</v>
      </c>
      <c r="C38" s="229">
        <v>90787</v>
      </c>
      <c r="D38" s="229">
        <v>90787</v>
      </c>
      <c r="E38" s="229">
        <v>90756</v>
      </c>
      <c r="F38" s="229">
        <v>35153</v>
      </c>
      <c r="G38" s="229">
        <v>0</v>
      </c>
      <c r="M38" s="256">
        <f t="shared" si="1"/>
        <v>90787</v>
      </c>
      <c r="N38" s="256">
        <f t="shared" si="2"/>
        <v>90787</v>
      </c>
      <c r="O38" s="256">
        <f t="shared" si="3"/>
        <v>90756</v>
      </c>
      <c r="P38" s="256">
        <f t="shared" si="4"/>
        <v>35153</v>
      </c>
      <c r="Q38" s="256">
        <f t="shared" si="5"/>
        <v>0</v>
      </c>
    </row>
    <row r="39" spans="1:17" ht="15">
      <c r="A39" s="218">
        <v>20200</v>
      </c>
      <c r="B39" s="219" t="s">
        <v>38</v>
      </c>
      <c r="C39" s="229">
        <v>13370</v>
      </c>
      <c r="D39" s="229">
        <v>13370</v>
      </c>
      <c r="E39" s="229">
        <v>13366</v>
      </c>
      <c r="F39" s="229">
        <v>4987</v>
      </c>
      <c r="G39" s="229">
        <v>0</v>
      </c>
      <c r="M39" s="256">
        <f t="shared" si="1"/>
        <v>13370</v>
      </c>
      <c r="N39" s="256">
        <f t="shared" si="2"/>
        <v>13370</v>
      </c>
      <c r="O39" s="256">
        <f t="shared" si="3"/>
        <v>13366</v>
      </c>
      <c r="P39" s="256">
        <f t="shared" si="4"/>
        <v>4987</v>
      </c>
      <c r="Q39" s="256">
        <f t="shared" si="5"/>
        <v>0</v>
      </c>
    </row>
    <row r="40" spans="1:17" ht="15">
      <c r="A40" s="218">
        <v>20300</v>
      </c>
      <c r="B40" s="219" t="s">
        <v>39</v>
      </c>
      <c r="C40" s="229">
        <v>214171</v>
      </c>
      <c r="D40" s="229">
        <v>214171</v>
      </c>
      <c r="E40" s="229">
        <v>214097</v>
      </c>
      <c r="F40" s="229">
        <v>82307</v>
      </c>
      <c r="G40" s="229">
        <v>0</v>
      </c>
      <c r="M40" s="256">
        <f t="shared" si="1"/>
        <v>214171</v>
      </c>
      <c r="N40" s="256">
        <f t="shared" si="2"/>
        <v>214171</v>
      </c>
      <c r="O40" s="256">
        <f t="shared" si="3"/>
        <v>214097</v>
      </c>
      <c r="P40" s="256">
        <f t="shared" si="4"/>
        <v>82307</v>
      </c>
      <c r="Q40" s="256">
        <f t="shared" si="5"/>
        <v>0</v>
      </c>
    </row>
    <row r="41" spans="1:17" ht="15">
      <c r="A41" s="218">
        <v>20400</v>
      </c>
      <c r="B41" s="219" t="s">
        <v>40</v>
      </c>
      <c r="C41" s="229">
        <v>12757</v>
      </c>
      <c r="D41" s="229">
        <v>12757</v>
      </c>
      <c r="E41" s="229">
        <v>12753</v>
      </c>
      <c r="F41" s="229">
        <v>3906</v>
      </c>
      <c r="G41" s="229">
        <v>0</v>
      </c>
      <c r="M41" s="256">
        <f t="shared" si="1"/>
        <v>12757</v>
      </c>
      <c r="N41" s="256">
        <f t="shared" si="2"/>
        <v>12757</v>
      </c>
      <c r="O41" s="256">
        <f t="shared" si="3"/>
        <v>12753</v>
      </c>
      <c r="P41" s="256">
        <f t="shared" si="4"/>
        <v>3906</v>
      </c>
      <c r="Q41" s="256">
        <f t="shared" si="5"/>
        <v>0</v>
      </c>
    </row>
    <row r="42" spans="1:17" ht="15">
      <c r="A42" s="218">
        <v>20600</v>
      </c>
      <c r="B42" s="219" t="s">
        <v>41</v>
      </c>
      <c r="C42" s="229">
        <v>25244</v>
      </c>
      <c r="D42" s="229">
        <v>25244</v>
      </c>
      <c r="E42" s="229">
        <v>25236</v>
      </c>
      <c r="F42" s="229">
        <v>9506</v>
      </c>
      <c r="G42" s="229">
        <v>0</v>
      </c>
      <c r="M42" s="256">
        <f t="shared" si="1"/>
        <v>25244</v>
      </c>
      <c r="N42" s="256">
        <f t="shared" si="2"/>
        <v>25244</v>
      </c>
      <c r="O42" s="256">
        <f t="shared" si="3"/>
        <v>25236</v>
      </c>
      <c r="P42" s="256">
        <f t="shared" si="4"/>
        <v>9506</v>
      </c>
      <c r="Q42" s="256">
        <f t="shared" si="5"/>
        <v>0</v>
      </c>
    </row>
    <row r="43" spans="1:17" ht="15">
      <c r="A43" s="218">
        <v>20700</v>
      </c>
      <c r="B43" s="219" t="s">
        <v>42</v>
      </c>
      <c r="C43" s="229">
        <v>63122</v>
      </c>
      <c r="D43" s="229">
        <v>63122</v>
      </c>
      <c r="E43" s="229">
        <v>63104</v>
      </c>
      <c r="F43" s="229">
        <v>19528</v>
      </c>
      <c r="G43" s="229">
        <v>0</v>
      </c>
      <c r="M43" s="256">
        <f t="shared" si="1"/>
        <v>63122</v>
      </c>
      <c r="N43" s="256">
        <f t="shared" si="2"/>
        <v>63122</v>
      </c>
      <c r="O43" s="256">
        <f t="shared" si="3"/>
        <v>63104</v>
      </c>
      <c r="P43" s="256">
        <f t="shared" si="4"/>
        <v>19528</v>
      </c>
      <c r="Q43" s="256">
        <f t="shared" si="5"/>
        <v>0</v>
      </c>
    </row>
    <row r="44" spans="1:17" ht="15">
      <c r="A44" s="218">
        <v>20800</v>
      </c>
      <c r="B44" s="219" t="s">
        <v>43</v>
      </c>
      <c r="C44" s="229">
        <v>45564</v>
      </c>
      <c r="D44" s="229">
        <v>45564</v>
      </c>
      <c r="E44" s="229">
        <v>45549</v>
      </c>
      <c r="F44" s="229">
        <v>15753</v>
      </c>
      <c r="G44" s="229">
        <v>0</v>
      </c>
      <c r="M44" s="256">
        <f t="shared" si="1"/>
        <v>45564</v>
      </c>
      <c r="N44" s="256">
        <f t="shared" si="2"/>
        <v>45564</v>
      </c>
      <c r="O44" s="256">
        <f t="shared" si="3"/>
        <v>45549</v>
      </c>
      <c r="P44" s="256">
        <f t="shared" si="4"/>
        <v>15753</v>
      </c>
      <c r="Q44" s="256">
        <f t="shared" si="5"/>
        <v>0</v>
      </c>
    </row>
    <row r="45" spans="1:17" ht="15">
      <c r="A45" s="218">
        <v>20900</v>
      </c>
      <c r="B45" s="219" t="s">
        <v>44</v>
      </c>
      <c r="C45" s="229">
        <v>86336</v>
      </c>
      <c r="D45" s="229">
        <v>86336</v>
      </c>
      <c r="E45" s="229">
        <v>86307</v>
      </c>
      <c r="F45" s="229">
        <v>32034</v>
      </c>
      <c r="G45" s="229">
        <v>0</v>
      </c>
      <c r="M45" s="256">
        <f t="shared" si="1"/>
        <v>86336</v>
      </c>
      <c r="N45" s="256">
        <f t="shared" si="2"/>
        <v>86336</v>
      </c>
      <c r="O45" s="256">
        <f t="shared" si="3"/>
        <v>86307</v>
      </c>
      <c r="P45" s="256">
        <f t="shared" si="4"/>
        <v>32034</v>
      </c>
      <c r="Q45" s="256">
        <f t="shared" si="5"/>
        <v>0</v>
      </c>
    </row>
    <row r="46" spans="1:17" ht="15">
      <c r="A46" s="218">
        <v>21200</v>
      </c>
      <c r="B46" s="219" t="s">
        <v>45</v>
      </c>
      <c r="C46" s="229">
        <v>27467</v>
      </c>
      <c r="D46" s="229">
        <v>27467</v>
      </c>
      <c r="E46" s="229">
        <v>27457</v>
      </c>
      <c r="F46" s="229">
        <v>10313</v>
      </c>
      <c r="G46" s="229">
        <v>0</v>
      </c>
      <c r="M46" s="256">
        <f t="shared" si="1"/>
        <v>27467</v>
      </c>
      <c r="N46" s="256">
        <f t="shared" si="2"/>
        <v>27467</v>
      </c>
      <c r="O46" s="256">
        <f t="shared" si="3"/>
        <v>27457</v>
      </c>
      <c r="P46" s="256">
        <f t="shared" si="4"/>
        <v>10313</v>
      </c>
      <c r="Q46" s="256">
        <f t="shared" si="5"/>
        <v>0</v>
      </c>
    </row>
    <row r="47" spans="1:17" ht="15">
      <c r="A47" s="218">
        <v>21300</v>
      </c>
      <c r="B47" s="219" t="s">
        <v>46</v>
      </c>
      <c r="C47" s="229">
        <v>322709</v>
      </c>
      <c r="D47" s="229">
        <v>322709</v>
      </c>
      <c r="E47" s="229">
        <v>322593</v>
      </c>
      <c r="F47" s="229">
        <v>128918</v>
      </c>
      <c r="G47" s="229">
        <v>0</v>
      </c>
      <c r="M47" s="256">
        <f t="shared" si="1"/>
        <v>322709</v>
      </c>
      <c r="N47" s="256">
        <f t="shared" si="2"/>
        <v>322709</v>
      </c>
      <c r="O47" s="256">
        <f t="shared" si="3"/>
        <v>322593</v>
      </c>
      <c r="P47" s="256">
        <f t="shared" si="4"/>
        <v>128918</v>
      </c>
      <c r="Q47" s="256">
        <f t="shared" si="5"/>
        <v>0</v>
      </c>
    </row>
    <row r="48" spans="1:17" ht="15">
      <c r="A48" s="218">
        <v>21520</v>
      </c>
      <c r="B48" s="219" t="s">
        <v>287</v>
      </c>
      <c r="C48" s="229">
        <v>586590</v>
      </c>
      <c r="D48" s="229">
        <v>586590</v>
      </c>
      <c r="E48" s="229">
        <v>586385</v>
      </c>
      <c r="F48" s="229">
        <v>227920</v>
      </c>
      <c r="G48" s="229">
        <v>0</v>
      </c>
      <c r="M48" s="256">
        <f t="shared" si="1"/>
        <v>586590</v>
      </c>
      <c r="N48" s="256">
        <f t="shared" si="2"/>
        <v>586590</v>
      </c>
      <c r="O48" s="256">
        <f t="shared" si="3"/>
        <v>586385</v>
      </c>
      <c r="P48" s="256">
        <f t="shared" si="4"/>
        <v>227920</v>
      </c>
      <c r="Q48" s="256">
        <f t="shared" si="5"/>
        <v>0</v>
      </c>
    </row>
    <row r="49" spans="1:17" ht="15">
      <c r="A49" s="218">
        <v>21525</v>
      </c>
      <c r="B49" s="219" t="s">
        <v>502</v>
      </c>
      <c r="C49" s="229">
        <v>14351</v>
      </c>
      <c r="D49" s="229">
        <v>14351</v>
      </c>
      <c r="E49" s="229">
        <v>14346</v>
      </c>
      <c r="F49" s="229">
        <v>5903</v>
      </c>
      <c r="G49" s="229">
        <v>0</v>
      </c>
      <c r="M49" s="256">
        <f t="shared" si="1"/>
        <v>14351</v>
      </c>
      <c r="N49" s="256">
        <f t="shared" si="2"/>
        <v>14351</v>
      </c>
      <c r="O49" s="256">
        <f t="shared" si="3"/>
        <v>14346</v>
      </c>
      <c r="P49" s="256">
        <f t="shared" si="4"/>
        <v>5903</v>
      </c>
      <c r="Q49" s="256">
        <f t="shared" si="5"/>
        <v>0</v>
      </c>
    </row>
    <row r="50" spans="1:17" ht="15">
      <c r="A50" s="218">
        <v>21525.200000000001</v>
      </c>
      <c r="B50" s="219" t="s">
        <v>503</v>
      </c>
      <c r="C50" s="229">
        <v>2031</v>
      </c>
      <c r="D50" s="229">
        <v>2031</v>
      </c>
      <c r="E50" s="229">
        <v>2030</v>
      </c>
      <c r="F50" s="229">
        <v>392</v>
      </c>
      <c r="G50" s="229">
        <v>0</v>
      </c>
      <c r="M50" s="256">
        <f t="shared" si="1"/>
        <v>2031</v>
      </c>
      <c r="N50" s="256">
        <f t="shared" si="2"/>
        <v>2031</v>
      </c>
      <c r="O50" s="256">
        <f t="shared" si="3"/>
        <v>2030</v>
      </c>
      <c r="P50" s="256">
        <f t="shared" si="4"/>
        <v>392</v>
      </c>
      <c r="Q50" s="256">
        <f t="shared" si="5"/>
        <v>0</v>
      </c>
    </row>
    <row r="51" spans="1:17" ht="15">
      <c r="A51" s="218">
        <v>21550</v>
      </c>
      <c r="B51" s="219" t="s">
        <v>48</v>
      </c>
      <c r="C51" s="229">
        <v>271018</v>
      </c>
      <c r="D51" s="229">
        <v>271018</v>
      </c>
      <c r="E51" s="229">
        <v>270898</v>
      </c>
      <c r="F51" s="229">
        <v>134162</v>
      </c>
      <c r="G51" s="229">
        <v>0</v>
      </c>
      <c r="M51" s="256">
        <f t="shared" si="1"/>
        <v>271018</v>
      </c>
      <c r="N51" s="256">
        <f t="shared" si="2"/>
        <v>271018</v>
      </c>
      <c r="O51" s="256">
        <f t="shared" si="3"/>
        <v>270898</v>
      </c>
      <c r="P51" s="256">
        <f t="shared" si="4"/>
        <v>134162</v>
      </c>
      <c r="Q51" s="256">
        <f t="shared" si="5"/>
        <v>0</v>
      </c>
    </row>
    <row r="52" spans="1:17" ht="15">
      <c r="A52" s="218">
        <v>21570</v>
      </c>
      <c r="B52" s="219" t="s">
        <v>289</v>
      </c>
      <c r="C52" s="229">
        <v>1726</v>
      </c>
      <c r="D52" s="229">
        <v>1726</v>
      </c>
      <c r="E52" s="229">
        <v>1725</v>
      </c>
      <c r="F52" s="229">
        <v>572</v>
      </c>
      <c r="G52" s="229">
        <v>0</v>
      </c>
      <c r="M52" s="256">
        <f t="shared" si="1"/>
        <v>1726</v>
      </c>
      <c r="N52" s="256">
        <f t="shared" si="2"/>
        <v>1726</v>
      </c>
      <c r="O52" s="256">
        <f t="shared" si="3"/>
        <v>1725</v>
      </c>
      <c r="P52" s="256">
        <f t="shared" si="4"/>
        <v>572</v>
      </c>
      <c r="Q52" s="256">
        <f t="shared" si="5"/>
        <v>0</v>
      </c>
    </row>
    <row r="53" spans="1:17" ht="15">
      <c r="A53" s="218">
        <v>21800</v>
      </c>
      <c r="B53" s="219" t="s">
        <v>49</v>
      </c>
      <c r="C53" s="229">
        <v>46841</v>
      </c>
      <c r="D53" s="229">
        <v>46841</v>
      </c>
      <c r="E53" s="229">
        <v>46824</v>
      </c>
      <c r="F53" s="229">
        <v>19212</v>
      </c>
      <c r="G53" s="229">
        <v>0</v>
      </c>
      <c r="M53" s="256">
        <f t="shared" si="1"/>
        <v>46841</v>
      </c>
      <c r="N53" s="256">
        <f t="shared" si="2"/>
        <v>46841</v>
      </c>
      <c r="O53" s="256">
        <f t="shared" si="3"/>
        <v>46824</v>
      </c>
      <c r="P53" s="256">
        <f t="shared" si="4"/>
        <v>19212</v>
      </c>
      <c r="Q53" s="256">
        <f t="shared" si="5"/>
        <v>0</v>
      </c>
    </row>
    <row r="54" spans="1:17" ht="15">
      <c r="A54" s="218">
        <v>21900</v>
      </c>
      <c r="B54" s="219" t="s">
        <v>50</v>
      </c>
      <c r="C54" s="229">
        <v>32272</v>
      </c>
      <c r="D54" s="229">
        <v>32272</v>
      </c>
      <c r="E54" s="229">
        <v>32263</v>
      </c>
      <c r="F54" s="229">
        <v>10900</v>
      </c>
      <c r="G54" s="229">
        <v>0</v>
      </c>
      <c r="M54" s="256">
        <f t="shared" si="1"/>
        <v>32272</v>
      </c>
      <c r="N54" s="256">
        <f t="shared" si="2"/>
        <v>32272</v>
      </c>
      <c r="O54" s="256">
        <f t="shared" si="3"/>
        <v>32263</v>
      </c>
      <c r="P54" s="256">
        <f t="shared" si="4"/>
        <v>10900</v>
      </c>
      <c r="Q54" s="256">
        <f t="shared" si="5"/>
        <v>0</v>
      </c>
    </row>
    <row r="55" spans="1:17" ht="15">
      <c r="A55" s="218">
        <v>22000</v>
      </c>
      <c r="B55" s="219" t="s">
        <v>290</v>
      </c>
      <c r="C55" s="229">
        <v>41905</v>
      </c>
      <c r="D55" s="229">
        <v>41905</v>
      </c>
      <c r="E55" s="229">
        <v>41896</v>
      </c>
      <c r="F55" s="229">
        <v>10789</v>
      </c>
      <c r="G55" s="229">
        <v>0</v>
      </c>
      <c r="M55" s="256">
        <f t="shared" si="1"/>
        <v>41905</v>
      </c>
      <c r="N55" s="256">
        <f t="shared" si="2"/>
        <v>41905</v>
      </c>
      <c r="O55" s="256">
        <f t="shared" si="3"/>
        <v>41896</v>
      </c>
      <c r="P55" s="256">
        <f t="shared" si="4"/>
        <v>10789</v>
      </c>
      <c r="Q55" s="256">
        <f t="shared" si="5"/>
        <v>0</v>
      </c>
    </row>
    <row r="56" spans="1:17" ht="15">
      <c r="A56" s="218">
        <v>23000</v>
      </c>
      <c r="B56" s="219" t="s">
        <v>51</v>
      </c>
      <c r="C56" s="229">
        <v>20133</v>
      </c>
      <c r="D56" s="229">
        <v>20133</v>
      </c>
      <c r="E56" s="229">
        <v>20125</v>
      </c>
      <c r="F56" s="229">
        <v>8767</v>
      </c>
      <c r="G56" s="229">
        <v>0</v>
      </c>
      <c r="M56" s="256">
        <f t="shared" si="1"/>
        <v>20133</v>
      </c>
      <c r="N56" s="256">
        <f t="shared" si="2"/>
        <v>20133</v>
      </c>
      <c r="O56" s="256">
        <f t="shared" si="3"/>
        <v>20125</v>
      </c>
      <c r="P56" s="256">
        <f t="shared" si="4"/>
        <v>8767</v>
      </c>
      <c r="Q56" s="256">
        <f t="shared" si="5"/>
        <v>0</v>
      </c>
    </row>
    <row r="57" spans="1:17" ht="15">
      <c r="A57" s="218">
        <v>23100</v>
      </c>
      <c r="B57" s="219" t="s">
        <v>52</v>
      </c>
      <c r="C57" s="229">
        <v>112129</v>
      </c>
      <c r="D57" s="229">
        <v>112129</v>
      </c>
      <c r="E57" s="229">
        <v>112084</v>
      </c>
      <c r="F57" s="229">
        <v>50336</v>
      </c>
      <c r="G57" s="229">
        <v>0</v>
      </c>
      <c r="M57" s="256">
        <f t="shared" si="1"/>
        <v>112129</v>
      </c>
      <c r="N57" s="256">
        <f t="shared" si="2"/>
        <v>112129</v>
      </c>
      <c r="O57" s="256">
        <f t="shared" si="3"/>
        <v>112084</v>
      </c>
      <c r="P57" s="256">
        <f t="shared" si="4"/>
        <v>50336</v>
      </c>
      <c r="Q57" s="256">
        <f t="shared" si="5"/>
        <v>0</v>
      </c>
    </row>
    <row r="58" spans="1:17" ht="15">
      <c r="A58" s="218">
        <v>23200</v>
      </c>
      <c r="B58" s="219" t="s">
        <v>53</v>
      </c>
      <c r="C58" s="229">
        <v>62613</v>
      </c>
      <c r="D58" s="229">
        <v>62613</v>
      </c>
      <c r="E58" s="229">
        <v>62590</v>
      </c>
      <c r="F58" s="229">
        <v>25730</v>
      </c>
      <c r="G58" s="229">
        <v>0</v>
      </c>
      <c r="M58" s="256">
        <f t="shared" si="1"/>
        <v>62613</v>
      </c>
      <c r="N58" s="256">
        <f t="shared" si="2"/>
        <v>62613</v>
      </c>
      <c r="O58" s="256">
        <f t="shared" si="3"/>
        <v>62590</v>
      </c>
      <c r="P58" s="256">
        <f t="shared" si="4"/>
        <v>25730</v>
      </c>
      <c r="Q58" s="256">
        <f t="shared" si="5"/>
        <v>0</v>
      </c>
    </row>
    <row r="59" spans="1:17" ht="15">
      <c r="A59" s="218">
        <v>30000</v>
      </c>
      <c r="B59" s="219" t="s">
        <v>291</v>
      </c>
      <c r="C59" s="229">
        <v>7704</v>
      </c>
      <c r="D59" s="229">
        <v>7704</v>
      </c>
      <c r="E59" s="229">
        <v>7702</v>
      </c>
      <c r="F59" s="229">
        <v>2942</v>
      </c>
      <c r="G59" s="229">
        <v>0</v>
      </c>
      <c r="M59" s="256">
        <f t="shared" si="1"/>
        <v>7704</v>
      </c>
      <c r="N59" s="256">
        <f t="shared" si="2"/>
        <v>7704</v>
      </c>
      <c r="O59" s="256">
        <f t="shared" si="3"/>
        <v>7702</v>
      </c>
      <c r="P59" s="256">
        <f t="shared" si="4"/>
        <v>2942</v>
      </c>
      <c r="Q59" s="256">
        <f t="shared" si="5"/>
        <v>0</v>
      </c>
    </row>
    <row r="60" spans="1:17" ht="15">
      <c r="A60" s="218">
        <v>30100</v>
      </c>
      <c r="B60" s="219" t="s">
        <v>292</v>
      </c>
      <c r="C60" s="229">
        <v>65703</v>
      </c>
      <c r="D60" s="229">
        <v>65703</v>
      </c>
      <c r="E60" s="229">
        <v>65680</v>
      </c>
      <c r="F60" s="229">
        <v>25314</v>
      </c>
      <c r="G60" s="229">
        <v>0</v>
      </c>
      <c r="M60" s="256">
        <f t="shared" si="1"/>
        <v>65703</v>
      </c>
      <c r="N60" s="256">
        <f t="shared" si="2"/>
        <v>65703</v>
      </c>
      <c r="O60" s="256">
        <f t="shared" si="3"/>
        <v>65680</v>
      </c>
      <c r="P60" s="256">
        <f t="shared" si="4"/>
        <v>25314</v>
      </c>
      <c r="Q60" s="256">
        <f t="shared" si="5"/>
        <v>0</v>
      </c>
    </row>
    <row r="61" spans="1:17" ht="15">
      <c r="A61" s="218">
        <v>30102</v>
      </c>
      <c r="B61" s="219" t="s">
        <v>293</v>
      </c>
      <c r="C61" s="229">
        <v>999</v>
      </c>
      <c r="D61" s="229">
        <v>999</v>
      </c>
      <c r="E61" s="229">
        <v>999</v>
      </c>
      <c r="F61" s="229">
        <v>482</v>
      </c>
      <c r="G61" s="229">
        <v>0</v>
      </c>
      <c r="M61" s="256">
        <f t="shared" si="1"/>
        <v>999</v>
      </c>
      <c r="N61" s="256">
        <f t="shared" si="2"/>
        <v>999</v>
      </c>
      <c r="O61" s="256">
        <f t="shared" si="3"/>
        <v>999</v>
      </c>
      <c r="P61" s="256">
        <f t="shared" si="4"/>
        <v>482</v>
      </c>
      <c r="Q61" s="256">
        <f t="shared" si="5"/>
        <v>0</v>
      </c>
    </row>
    <row r="62" spans="1:17" ht="15">
      <c r="A62" s="218">
        <v>30103</v>
      </c>
      <c r="B62" s="219" t="s">
        <v>294</v>
      </c>
      <c r="C62" s="229">
        <v>1105</v>
      </c>
      <c r="D62" s="229">
        <v>1105</v>
      </c>
      <c r="E62" s="229">
        <v>1105</v>
      </c>
      <c r="F62" s="229">
        <v>629</v>
      </c>
      <c r="G62" s="229">
        <v>0</v>
      </c>
      <c r="M62" s="256">
        <f t="shared" si="1"/>
        <v>1105</v>
      </c>
      <c r="N62" s="256">
        <f t="shared" si="2"/>
        <v>1105</v>
      </c>
      <c r="O62" s="256">
        <f t="shared" si="3"/>
        <v>1105</v>
      </c>
      <c r="P62" s="256">
        <f t="shared" si="4"/>
        <v>629</v>
      </c>
      <c r="Q62" s="256">
        <f t="shared" si="5"/>
        <v>0</v>
      </c>
    </row>
    <row r="63" spans="1:17" ht="15">
      <c r="A63" s="218">
        <v>30104</v>
      </c>
      <c r="B63" s="219" t="s">
        <v>295</v>
      </c>
      <c r="C63" s="229">
        <v>240</v>
      </c>
      <c r="D63" s="229">
        <v>240</v>
      </c>
      <c r="E63" s="229">
        <v>239</v>
      </c>
      <c r="F63" s="229">
        <v>404</v>
      </c>
      <c r="G63" s="229">
        <v>0</v>
      </c>
      <c r="M63" s="256">
        <f t="shared" si="1"/>
        <v>240</v>
      </c>
      <c r="N63" s="256">
        <f t="shared" si="2"/>
        <v>240</v>
      </c>
      <c r="O63" s="256">
        <f t="shared" si="3"/>
        <v>239</v>
      </c>
      <c r="P63" s="256">
        <f t="shared" si="4"/>
        <v>404</v>
      </c>
      <c r="Q63" s="256">
        <f t="shared" si="5"/>
        <v>0</v>
      </c>
    </row>
    <row r="64" spans="1:17" ht="15">
      <c r="A64" s="218">
        <v>30105</v>
      </c>
      <c r="B64" s="219" t="s">
        <v>54</v>
      </c>
      <c r="C64" s="229">
        <v>6968</v>
      </c>
      <c r="D64" s="229">
        <v>6968</v>
      </c>
      <c r="E64" s="229">
        <v>6966</v>
      </c>
      <c r="F64" s="229">
        <v>2686</v>
      </c>
      <c r="G64" s="229">
        <v>0</v>
      </c>
      <c r="M64" s="256">
        <f t="shared" si="1"/>
        <v>6968</v>
      </c>
      <c r="N64" s="256">
        <f t="shared" si="2"/>
        <v>6968</v>
      </c>
      <c r="O64" s="256">
        <f t="shared" si="3"/>
        <v>6966</v>
      </c>
      <c r="P64" s="256">
        <f t="shared" si="4"/>
        <v>2686</v>
      </c>
      <c r="Q64" s="256">
        <f t="shared" si="5"/>
        <v>0</v>
      </c>
    </row>
    <row r="65" spans="1:17" ht="15">
      <c r="A65" s="218">
        <v>30200</v>
      </c>
      <c r="B65" s="219" t="s">
        <v>296</v>
      </c>
      <c r="C65" s="229">
        <v>15193</v>
      </c>
      <c r="D65" s="229">
        <v>15193</v>
      </c>
      <c r="E65" s="229">
        <v>15188</v>
      </c>
      <c r="F65" s="229">
        <v>5750</v>
      </c>
      <c r="G65" s="229">
        <v>0</v>
      </c>
      <c r="M65" s="256">
        <f t="shared" si="1"/>
        <v>15193</v>
      </c>
      <c r="N65" s="256">
        <f t="shared" si="2"/>
        <v>15193</v>
      </c>
      <c r="O65" s="256">
        <f t="shared" si="3"/>
        <v>15188</v>
      </c>
      <c r="P65" s="256">
        <f t="shared" si="4"/>
        <v>5750</v>
      </c>
      <c r="Q65" s="256">
        <f t="shared" si="5"/>
        <v>0</v>
      </c>
    </row>
    <row r="66" spans="1:17" ht="15">
      <c r="A66" s="218">
        <v>30300</v>
      </c>
      <c r="B66" s="219" t="s">
        <v>297</v>
      </c>
      <c r="C66" s="229">
        <v>5832</v>
      </c>
      <c r="D66" s="229">
        <v>5832</v>
      </c>
      <c r="E66" s="229">
        <v>5831</v>
      </c>
      <c r="F66" s="229">
        <v>1853</v>
      </c>
      <c r="G66" s="229">
        <v>0</v>
      </c>
      <c r="M66" s="256">
        <f t="shared" si="1"/>
        <v>5832</v>
      </c>
      <c r="N66" s="256">
        <f t="shared" si="2"/>
        <v>5832</v>
      </c>
      <c r="O66" s="256">
        <f t="shared" si="3"/>
        <v>5831</v>
      </c>
      <c r="P66" s="256">
        <f t="shared" si="4"/>
        <v>1853</v>
      </c>
      <c r="Q66" s="256">
        <f t="shared" si="5"/>
        <v>0</v>
      </c>
    </row>
    <row r="67" spans="1:17" ht="15">
      <c r="A67" s="218">
        <v>30400</v>
      </c>
      <c r="B67" s="219" t="s">
        <v>298</v>
      </c>
      <c r="C67" s="229">
        <v>11456</v>
      </c>
      <c r="D67" s="229">
        <v>11456</v>
      </c>
      <c r="E67" s="229">
        <v>11452</v>
      </c>
      <c r="F67" s="229">
        <v>3570</v>
      </c>
      <c r="G67" s="229">
        <v>0</v>
      </c>
      <c r="M67" s="256">
        <f t="shared" si="1"/>
        <v>11456</v>
      </c>
      <c r="N67" s="256">
        <f t="shared" si="2"/>
        <v>11456</v>
      </c>
      <c r="O67" s="256">
        <f t="shared" si="3"/>
        <v>11452</v>
      </c>
      <c r="P67" s="256">
        <f t="shared" si="4"/>
        <v>3570</v>
      </c>
      <c r="Q67" s="256">
        <f t="shared" si="5"/>
        <v>0</v>
      </c>
    </row>
    <row r="68" spans="1:17" ht="15">
      <c r="A68" s="218">
        <v>30405</v>
      </c>
      <c r="B68" s="219" t="s">
        <v>55</v>
      </c>
      <c r="C68" s="229">
        <v>6126</v>
      </c>
      <c r="D68" s="229">
        <v>6126</v>
      </c>
      <c r="E68" s="229">
        <v>6123</v>
      </c>
      <c r="F68" s="229">
        <v>2489</v>
      </c>
      <c r="G68" s="229">
        <v>0</v>
      </c>
      <c r="M68" s="256">
        <f t="shared" si="1"/>
        <v>6126</v>
      </c>
      <c r="N68" s="256">
        <f t="shared" si="2"/>
        <v>6126</v>
      </c>
      <c r="O68" s="256">
        <f t="shared" si="3"/>
        <v>6123</v>
      </c>
      <c r="P68" s="256">
        <f t="shared" si="4"/>
        <v>2489</v>
      </c>
      <c r="Q68" s="256">
        <f t="shared" si="5"/>
        <v>0</v>
      </c>
    </row>
    <row r="69" spans="1:17" ht="15">
      <c r="A69" s="218">
        <v>30500</v>
      </c>
      <c r="B69" s="219" t="s">
        <v>299</v>
      </c>
      <c r="C69" s="229">
        <v>10782</v>
      </c>
      <c r="D69" s="229">
        <v>10782</v>
      </c>
      <c r="E69" s="229">
        <v>10778</v>
      </c>
      <c r="F69" s="229">
        <v>3745</v>
      </c>
      <c r="G69" s="229">
        <v>0</v>
      </c>
      <c r="M69" s="256">
        <f t="shared" ref="M69:M132" si="6">ROUND(C69,0)</f>
        <v>10782</v>
      </c>
      <c r="N69" s="256">
        <f t="shared" ref="N69:N132" si="7">ROUND(D69,0)</f>
        <v>10782</v>
      </c>
      <c r="O69" s="256">
        <f t="shared" ref="O69:O132" si="8">ROUND(E69,0)</f>
        <v>10778</v>
      </c>
      <c r="P69" s="256">
        <f t="shared" ref="P69:P132" si="9">ROUND(F69,0)</f>
        <v>3745</v>
      </c>
      <c r="Q69" s="256">
        <f t="shared" ref="Q69:Q132" si="10">ROUND(G69,0)</f>
        <v>0</v>
      </c>
    </row>
    <row r="70" spans="1:17" ht="15">
      <c r="A70" s="218">
        <v>30600</v>
      </c>
      <c r="B70" s="219" t="s">
        <v>300</v>
      </c>
      <c r="C70" s="229">
        <v>8639</v>
      </c>
      <c r="D70" s="229">
        <v>8639</v>
      </c>
      <c r="E70" s="229">
        <v>8636</v>
      </c>
      <c r="F70" s="229">
        <v>2892</v>
      </c>
      <c r="G70" s="229">
        <v>0</v>
      </c>
      <c r="M70" s="256">
        <f t="shared" si="6"/>
        <v>8639</v>
      </c>
      <c r="N70" s="256">
        <f t="shared" si="7"/>
        <v>8639</v>
      </c>
      <c r="O70" s="256">
        <f t="shared" si="8"/>
        <v>8636</v>
      </c>
      <c r="P70" s="256">
        <f t="shared" si="9"/>
        <v>2892</v>
      </c>
      <c r="Q70" s="256">
        <f t="shared" si="10"/>
        <v>0</v>
      </c>
    </row>
    <row r="71" spans="1:17" ht="15">
      <c r="A71" s="218">
        <v>30601</v>
      </c>
      <c r="B71" s="219" t="s">
        <v>301</v>
      </c>
      <c r="C71" s="229">
        <v>174</v>
      </c>
      <c r="D71" s="229">
        <v>174</v>
      </c>
      <c r="E71" s="229">
        <v>174</v>
      </c>
      <c r="F71" s="229">
        <v>68</v>
      </c>
      <c r="G71" s="229">
        <v>0</v>
      </c>
      <c r="M71" s="256">
        <f t="shared" si="6"/>
        <v>174</v>
      </c>
      <c r="N71" s="256">
        <f t="shared" si="7"/>
        <v>174</v>
      </c>
      <c r="O71" s="256">
        <f t="shared" si="8"/>
        <v>174</v>
      </c>
      <c r="P71" s="256">
        <f t="shared" si="9"/>
        <v>68</v>
      </c>
      <c r="Q71" s="256">
        <f t="shared" si="10"/>
        <v>0</v>
      </c>
    </row>
    <row r="72" spans="1:17" ht="15">
      <c r="A72" s="218">
        <v>30700</v>
      </c>
      <c r="B72" s="219" t="s">
        <v>302</v>
      </c>
      <c r="C72" s="229">
        <v>21567</v>
      </c>
      <c r="D72" s="229">
        <v>21567</v>
      </c>
      <c r="E72" s="229">
        <v>21560</v>
      </c>
      <c r="F72" s="229">
        <v>7538</v>
      </c>
      <c r="G72" s="229">
        <v>0</v>
      </c>
      <c r="M72" s="256">
        <f t="shared" si="6"/>
        <v>21567</v>
      </c>
      <c r="N72" s="256">
        <f t="shared" si="7"/>
        <v>21567</v>
      </c>
      <c r="O72" s="256">
        <f t="shared" si="8"/>
        <v>21560</v>
      </c>
      <c r="P72" s="256">
        <f t="shared" si="9"/>
        <v>7538</v>
      </c>
      <c r="Q72" s="256">
        <f t="shared" si="10"/>
        <v>0</v>
      </c>
    </row>
    <row r="73" spans="1:17" ht="15">
      <c r="A73" s="218">
        <v>30705</v>
      </c>
      <c r="B73" s="219" t="s">
        <v>56</v>
      </c>
      <c r="C73" s="229">
        <v>4793</v>
      </c>
      <c r="D73" s="229">
        <v>4793</v>
      </c>
      <c r="E73" s="229">
        <v>4791</v>
      </c>
      <c r="F73" s="229">
        <v>1434</v>
      </c>
      <c r="G73" s="229">
        <v>0</v>
      </c>
      <c r="M73" s="256">
        <f t="shared" si="6"/>
        <v>4793</v>
      </c>
      <c r="N73" s="256">
        <f t="shared" si="7"/>
        <v>4793</v>
      </c>
      <c r="O73" s="256">
        <f t="shared" si="8"/>
        <v>4791</v>
      </c>
      <c r="P73" s="256">
        <f t="shared" si="9"/>
        <v>1434</v>
      </c>
      <c r="Q73" s="256">
        <f t="shared" si="10"/>
        <v>0</v>
      </c>
    </row>
    <row r="74" spans="1:17" ht="15">
      <c r="A74" s="218">
        <v>30800</v>
      </c>
      <c r="B74" s="219" t="s">
        <v>303</v>
      </c>
      <c r="C74" s="229">
        <v>9345</v>
      </c>
      <c r="D74" s="229">
        <v>9345</v>
      </c>
      <c r="E74" s="229">
        <v>9342</v>
      </c>
      <c r="F74" s="229">
        <v>2819</v>
      </c>
      <c r="G74" s="229">
        <v>0</v>
      </c>
      <c r="M74" s="256">
        <f t="shared" si="6"/>
        <v>9345</v>
      </c>
      <c r="N74" s="256">
        <f t="shared" si="7"/>
        <v>9345</v>
      </c>
      <c r="O74" s="256">
        <f t="shared" si="8"/>
        <v>9342</v>
      </c>
      <c r="P74" s="256">
        <f t="shared" si="9"/>
        <v>2819</v>
      </c>
      <c r="Q74" s="256">
        <f t="shared" si="10"/>
        <v>0</v>
      </c>
    </row>
    <row r="75" spans="1:17" ht="15">
      <c r="A75" s="218">
        <v>30900</v>
      </c>
      <c r="B75" s="219" t="s">
        <v>304</v>
      </c>
      <c r="C75" s="229">
        <v>15290</v>
      </c>
      <c r="D75" s="229">
        <v>15290</v>
      </c>
      <c r="E75" s="229">
        <v>15285</v>
      </c>
      <c r="F75" s="229">
        <v>4907</v>
      </c>
      <c r="G75" s="229">
        <v>0</v>
      </c>
      <c r="M75" s="256">
        <f t="shared" si="6"/>
        <v>15290</v>
      </c>
      <c r="N75" s="256">
        <f t="shared" si="7"/>
        <v>15290</v>
      </c>
      <c r="O75" s="256">
        <f t="shared" si="8"/>
        <v>15285</v>
      </c>
      <c r="P75" s="256">
        <f t="shared" si="9"/>
        <v>4907</v>
      </c>
      <c r="Q75" s="256">
        <f t="shared" si="10"/>
        <v>0</v>
      </c>
    </row>
    <row r="76" spans="1:17" ht="15">
      <c r="A76" s="218">
        <v>30905</v>
      </c>
      <c r="B76" s="219" t="s">
        <v>57</v>
      </c>
      <c r="C76" s="229">
        <v>4052</v>
      </c>
      <c r="D76" s="229">
        <v>4052</v>
      </c>
      <c r="E76" s="229">
        <v>4051</v>
      </c>
      <c r="F76" s="229">
        <v>953</v>
      </c>
      <c r="G76" s="229">
        <v>0</v>
      </c>
      <c r="M76" s="256">
        <f t="shared" si="6"/>
        <v>4052</v>
      </c>
      <c r="N76" s="256">
        <f t="shared" si="7"/>
        <v>4052</v>
      </c>
      <c r="O76" s="256">
        <f t="shared" si="8"/>
        <v>4051</v>
      </c>
      <c r="P76" s="256">
        <f t="shared" si="9"/>
        <v>953</v>
      </c>
      <c r="Q76" s="256">
        <f t="shared" si="10"/>
        <v>0</v>
      </c>
    </row>
    <row r="77" spans="1:17" ht="15">
      <c r="A77" s="218">
        <v>31000</v>
      </c>
      <c r="B77" s="219" t="s">
        <v>305</v>
      </c>
      <c r="C77" s="229">
        <v>38780</v>
      </c>
      <c r="D77" s="229">
        <v>38780</v>
      </c>
      <c r="E77" s="229">
        <v>38768</v>
      </c>
      <c r="F77" s="229">
        <v>14191</v>
      </c>
      <c r="G77" s="229">
        <v>0</v>
      </c>
      <c r="M77" s="256">
        <f t="shared" si="6"/>
        <v>38780</v>
      </c>
      <c r="N77" s="256">
        <f t="shared" si="7"/>
        <v>38780</v>
      </c>
      <c r="O77" s="256">
        <f t="shared" si="8"/>
        <v>38768</v>
      </c>
      <c r="P77" s="256">
        <f t="shared" si="9"/>
        <v>14191</v>
      </c>
      <c r="Q77" s="256">
        <f t="shared" si="10"/>
        <v>0</v>
      </c>
    </row>
    <row r="78" spans="1:17" ht="15">
      <c r="A78" s="218">
        <v>31005</v>
      </c>
      <c r="B78" s="219" t="s">
        <v>58</v>
      </c>
      <c r="C78" s="229">
        <v>4906</v>
      </c>
      <c r="D78" s="229">
        <v>4906</v>
      </c>
      <c r="E78" s="229">
        <v>4905</v>
      </c>
      <c r="F78" s="229">
        <v>1348</v>
      </c>
      <c r="G78" s="229">
        <v>0</v>
      </c>
      <c r="M78" s="256">
        <f t="shared" si="6"/>
        <v>4906</v>
      </c>
      <c r="N78" s="256">
        <f t="shared" si="7"/>
        <v>4906</v>
      </c>
      <c r="O78" s="256">
        <f t="shared" si="8"/>
        <v>4905</v>
      </c>
      <c r="P78" s="256">
        <f t="shared" si="9"/>
        <v>1348</v>
      </c>
      <c r="Q78" s="256">
        <f t="shared" si="10"/>
        <v>0</v>
      </c>
    </row>
    <row r="79" spans="1:17" ht="15">
      <c r="A79" s="218">
        <v>31100</v>
      </c>
      <c r="B79" s="219" t="s">
        <v>306</v>
      </c>
      <c r="C79" s="229">
        <v>75849</v>
      </c>
      <c r="D79" s="229">
        <v>75849</v>
      </c>
      <c r="E79" s="229">
        <v>75823</v>
      </c>
      <c r="F79" s="229">
        <v>29304</v>
      </c>
      <c r="G79" s="229">
        <v>0</v>
      </c>
      <c r="M79" s="256">
        <f t="shared" si="6"/>
        <v>75849</v>
      </c>
      <c r="N79" s="256">
        <f t="shared" si="7"/>
        <v>75849</v>
      </c>
      <c r="O79" s="256">
        <f t="shared" si="8"/>
        <v>75823</v>
      </c>
      <c r="P79" s="256">
        <f t="shared" si="9"/>
        <v>29304</v>
      </c>
      <c r="Q79" s="256">
        <f t="shared" si="10"/>
        <v>0</v>
      </c>
    </row>
    <row r="80" spans="1:17" ht="15">
      <c r="A80" s="218">
        <v>31101</v>
      </c>
      <c r="B80" s="219" t="s">
        <v>307</v>
      </c>
      <c r="C80" s="229">
        <v>425</v>
      </c>
      <c r="D80" s="229">
        <v>425</v>
      </c>
      <c r="E80" s="229">
        <v>425</v>
      </c>
      <c r="F80" s="229">
        <v>200</v>
      </c>
      <c r="G80" s="229">
        <v>0</v>
      </c>
      <c r="M80" s="256">
        <f t="shared" si="6"/>
        <v>425</v>
      </c>
      <c r="N80" s="256">
        <f t="shared" si="7"/>
        <v>425</v>
      </c>
      <c r="O80" s="256">
        <f t="shared" si="8"/>
        <v>425</v>
      </c>
      <c r="P80" s="256">
        <f t="shared" si="9"/>
        <v>200</v>
      </c>
      <c r="Q80" s="256">
        <f t="shared" si="10"/>
        <v>0</v>
      </c>
    </row>
    <row r="81" spans="1:17" ht="15">
      <c r="A81" s="218">
        <v>31102</v>
      </c>
      <c r="B81" s="219" t="s">
        <v>308</v>
      </c>
      <c r="C81" s="229">
        <v>847</v>
      </c>
      <c r="D81" s="229">
        <v>847</v>
      </c>
      <c r="E81" s="229">
        <v>847</v>
      </c>
      <c r="F81" s="229">
        <v>489</v>
      </c>
      <c r="G81" s="229">
        <v>0</v>
      </c>
      <c r="M81" s="256">
        <f t="shared" si="6"/>
        <v>847</v>
      </c>
      <c r="N81" s="256">
        <f t="shared" si="7"/>
        <v>847</v>
      </c>
      <c r="O81" s="256">
        <f t="shared" si="8"/>
        <v>847</v>
      </c>
      <c r="P81" s="256">
        <f t="shared" si="9"/>
        <v>489</v>
      </c>
      <c r="Q81" s="256">
        <f t="shared" si="10"/>
        <v>0</v>
      </c>
    </row>
    <row r="82" spans="1:17" ht="15">
      <c r="A82" s="218">
        <v>31105</v>
      </c>
      <c r="B82" s="219" t="s">
        <v>59</v>
      </c>
      <c r="C82" s="229">
        <v>12960</v>
      </c>
      <c r="D82" s="229">
        <v>12960</v>
      </c>
      <c r="E82" s="229">
        <v>12956</v>
      </c>
      <c r="F82" s="229">
        <v>4658</v>
      </c>
      <c r="G82" s="229">
        <v>0</v>
      </c>
      <c r="M82" s="256">
        <f t="shared" si="6"/>
        <v>12960</v>
      </c>
      <c r="N82" s="256">
        <f t="shared" si="7"/>
        <v>12960</v>
      </c>
      <c r="O82" s="256">
        <f t="shared" si="8"/>
        <v>12956</v>
      </c>
      <c r="P82" s="256">
        <f t="shared" si="9"/>
        <v>4658</v>
      </c>
      <c r="Q82" s="256">
        <f t="shared" si="10"/>
        <v>0</v>
      </c>
    </row>
    <row r="83" spans="1:17" ht="15">
      <c r="A83" s="218">
        <v>31110</v>
      </c>
      <c r="B83" s="219" t="s">
        <v>309</v>
      </c>
      <c r="C83" s="229">
        <v>17005</v>
      </c>
      <c r="D83" s="229">
        <v>17005</v>
      </c>
      <c r="E83" s="229">
        <v>16999</v>
      </c>
      <c r="F83" s="229">
        <v>6672</v>
      </c>
      <c r="G83" s="229">
        <v>0</v>
      </c>
      <c r="M83" s="256">
        <f t="shared" si="6"/>
        <v>17005</v>
      </c>
      <c r="N83" s="256">
        <f t="shared" si="7"/>
        <v>17005</v>
      </c>
      <c r="O83" s="256">
        <f t="shared" si="8"/>
        <v>16999</v>
      </c>
      <c r="P83" s="256">
        <f t="shared" si="9"/>
        <v>6672</v>
      </c>
      <c r="Q83" s="256">
        <f t="shared" si="10"/>
        <v>0</v>
      </c>
    </row>
    <row r="84" spans="1:17" ht="15">
      <c r="A84" s="218">
        <v>31200</v>
      </c>
      <c r="B84" s="219" t="s">
        <v>310</v>
      </c>
      <c r="C84" s="229">
        <v>38710</v>
      </c>
      <c r="D84" s="229">
        <v>38710</v>
      </c>
      <c r="E84" s="229">
        <v>38698</v>
      </c>
      <c r="F84" s="229">
        <v>13105</v>
      </c>
      <c r="G84" s="229">
        <v>0</v>
      </c>
      <c r="M84" s="256">
        <f t="shared" si="6"/>
        <v>38710</v>
      </c>
      <c r="N84" s="256">
        <f t="shared" si="7"/>
        <v>38710</v>
      </c>
      <c r="O84" s="256">
        <f t="shared" si="8"/>
        <v>38698</v>
      </c>
      <c r="P84" s="256">
        <f t="shared" si="9"/>
        <v>13105</v>
      </c>
      <c r="Q84" s="256">
        <f t="shared" si="10"/>
        <v>0</v>
      </c>
    </row>
    <row r="85" spans="1:17" ht="15">
      <c r="A85" s="218">
        <v>31205</v>
      </c>
      <c r="B85" s="219" t="s">
        <v>60</v>
      </c>
      <c r="C85" s="229">
        <v>5827</v>
      </c>
      <c r="D85" s="229">
        <v>5827</v>
      </c>
      <c r="E85" s="229">
        <v>5826</v>
      </c>
      <c r="F85" s="229">
        <v>1546</v>
      </c>
      <c r="G85" s="229">
        <v>0</v>
      </c>
      <c r="M85" s="256">
        <f t="shared" si="6"/>
        <v>5827</v>
      </c>
      <c r="N85" s="256">
        <f t="shared" si="7"/>
        <v>5827</v>
      </c>
      <c r="O85" s="256">
        <f t="shared" si="8"/>
        <v>5826</v>
      </c>
      <c r="P85" s="256">
        <f t="shared" si="9"/>
        <v>1546</v>
      </c>
      <c r="Q85" s="256">
        <f t="shared" si="10"/>
        <v>0</v>
      </c>
    </row>
    <row r="86" spans="1:17" ht="15">
      <c r="A86" s="218">
        <v>31300</v>
      </c>
      <c r="B86" s="219" t="s">
        <v>311</v>
      </c>
      <c r="C86" s="229">
        <v>79021</v>
      </c>
      <c r="D86" s="229">
        <v>79021</v>
      </c>
      <c r="E86" s="229">
        <v>78989</v>
      </c>
      <c r="F86" s="229">
        <v>35887</v>
      </c>
      <c r="G86" s="229">
        <v>0</v>
      </c>
      <c r="M86" s="256">
        <f t="shared" si="6"/>
        <v>79021</v>
      </c>
      <c r="N86" s="256">
        <f t="shared" si="7"/>
        <v>79021</v>
      </c>
      <c r="O86" s="256">
        <f t="shared" si="8"/>
        <v>78989</v>
      </c>
      <c r="P86" s="256">
        <f t="shared" si="9"/>
        <v>35887</v>
      </c>
      <c r="Q86" s="256">
        <f t="shared" si="10"/>
        <v>0</v>
      </c>
    </row>
    <row r="87" spans="1:17" ht="15">
      <c r="A87" s="218">
        <v>31301</v>
      </c>
      <c r="B87" s="219" t="s">
        <v>312</v>
      </c>
      <c r="C87" s="229">
        <v>757</v>
      </c>
      <c r="D87" s="229">
        <v>757</v>
      </c>
      <c r="E87" s="229">
        <v>756</v>
      </c>
      <c r="F87" s="229">
        <v>892</v>
      </c>
      <c r="G87" s="229">
        <v>0</v>
      </c>
      <c r="M87" s="256">
        <f t="shared" si="6"/>
        <v>757</v>
      </c>
      <c r="N87" s="256">
        <f t="shared" si="7"/>
        <v>757</v>
      </c>
      <c r="O87" s="256">
        <f t="shared" si="8"/>
        <v>756</v>
      </c>
      <c r="P87" s="256">
        <f t="shared" si="9"/>
        <v>892</v>
      </c>
      <c r="Q87" s="256">
        <f t="shared" si="10"/>
        <v>0</v>
      </c>
    </row>
    <row r="88" spans="1:17" ht="15">
      <c r="A88" s="218">
        <v>31320</v>
      </c>
      <c r="B88" s="219" t="s">
        <v>313</v>
      </c>
      <c r="C88" s="229">
        <v>15269</v>
      </c>
      <c r="D88" s="229">
        <v>15269</v>
      </c>
      <c r="E88" s="229">
        <v>15263</v>
      </c>
      <c r="F88" s="229">
        <v>6485</v>
      </c>
      <c r="G88" s="229">
        <v>0</v>
      </c>
      <c r="M88" s="256">
        <f t="shared" si="6"/>
        <v>15269</v>
      </c>
      <c r="N88" s="256">
        <f t="shared" si="7"/>
        <v>15269</v>
      </c>
      <c r="O88" s="256">
        <f t="shared" si="8"/>
        <v>15263</v>
      </c>
      <c r="P88" s="256">
        <f t="shared" si="9"/>
        <v>6485</v>
      </c>
      <c r="Q88" s="256">
        <f t="shared" si="10"/>
        <v>0</v>
      </c>
    </row>
    <row r="89" spans="1:17" ht="15">
      <c r="A89" s="218">
        <v>31400</v>
      </c>
      <c r="B89" s="219" t="s">
        <v>314</v>
      </c>
      <c r="C89" s="229">
        <v>38172</v>
      </c>
      <c r="D89" s="229">
        <v>38172</v>
      </c>
      <c r="E89" s="229">
        <v>38159</v>
      </c>
      <c r="F89" s="229">
        <v>13541</v>
      </c>
      <c r="G89" s="229">
        <v>0</v>
      </c>
      <c r="M89" s="256">
        <f t="shared" si="6"/>
        <v>38172</v>
      </c>
      <c r="N89" s="256">
        <f t="shared" si="7"/>
        <v>38172</v>
      </c>
      <c r="O89" s="256">
        <f t="shared" si="8"/>
        <v>38159</v>
      </c>
      <c r="P89" s="256">
        <f t="shared" si="9"/>
        <v>13541</v>
      </c>
      <c r="Q89" s="256">
        <f t="shared" si="10"/>
        <v>0</v>
      </c>
    </row>
    <row r="90" spans="1:17" ht="15">
      <c r="A90" s="218">
        <v>31405</v>
      </c>
      <c r="B90" s="219" t="s">
        <v>61</v>
      </c>
      <c r="C90" s="229">
        <v>9674</v>
      </c>
      <c r="D90" s="229">
        <v>9674</v>
      </c>
      <c r="E90" s="229">
        <v>9672</v>
      </c>
      <c r="F90" s="229">
        <v>2623</v>
      </c>
      <c r="G90" s="229">
        <v>0</v>
      </c>
      <c r="M90" s="256">
        <f t="shared" si="6"/>
        <v>9674</v>
      </c>
      <c r="N90" s="256">
        <f t="shared" si="7"/>
        <v>9674</v>
      </c>
      <c r="O90" s="256">
        <f t="shared" si="8"/>
        <v>9672</v>
      </c>
      <c r="P90" s="256">
        <f t="shared" si="9"/>
        <v>2623</v>
      </c>
      <c r="Q90" s="256">
        <f t="shared" si="10"/>
        <v>0</v>
      </c>
    </row>
    <row r="91" spans="1:17" ht="15">
      <c r="A91" s="218">
        <v>31500</v>
      </c>
      <c r="B91" s="219" t="s">
        <v>315</v>
      </c>
      <c r="C91" s="229">
        <v>6353</v>
      </c>
      <c r="D91" s="229">
        <v>6353</v>
      </c>
      <c r="E91" s="229">
        <v>6351</v>
      </c>
      <c r="F91" s="229">
        <v>2042</v>
      </c>
      <c r="G91" s="229">
        <v>0</v>
      </c>
      <c r="M91" s="256">
        <f t="shared" si="6"/>
        <v>6353</v>
      </c>
      <c r="N91" s="256">
        <f t="shared" si="7"/>
        <v>6353</v>
      </c>
      <c r="O91" s="256">
        <f t="shared" si="8"/>
        <v>6351</v>
      </c>
      <c r="P91" s="256">
        <f t="shared" si="9"/>
        <v>2042</v>
      </c>
      <c r="Q91" s="256">
        <f t="shared" si="10"/>
        <v>0</v>
      </c>
    </row>
    <row r="92" spans="1:17" ht="15">
      <c r="A92" s="218">
        <v>31600</v>
      </c>
      <c r="B92" s="219" t="s">
        <v>316</v>
      </c>
      <c r="C92" s="229">
        <v>26874</v>
      </c>
      <c r="D92" s="229">
        <v>26874</v>
      </c>
      <c r="E92" s="229">
        <v>26865</v>
      </c>
      <c r="F92" s="229">
        <v>9497</v>
      </c>
      <c r="G92" s="229">
        <v>0</v>
      </c>
      <c r="M92" s="256">
        <f t="shared" si="6"/>
        <v>26874</v>
      </c>
      <c r="N92" s="256">
        <f t="shared" si="7"/>
        <v>26874</v>
      </c>
      <c r="O92" s="256">
        <f t="shared" si="8"/>
        <v>26865</v>
      </c>
      <c r="P92" s="256">
        <f t="shared" si="9"/>
        <v>9497</v>
      </c>
      <c r="Q92" s="256">
        <f t="shared" si="10"/>
        <v>0</v>
      </c>
    </row>
    <row r="93" spans="1:17" ht="15">
      <c r="A93" s="218">
        <v>31605</v>
      </c>
      <c r="B93" s="219" t="s">
        <v>62</v>
      </c>
      <c r="C93" s="229">
        <v>4296</v>
      </c>
      <c r="D93" s="229">
        <v>4296</v>
      </c>
      <c r="E93" s="229">
        <v>4295</v>
      </c>
      <c r="F93" s="229">
        <v>1412</v>
      </c>
      <c r="G93" s="229">
        <v>0</v>
      </c>
      <c r="M93" s="256">
        <f t="shared" si="6"/>
        <v>4296</v>
      </c>
      <c r="N93" s="256">
        <f t="shared" si="7"/>
        <v>4296</v>
      </c>
      <c r="O93" s="256">
        <f t="shared" si="8"/>
        <v>4295</v>
      </c>
      <c r="P93" s="256">
        <f t="shared" si="9"/>
        <v>1412</v>
      </c>
      <c r="Q93" s="256">
        <f t="shared" si="10"/>
        <v>0</v>
      </c>
    </row>
    <row r="94" spans="1:17" ht="15">
      <c r="A94" s="218">
        <v>31700</v>
      </c>
      <c r="B94" s="219" t="s">
        <v>317</v>
      </c>
      <c r="C94" s="229">
        <v>8630</v>
      </c>
      <c r="D94" s="229">
        <v>8630</v>
      </c>
      <c r="E94" s="229">
        <v>8628</v>
      </c>
      <c r="F94" s="229">
        <v>2889</v>
      </c>
      <c r="G94" s="229">
        <v>0</v>
      </c>
      <c r="M94" s="256">
        <f t="shared" si="6"/>
        <v>8630</v>
      </c>
      <c r="N94" s="256">
        <f t="shared" si="7"/>
        <v>8630</v>
      </c>
      <c r="O94" s="256">
        <f t="shared" si="8"/>
        <v>8628</v>
      </c>
      <c r="P94" s="256">
        <f t="shared" si="9"/>
        <v>2889</v>
      </c>
      <c r="Q94" s="256">
        <f t="shared" si="10"/>
        <v>0</v>
      </c>
    </row>
    <row r="95" spans="1:17" ht="15">
      <c r="A95" s="218">
        <v>31800</v>
      </c>
      <c r="B95" s="219" t="s">
        <v>318</v>
      </c>
      <c r="C95" s="229">
        <v>50254</v>
      </c>
      <c r="D95" s="229">
        <v>50254</v>
      </c>
      <c r="E95" s="229">
        <v>50239</v>
      </c>
      <c r="F95" s="229">
        <v>17222</v>
      </c>
      <c r="G95" s="229">
        <v>0</v>
      </c>
      <c r="M95" s="256">
        <f t="shared" si="6"/>
        <v>50254</v>
      </c>
      <c r="N95" s="256">
        <f t="shared" si="7"/>
        <v>50254</v>
      </c>
      <c r="O95" s="256">
        <f t="shared" si="8"/>
        <v>50239</v>
      </c>
      <c r="P95" s="256">
        <f t="shared" si="9"/>
        <v>17222</v>
      </c>
      <c r="Q95" s="256">
        <f t="shared" si="10"/>
        <v>0</v>
      </c>
    </row>
    <row r="96" spans="1:17" ht="15">
      <c r="A96" s="218">
        <v>31805</v>
      </c>
      <c r="B96" s="219" t="s">
        <v>63</v>
      </c>
      <c r="C96" s="229">
        <v>10754</v>
      </c>
      <c r="D96" s="229">
        <v>10754</v>
      </c>
      <c r="E96" s="229">
        <v>10751</v>
      </c>
      <c r="F96" s="229">
        <v>3343</v>
      </c>
      <c r="G96" s="229">
        <v>0</v>
      </c>
      <c r="M96" s="256">
        <f t="shared" si="6"/>
        <v>10754</v>
      </c>
      <c r="N96" s="256">
        <f t="shared" si="7"/>
        <v>10754</v>
      </c>
      <c r="O96" s="256">
        <f t="shared" si="8"/>
        <v>10751</v>
      </c>
      <c r="P96" s="256">
        <f t="shared" si="9"/>
        <v>3343</v>
      </c>
      <c r="Q96" s="256">
        <f t="shared" si="10"/>
        <v>0</v>
      </c>
    </row>
    <row r="97" spans="1:17" ht="15">
      <c r="A97" s="218">
        <v>31810</v>
      </c>
      <c r="B97" s="219" t="s">
        <v>319</v>
      </c>
      <c r="C97" s="229">
        <v>11649</v>
      </c>
      <c r="D97" s="229">
        <v>11649</v>
      </c>
      <c r="E97" s="229">
        <v>11645</v>
      </c>
      <c r="F97" s="229">
        <v>4514</v>
      </c>
      <c r="G97" s="229">
        <v>0</v>
      </c>
      <c r="M97" s="256">
        <f t="shared" si="6"/>
        <v>11649</v>
      </c>
      <c r="N97" s="256">
        <f t="shared" si="7"/>
        <v>11649</v>
      </c>
      <c r="O97" s="256">
        <f t="shared" si="8"/>
        <v>11645</v>
      </c>
      <c r="P97" s="256">
        <f t="shared" si="9"/>
        <v>4514</v>
      </c>
      <c r="Q97" s="256">
        <f t="shared" si="10"/>
        <v>0</v>
      </c>
    </row>
    <row r="98" spans="1:17" ht="15">
      <c r="A98" s="218">
        <v>31820</v>
      </c>
      <c r="B98" s="219" t="s">
        <v>320</v>
      </c>
      <c r="C98" s="229">
        <v>10453</v>
      </c>
      <c r="D98" s="229">
        <v>10453</v>
      </c>
      <c r="E98" s="229">
        <v>10450</v>
      </c>
      <c r="F98" s="229">
        <v>3840</v>
      </c>
      <c r="G98" s="229">
        <v>0</v>
      </c>
      <c r="M98" s="256">
        <f t="shared" si="6"/>
        <v>10453</v>
      </c>
      <c r="N98" s="256">
        <f t="shared" si="7"/>
        <v>10453</v>
      </c>
      <c r="O98" s="256">
        <f t="shared" si="8"/>
        <v>10450</v>
      </c>
      <c r="P98" s="256">
        <f t="shared" si="9"/>
        <v>3840</v>
      </c>
      <c r="Q98" s="256">
        <f t="shared" si="10"/>
        <v>0</v>
      </c>
    </row>
    <row r="99" spans="1:17" ht="15">
      <c r="A99" s="218">
        <v>31900</v>
      </c>
      <c r="B99" s="219" t="s">
        <v>321</v>
      </c>
      <c r="C99" s="229">
        <v>24791</v>
      </c>
      <c r="D99" s="229">
        <v>24791</v>
      </c>
      <c r="E99" s="229">
        <v>24781</v>
      </c>
      <c r="F99" s="229">
        <v>10844</v>
      </c>
      <c r="G99" s="229">
        <v>0</v>
      </c>
      <c r="M99" s="256">
        <f t="shared" si="6"/>
        <v>24791</v>
      </c>
      <c r="N99" s="256">
        <f t="shared" si="7"/>
        <v>24791</v>
      </c>
      <c r="O99" s="256">
        <f t="shared" si="8"/>
        <v>24781</v>
      </c>
      <c r="P99" s="256">
        <f t="shared" si="9"/>
        <v>10844</v>
      </c>
      <c r="Q99" s="256">
        <f t="shared" si="10"/>
        <v>0</v>
      </c>
    </row>
    <row r="100" spans="1:17" ht="15">
      <c r="A100" s="218">
        <v>32000</v>
      </c>
      <c r="B100" s="219" t="s">
        <v>322</v>
      </c>
      <c r="C100" s="229">
        <v>10644</v>
      </c>
      <c r="D100" s="229">
        <v>10644</v>
      </c>
      <c r="E100" s="229">
        <v>10640</v>
      </c>
      <c r="F100" s="229">
        <v>4373</v>
      </c>
      <c r="G100" s="229">
        <v>0</v>
      </c>
      <c r="M100" s="256">
        <f t="shared" si="6"/>
        <v>10644</v>
      </c>
      <c r="N100" s="256">
        <f t="shared" si="7"/>
        <v>10644</v>
      </c>
      <c r="O100" s="256">
        <f t="shared" si="8"/>
        <v>10640</v>
      </c>
      <c r="P100" s="256">
        <f t="shared" si="9"/>
        <v>4373</v>
      </c>
      <c r="Q100" s="256">
        <f t="shared" si="10"/>
        <v>0</v>
      </c>
    </row>
    <row r="101" spans="1:17" ht="15">
      <c r="A101" s="218">
        <v>32005</v>
      </c>
      <c r="B101" s="219" t="s">
        <v>64</v>
      </c>
      <c r="C101" s="229">
        <v>2961</v>
      </c>
      <c r="D101" s="229">
        <v>2961</v>
      </c>
      <c r="E101" s="229">
        <v>2960</v>
      </c>
      <c r="F101" s="229">
        <v>970</v>
      </c>
      <c r="G101" s="229">
        <v>0</v>
      </c>
      <c r="M101" s="256">
        <f t="shared" si="6"/>
        <v>2961</v>
      </c>
      <c r="N101" s="256">
        <f t="shared" si="7"/>
        <v>2961</v>
      </c>
      <c r="O101" s="256">
        <f t="shared" si="8"/>
        <v>2960</v>
      </c>
      <c r="P101" s="256">
        <f t="shared" si="9"/>
        <v>970</v>
      </c>
      <c r="Q101" s="256">
        <f t="shared" si="10"/>
        <v>0</v>
      </c>
    </row>
    <row r="102" spans="1:17" ht="15">
      <c r="A102" s="218">
        <v>32100</v>
      </c>
      <c r="B102" s="219" t="s">
        <v>323</v>
      </c>
      <c r="C102" s="229">
        <v>7930</v>
      </c>
      <c r="D102" s="229">
        <v>7930</v>
      </c>
      <c r="E102" s="229">
        <v>7927</v>
      </c>
      <c r="F102" s="229">
        <v>2460</v>
      </c>
      <c r="G102" s="229">
        <v>0</v>
      </c>
      <c r="M102" s="256">
        <f t="shared" si="6"/>
        <v>7930</v>
      </c>
      <c r="N102" s="256">
        <f t="shared" si="7"/>
        <v>7930</v>
      </c>
      <c r="O102" s="256">
        <f t="shared" si="8"/>
        <v>7927</v>
      </c>
      <c r="P102" s="256">
        <f t="shared" si="9"/>
        <v>2460</v>
      </c>
      <c r="Q102" s="256">
        <f t="shared" si="10"/>
        <v>0</v>
      </c>
    </row>
    <row r="103" spans="1:17" ht="15">
      <c r="A103" s="218">
        <v>32200</v>
      </c>
      <c r="B103" s="219" t="s">
        <v>324</v>
      </c>
      <c r="C103" s="229">
        <v>4440</v>
      </c>
      <c r="D103" s="229">
        <v>4440</v>
      </c>
      <c r="E103" s="229">
        <v>4438</v>
      </c>
      <c r="F103" s="229">
        <v>1631</v>
      </c>
      <c r="G103" s="229">
        <v>0</v>
      </c>
      <c r="M103" s="256">
        <f t="shared" si="6"/>
        <v>4440</v>
      </c>
      <c r="N103" s="256">
        <f t="shared" si="7"/>
        <v>4440</v>
      </c>
      <c r="O103" s="256">
        <f t="shared" si="8"/>
        <v>4438</v>
      </c>
      <c r="P103" s="256">
        <f t="shared" si="9"/>
        <v>1631</v>
      </c>
      <c r="Q103" s="256">
        <f t="shared" si="10"/>
        <v>0</v>
      </c>
    </row>
    <row r="104" spans="1:17" ht="15">
      <c r="A104" s="218">
        <v>32300</v>
      </c>
      <c r="B104" s="219" t="s">
        <v>325</v>
      </c>
      <c r="C104" s="229">
        <v>46982</v>
      </c>
      <c r="D104" s="229">
        <v>46982</v>
      </c>
      <c r="E104" s="229">
        <v>46966</v>
      </c>
      <c r="F104" s="229">
        <v>18350</v>
      </c>
      <c r="G104" s="229">
        <v>0</v>
      </c>
      <c r="M104" s="256">
        <f t="shared" si="6"/>
        <v>46982</v>
      </c>
      <c r="N104" s="256">
        <f t="shared" si="7"/>
        <v>46982</v>
      </c>
      <c r="O104" s="256">
        <f t="shared" si="8"/>
        <v>46966</v>
      </c>
      <c r="P104" s="256">
        <f t="shared" si="9"/>
        <v>18350</v>
      </c>
      <c r="Q104" s="256">
        <f t="shared" si="10"/>
        <v>0</v>
      </c>
    </row>
    <row r="105" spans="1:17" ht="15">
      <c r="A105" s="218">
        <v>32305</v>
      </c>
      <c r="B105" s="219" t="s">
        <v>326</v>
      </c>
      <c r="C105" s="229">
        <v>5917</v>
      </c>
      <c r="D105" s="229">
        <v>5917</v>
      </c>
      <c r="E105" s="229">
        <v>5916</v>
      </c>
      <c r="F105" s="229">
        <v>1871</v>
      </c>
      <c r="G105" s="229">
        <v>0</v>
      </c>
      <c r="M105" s="256">
        <f t="shared" si="6"/>
        <v>5917</v>
      </c>
      <c r="N105" s="256">
        <f t="shared" si="7"/>
        <v>5917</v>
      </c>
      <c r="O105" s="256">
        <f t="shared" si="8"/>
        <v>5916</v>
      </c>
      <c r="P105" s="256">
        <f t="shared" si="9"/>
        <v>1871</v>
      </c>
      <c r="Q105" s="256">
        <f t="shared" si="10"/>
        <v>0</v>
      </c>
    </row>
    <row r="106" spans="1:17" ht="15">
      <c r="A106" s="218">
        <v>32400</v>
      </c>
      <c r="B106" s="219" t="s">
        <v>327</v>
      </c>
      <c r="C106" s="229">
        <v>19117</v>
      </c>
      <c r="D106" s="229">
        <v>19117</v>
      </c>
      <c r="E106" s="229">
        <v>19111</v>
      </c>
      <c r="F106" s="229">
        <v>6590</v>
      </c>
      <c r="G106" s="229">
        <v>0</v>
      </c>
      <c r="M106" s="256">
        <f t="shared" si="6"/>
        <v>19117</v>
      </c>
      <c r="N106" s="256">
        <f t="shared" si="7"/>
        <v>19117</v>
      </c>
      <c r="O106" s="256">
        <f t="shared" si="8"/>
        <v>19111</v>
      </c>
      <c r="P106" s="256">
        <f t="shared" si="9"/>
        <v>6590</v>
      </c>
      <c r="Q106" s="256">
        <f t="shared" si="10"/>
        <v>0</v>
      </c>
    </row>
    <row r="107" spans="1:17" ht="15">
      <c r="A107" s="218">
        <v>32405</v>
      </c>
      <c r="B107" s="219" t="s">
        <v>66</v>
      </c>
      <c r="C107" s="229">
        <v>5119</v>
      </c>
      <c r="D107" s="229">
        <v>5119</v>
      </c>
      <c r="E107" s="229">
        <v>5117</v>
      </c>
      <c r="F107" s="229">
        <v>1668</v>
      </c>
      <c r="G107" s="229">
        <v>0</v>
      </c>
      <c r="M107" s="256">
        <f t="shared" si="6"/>
        <v>5119</v>
      </c>
      <c r="N107" s="256">
        <f t="shared" si="7"/>
        <v>5119</v>
      </c>
      <c r="O107" s="256">
        <f t="shared" si="8"/>
        <v>5117</v>
      </c>
      <c r="P107" s="256">
        <f t="shared" si="9"/>
        <v>1668</v>
      </c>
      <c r="Q107" s="256">
        <f t="shared" si="10"/>
        <v>0</v>
      </c>
    </row>
    <row r="108" spans="1:17" ht="15">
      <c r="A108" s="218">
        <v>32410</v>
      </c>
      <c r="B108" s="219" t="s">
        <v>328</v>
      </c>
      <c r="C108" s="229">
        <v>8429</v>
      </c>
      <c r="D108" s="229">
        <v>8429</v>
      </c>
      <c r="E108" s="229">
        <v>8427</v>
      </c>
      <c r="F108" s="229">
        <v>2458</v>
      </c>
      <c r="G108" s="229">
        <v>0</v>
      </c>
      <c r="M108" s="256">
        <f t="shared" si="6"/>
        <v>8429</v>
      </c>
      <c r="N108" s="256">
        <f t="shared" si="7"/>
        <v>8429</v>
      </c>
      <c r="O108" s="256">
        <f t="shared" si="8"/>
        <v>8427</v>
      </c>
      <c r="P108" s="256">
        <f t="shared" si="9"/>
        <v>2458</v>
      </c>
      <c r="Q108" s="256">
        <f t="shared" si="10"/>
        <v>0</v>
      </c>
    </row>
    <row r="109" spans="1:17" ht="15">
      <c r="A109" s="218">
        <v>32420</v>
      </c>
      <c r="B109" s="219" t="s">
        <v>527</v>
      </c>
      <c r="C109" s="229">
        <v>0</v>
      </c>
      <c r="D109" s="229">
        <v>0</v>
      </c>
      <c r="E109" s="229">
        <v>0</v>
      </c>
      <c r="F109" s="229">
        <v>0</v>
      </c>
      <c r="G109" s="229">
        <v>0</v>
      </c>
      <c r="M109" s="256">
        <f t="shared" si="6"/>
        <v>0</v>
      </c>
      <c r="N109" s="256">
        <f t="shared" si="7"/>
        <v>0</v>
      </c>
      <c r="O109" s="256">
        <f t="shared" si="8"/>
        <v>0</v>
      </c>
      <c r="P109" s="256">
        <f t="shared" si="9"/>
        <v>0</v>
      </c>
      <c r="Q109" s="256">
        <f t="shared" si="10"/>
        <v>0</v>
      </c>
    </row>
    <row r="110" spans="1:17" ht="15">
      <c r="A110" s="218">
        <v>32500</v>
      </c>
      <c r="B110" s="219" t="s">
        <v>329</v>
      </c>
      <c r="C110" s="229">
        <v>41178</v>
      </c>
      <c r="D110" s="229">
        <v>41178</v>
      </c>
      <c r="E110" s="229">
        <v>41165</v>
      </c>
      <c r="F110" s="229">
        <v>14207</v>
      </c>
      <c r="G110" s="229">
        <v>0</v>
      </c>
      <c r="M110" s="256">
        <f t="shared" si="6"/>
        <v>41178</v>
      </c>
      <c r="N110" s="256">
        <f t="shared" si="7"/>
        <v>41178</v>
      </c>
      <c r="O110" s="256">
        <f t="shared" si="8"/>
        <v>41165</v>
      </c>
      <c r="P110" s="256">
        <f t="shared" si="9"/>
        <v>14207</v>
      </c>
      <c r="Q110" s="256">
        <f t="shared" si="10"/>
        <v>0</v>
      </c>
    </row>
    <row r="111" spans="1:17" ht="15">
      <c r="A111" s="218">
        <v>32505</v>
      </c>
      <c r="B111" s="219" t="s">
        <v>67</v>
      </c>
      <c r="C111" s="229">
        <v>5998</v>
      </c>
      <c r="D111" s="229">
        <v>5998</v>
      </c>
      <c r="E111" s="229">
        <v>5996</v>
      </c>
      <c r="F111" s="229">
        <v>2203</v>
      </c>
      <c r="G111" s="229">
        <v>0</v>
      </c>
      <c r="M111" s="256">
        <f t="shared" si="6"/>
        <v>5998</v>
      </c>
      <c r="N111" s="256">
        <f t="shared" si="7"/>
        <v>5998</v>
      </c>
      <c r="O111" s="256">
        <f t="shared" si="8"/>
        <v>5996</v>
      </c>
      <c r="P111" s="256">
        <f t="shared" si="9"/>
        <v>2203</v>
      </c>
      <c r="Q111" s="256">
        <f t="shared" si="10"/>
        <v>0</v>
      </c>
    </row>
    <row r="112" spans="1:17" ht="15">
      <c r="A112" s="218">
        <v>32600</v>
      </c>
      <c r="B112" s="219" t="s">
        <v>330</v>
      </c>
      <c r="C112" s="229">
        <v>142781</v>
      </c>
      <c r="D112" s="229">
        <v>142781</v>
      </c>
      <c r="E112" s="229">
        <v>142735</v>
      </c>
      <c r="F112" s="229">
        <v>50991</v>
      </c>
      <c r="G112" s="229">
        <v>0</v>
      </c>
      <c r="M112" s="256">
        <f t="shared" si="6"/>
        <v>142781</v>
      </c>
      <c r="N112" s="256">
        <f t="shared" si="7"/>
        <v>142781</v>
      </c>
      <c r="O112" s="256">
        <f t="shared" si="8"/>
        <v>142735</v>
      </c>
      <c r="P112" s="256">
        <f t="shared" si="9"/>
        <v>50991</v>
      </c>
      <c r="Q112" s="256">
        <f t="shared" si="10"/>
        <v>0</v>
      </c>
    </row>
    <row r="113" spans="1:17" ht="15">
      <c r="A113" s="218">
        <v>32605</v>
      </c>
      <c r="B113" s="219" t="s">
        <v>68</v>
      </c>
      <c r="C113" s="229">
        <v>22959</v>
      </c>
      <c r="D113" s="229">
        <v>22959</v>
      </c>
      <c r="E113" s="229">
        <v>22952</v>
      </c>
      <c r="F113" s="229">
        <v>7499</v>
      </c>
      <c r="G113" s="229">
        <v>0</v>
      </c>
      <c r="M113" s="256">
        <f t="shared" si="6"/>
        <v>22959</v>
      </c>
      <c r="N113" s="256">
        <f t="shared" si="7"/>
        <v>22959</v>
      </c>
      <c r="O113" s="256">
        <f t="shared" si="8"/>
        <v>22952</v>
      </c>
      <c r="P113" s="256">
        <f t="shared" si="9"/>
        <v>7499</v>
      </c>
      <c r="Q113" s="256">
        <f t="shared" si="10"/>
        <v>0</v>
      </c>
    </row>
    <row r="114" spans="1:17" ht="15">
      <c r="A114" s="218">
        <v>32700</v>
      </c>
      <c r="B114" s="219" t="s">
        <v>331</v>
      </c>
      <c r="C114" s="229">
        <v>11722</v>
      </c>
      <c r="D114" s="229">
        <v>11722</v>
      </c>
      <c r="E114" s="229">
        <v>11718</v>
      </c>
      <c r="F114" s="229">
        <v>4755</v>
      </c>
      <c r="G114" s="229">
        <v>0</v>
      </c>
      <c r="M114" s="256">
        <f t="shared" si="6"/>
        <v>11722</v>
      </c>
      <c r="N114" s="256">
        <f t="shared" si="7"/>
        <v>11722</v>
      </c>
      <c r="O114" s="256">
        <f t="shared" si="8"/>
        <v>11718</v>
      </c>
      <c r="P114" s="256">
        <f t="shared" si="9"/>
        <v>4755</v>
      </c>
      <c r="Q114" s="256">
        <f t="shared" si="10"/>
        <v>0</v>
      </c>
    </row>
    <row r="115" spans="1:17" ht="15">
      <c r="A115" s="218">
        <v>32800</v>
      </c>
      <c r="B115" s="219" t="s">
        <v>332</v>
      </c>
      <c r="C115" s="229">
        <v>19078</v>
      </c>
      <c r="D115" s="229">
        <v>19078</v>
      </c>
      <c r="E115" s="229">
        <v>19072</v>
      </c>
      <c r="F115" s="229">
        <v>6360</v>
      </c>
      <c r="G115" s="229">
        <v>0</v>
      </c>
      <c r="M115" s="256">
        <f t="shared" si="6"/>
        <v>19078</v>
      </c>
      <c r="N115" s="256">
        <f t="shared" si="7"/>
        <v>19078</v>
      </c>
      <c r="O115" s="256">
        <f t="shared" si="8"/>
        <v>19072</v>
      </c>
      <c r="P115" s="256">
        <f t="shared" si="9"/>
        <v>6360</v>
      </c>
      <c r="Q115" s="256">
        <f t="shared" si="10"/>
        <v>0</v>
      </c>
    </row>
    <row r="116" spans="1:17" ht="15">
      <c r="A116" s="218">
        <v>32900</v>
      </c>
      <c r="B116" s="219" t="s">
        <v>333</v>
      </c>
      <c r="C116" s="229">
        <v>51905</v>
      </c>
      <c r="D116" s="229">
        <v>51905</v>
      </c>
      <c r="E116" s="229">
        <v>51888</v>
      </c>
      <c r="F116" s="229">
        <v>19216</v>
      </c>
      <c r="G116" s="229">
        <v>0</v>
      </c>
      <c r="M116" s="256">
        <f t="shared" si="6"/>
        <v>51905</v>
      </c>
      <c r="N116" s="256">
        <f t="shared" si="7"/>
        <v>51905</v>
      </c>
      <c r="O116" s="256">
        <f t="shared" si="8"/>
        <v>51888</v>
      </c>
      <c r="P116" s="256">
        <f t="shared" si="9"/>
        <v>19216</v>
      </c>
      <c r="Q116" s="256">
        <f t="shared" si="10"/>
        <v>0</v>
      </c>
    </row>
    <row r="117" spans="1:17" ht="15">
      <c r="A117" s="218">
        <v>32901</v>
      </c>
      <c r="B117" s="219" t="s">
        <v>334</v>
      </c>
      <c r="C117" s="229">
        <v>1842</v>
      </c>
      <c r="D117" s="229">
        <v>1842</v>
      </c>
      <c r="E117" s="229">
        <v>1842</v>
      </c>
      <c r="F117" s="229">
        <v>445</v>
      </c>
      <c r="G117" s="229">
        <v>0</v>
      </c>
      <c r="M117" s="256">
        <f t="shared" si="6"/>
        <v>1842</v>
      </c>
      <c r="N117" s="256">
        <f t="shared" si="7"/>
        <v>1842</v>
      </c>
      <c r="O117" s="256">
        <f t="shared" si="8"/>
        <v>1842</v>
      </c>
      <c r="P117" s="256">
        <f t="shared" si="9"/>
        <v>445</v>
      </c>
      <c r="Q117" s="256">
        <f t="shared" si="10"/>
        <v>0</v>
      </c>
    </row>
    <row r="118" spans="1:17" ht="15">
      <c r="A118" s="218">
        <v>32905</v>
      </c>
      <c r="B118" s="219" t="s">
        <v>69</v>
      </c>
      <c r="C118" s="229">
        <v>8176</v>
      </c>
      <c r="D118" s="229">
        <v>8176</v>
      </c>
      <c r="E118" s="229">
        <v>8173</v>
      </c>
      <c r="F118" s="229">
        <v>2833</v>
      </c>
      <c r="G118" s="229">
        <v>0</v>
      </c>
      <c r="M118" s="256">
        <f t="shared" si="6"/>
        <v>8176</v>
      </c>
      <c r="N118" s="256">
        <f t="shared" si="7"/>
        <v>8176</v>
      </c>
      <c r="O118" s="256">
        <f t="shared" si="8"/>
        <v>8173</v>
      </c>
      <c r="P118" s="256">
        <f t="shared" si="9"/>
        <v>2833</v>
      </c>
      <c r="Q118" s="256">
        <f t="shared" si="10"/>
        <v>0</v>
      </c>
    </row>
    <row r="119" spans="1:17" ht="15">
      <c r="A119" s="218">
        <v>32910</v>
      </c>
      <c r="B119" s="219" t="s">
        <v>335</v>
      </c>
      <c r="C119" s="229">
        <v>9977</v>
      </c>
      <c r="D119" s="229">
        <v>9977</v>
      </c>
      <c r="E119" s="229">
        <v>9973</v>
      </c>
      <c r="F119" s="229">
        <v>3626</v>
      </c>
      <c r="G119" s="229">
        <v>0</v>
      </c>
      <c r="M119" s="256">
        <f t="shared" si="6"/>
        <v>9977</v>
      </c>
      <c r="N119" s="256">
        <f t="shared" si="7"/>
        <v>9977</v>
      </c>
      <c r="O119" s="256">
        <f t="shared" si="8"/>
        <v>9973</v>
      </c>
      <c r="P119" s="256">
        <f t="shared" si="9"/>
        <v>3626</v>
      </c>
      <c r="Q119" s="256">
        <f t="shared" si="10"/>
        <v>0</v>
      </c>
    </row>
    <row r="120" spans="1:17" ht="15">
      <c r="A120" s="218">
        <v>32920</v>
      </c>
      <c r="B120" s="219" t="s">
        <v>336</v>
      </c>
      <c r="C120" s="229">
        <v>7532</v>
      </c>
      <c r="D120" s="229">
        <v>7532</v>
      </c>
      <c r="E120" s="229">
        <v>7529</v>
      </c>
      <c r="F120" s="229">
        <v>3026</v>
      </c>
      <c r="G120" s="229">
        <v>0</v>
      </c>
      <c r="M120" s="256">
        <f t="shared" si="6"/>
        <v>7532</v>
      </c>
      <c r="N120" s="256">
        <f t="shared" si="7"/>
        <v>7532</v>
      </c>
      <c r="O120" s="256">
        <f t="shared" si="8"/>
        <v>7529</v>
      </c>
      <c r="P120" s="256">
        <f t="shared" si="9"/>
        <v>3026</v>
      </c>
      <c r="Q120" s="256">
        <f t="shared" si="10"/>
        <v>0</v>
      </c>
    </row>
    <row r="121" spans="1:17" ht="15">
      <c r="A121" s="218">
        <v>33000</v>
      </c>
      <c r="B121" s="219" t="s">
        <v>337</v>
      </c>
      <c r="C121" s="229">
        <v>19232</v>
      </c>
      <c r="D121" s="229">
        <v>19232</v>
      </c>
      <c r="E121" s="229">
        <v>19225</v>
      </c>
      <c r="F121" s="229">
        <v>7295</v>
      </c>
      <c r="G121" s="229">
        <v>0</v>
      </c>
      <c r="M121" s="256">
        <f t="shared" si="6"/>
        <v>19232</v>
      </c>
      <c r="N121" s="256">
        <f t="shared" si="7"/>
        <v>19232</v>
      </c>
      <c r="O121" s="256">
        <f t="shared" si="8"/>
        <v>19225</v>
      </c>
      <c r="P121" s="256">
        <f t="shared" si="9"/>
        <v>7295</v>
      </c>
      <c r="Q121" s="256">
        <f t="shared" si="10"/>
        <v>0</v>
      </c>
    </row>
    <row r="122" spans="1:17" ht="15">
      <c r="A122" s="218">
        <v>33001</v>
      </c>
      <c r="B122" s="219" t="s">
        <v>338</v>
      </c>
      <c r="C122" s="229">
        <v>318</v>
      </c>
      <c r="D122" s="229">
        <v>318</v>
      </c>
      <c r="E122" s="229">
        <v>318</v>
      </c>
      <c r="F122" s="229">
        <v>253</v>
      </c>
      <c r="G122" s="229">
        <v>0</v>
      </c>
      <c r="M122" s="256">
        <f t="shared" si="6"/>
        <v>318</v>
      </c>
      <c r="N122" s="256">
        <f t="shared" si="7"/>
        <v>318</v>
      </c>
      <c r="O122" s="256">
        <f t="shared" si="8"/>
        <v>318</v>
      </c>
      <c r="P122" s="256">
        <f t="shared" si="9"/>
        <v>253</v>
      </c>
      <c r="Q122" s="256">
        <f t="shared" si="10"/>
        <v>0</v>
      </c>
    </row>
    <row r="123" spans="1:17" ht="15">
      <c r="A123" s="218">
        <v>33027</v>
      </c>
      <c r="B123" s="219" t="s">
        <v>339</v>
      </c>
      <c r="C123" s="229">
        <v>834</v>
      </c>
      <c r="D123" s="229">
        <v>834</v>
      </c>
      <c r="E123" s="229">
        <v>833</v>
      </c>
      <c r="F123" s="229">
        <v>856</v>
      </c>
      <c r="G123" s="229">
        <v>0</v>
      </c>
      <c r="M123" s="256">
        <f t="shared" si="6"/>
        <v>834</v>
      </c>
      <c r="N123" s="256">
        <f t="shared" si="7"/>
        <v>834</v>
      </c>
      <c r="O123" s="256">
        <f t="shared" si="8"/>
        <v>833</v>
      </c>
      <c r="P123" s="256">
        <f t="shared" si="9"/>
        <v>856</v>
      </c>
      <c r="Q123" s="256">
        <f t="shared" si="10"/>
        <v>0</v>
      </c>
    </row>
    <row r="124" spans="1:17" ht="15">
      <c r="A124" s="218">
        <v>33100</v>
      </c>
      <c r="B124" s="219" t="s">
        <v>340</v>
      </c>
      <c r="C124" s="229">
        <v>29579</v>
      </c>
      <c r="D124" s="229">
        <v>29579</v>
      </c>
      <c r="E124" s="229">
        <v>29570</v>
      </c>
      <c r="F124" s="229">
        <v>10517</v>
      </c>
      <c r="G124" s="229">
        <v>0</v>
      </c>
      <c r="M124" s="256">
        <f t="shared" si="6"/>
        <v>29579</v>
      </c>
      <c r="N124" s="256">
        <f t="shared" si="7"/>
        <v>29579</v>
      </c>
      <c r="O124" s="256">
        <f t="shared" si="8"/>
        <v>29570</v>
      </c>
      <c r="P124" s="256">
        <f t="shared" si="9"/>
        <v>10517</v>
      </c>
      <c r="Q124" s="256">
        <f t="shared" si="10"/>
        <v>0</v>
      </c>
    </row>
    <row r="125" spans="1:17" ht="15">
      <c r="A125" s="218">
        <v>33105</v>
      </c>
      <c r="B125" s="219" t="s">
        <v>70</v>
      </c>
      <c r="C125" s="229">
        <v>3406</v>
      </c>
      <c r="D125" s="229">
        <v>3406</v>
      </c>
      <c r="E125" s="229">
        <v>3405</v>
      </c>
      <c r="F125" s="229">
        <v>1168</v>
      </c>
      <c r="G125" s="229">
        <v>0</v>
      </c>
      <c r="M125" s="256">
        <f t="shared" si="6"/>
        <v>3406</v>
      </c>
      <c r="N125" s="256">
        <f t="shared" si="7"/>
        <v>3406</v>
      </c>
      <c r="O125" s="256">
        <f t="shared" si="8"/>
        <v>3405</v>
      </c>
      <c r="P125" s="256">
        <f t="shared" si="9"/>
        <v>1168</v>
      </c>
      <c r="Q125" s="256">
        <f t="shared" si="10"/>
        <v>0</v>
      </c>
    </row>
    <row r="126" spans="1:17" ht="15">
      <c r="A126" s="218">
        <v>33200</v>
      </c>
      <c r="B126" s="219" t="s">
        <v>341</v>
      </c>
      <c r="C126" s="229">
        <v>114899</v>
      </c>
      <c r="D126" s="229">
        <v>114899</v>
      </c>
      <c r="E126" s="229">
        <v>114858</v>
      </c>
      <c r="F126" s="229">
        <v>46470</v>
      </c>
      <c r="G126" s="229">
        <v>0</v>
      </c>
      <c r="M126" s="256">
        <f t="shared" si="6"/>
        <v>114899</v>
      </c>
      <c r="N126" s="256">
        <f t="shared" si="7"/>
        <v>114899</v>
      </c>
      <c r="O126" s="256">
        <f t="shared" si="8"/>
        <v>114858</v>
      </c>
      <c r="P126" s="256">
        <f t="shared" si="9"/>
        <v>46470</v>
      </c>
      <c r="Q126" s="256">
        <f t="shared" si="10"/>
        <v>0</v>
      </c>
    </row>
    <row r="127" spans="1:17" ht="15">
      <c r="A127" s="218">
        <v>33202</v>
      </c>
      <c r="B127" s="219" t="s">
        <v>342</v>
      </c>
      <c r="C127" s="229">
        <v>660</v>
      </c>
      <c r="D127" s="229">
        <v>660</v>
      </c>
      <c r="E127" s="229">
        <v>659</v>
      </c>
      <c r="F127" s="229">
        <v>686</v>
      </c>
      <c r="G127" s="229">
        <v>0</v>
      </c>
      <c r="M127" s="256">
        <f t="shared" si="6"/>
        <v>660</v>
      </c>
      <c r="N127" s="256">
        <f t="shared" si="7"/>
        <v>660</v>
      </c>
      <c r="O127" s="256">
        <f t="shared" si="8"/>
        <v>659</v>
      </c>
      <c r="P127" s="256">
        <f t="shared" si="9"/>
        <v>686</v>
      </c>
      <c r="Q127" s="256">
        <f t="shared" si="10"/>
        <v>0</v>
      </c>
    </row>
    <row r="128" spans="1:17" ht="15">
      <c r="A128" s="218">
        <v>33203</v>
      </c>
      <c r="B128" s="219" t="s">
        <v>343</v>
      </c>
      <c r="C128" s="229">
        <v>624</v>
      </c>
      <c r="D128" s="229">
        <v>624</v>
      </c>
      <c r="E128" s="229">
        <v>623</v>
      </c>
      <c r="F128" s="229">
        <v>429</v>
      </c>
      <c r="G128" s="229">
        <v>0</v>
      </c>
      <c r="M128" s="256">
        <f t="shared" si="6"/>
        <v>624</v>
      </c>
      <c r="N128" s="256">
        <f t="shared" si="7"/>
        <v>624</v>
      </c>
      <c r="O128" s="256">
        <f t="shared" si="8"/>
        <v>623</v>
      </c>
      <c r="P128" s="256">
        <f t="shared" si="9"/>
        <v>429</v>
      </c>
      <c r="Q128" s="256">
        <f t="shared" si="10"/>
        <v>0</v>
      </c>
    </row>
    <row r="129" spans="1:17" ht="15">
      <c r="A129" s="218">
        <v>33204</v>
      </c>
      <c r="B129" s="219" t="s">
        <v>344</v>
      </c>
      <c r="C129" s="229">
        <v>2225</v>
      </c>
      <c r="D129" s="229">
        <v>2225</v>
      </c>
      <c r="E129" s="229">
        <v>2224</v>
      </c>
      <c r="F129" s="229">
        <v>1411</v>
      </c>
      <c r="G129" s="229">
        <v>0</v>
      </c>
      <c r="M129" s="256">
        <f t="shared" si="6"/>
        <v>2225</v>
      </c>
      <c r="N129" s="256">
        <f t="shared" si="7"/>
        <v>2225</v>
      </c>
      <c r="O129" s="256">
        <f t="shared" si="8"/>
        <v>2224</v>
      </c>
      <c r="P129" s="256">
        <f t="shared" si="9"/>
        <v>1411</v>
      </c>
      <c r="Q129" s="256">
        <f t="shared" si="10"/>
        <v>0</v>
      </c>
    </row>
    <row r="130" spans="1:17" ht="15">
      <c r="A130" s="218">
        <v>33205</v>
      </c>
      <c r="B130" s="219" t="s">
        <v>71</v>
      </c>
      <c r="C130" s="229">
        <v>10614</v>
      </c>
      <c r="D130" s="229">
        <v>10614</v>
      </c>
      <c r="E130" s="229">
        <v>10610</v>
      </c>
      <c r="F130" s="229">
        <v>3886</v>
      </c>
      <c r="G130" s="229">
        <v>0</v>
      </c>
      <c r="M130" s="256">
        <f t="shared" si="6"/>
        <v>10614</v>
      </c>
      <c r="N130" s="256">
        <f t="shared" si="7"/>
        <v>10614</v>
      </c>
      <c r="O130" s="256">
        <f t="shared" si="8"/>
        <v>10610</v>
      </c>
      <c r="P130" s="256">
        <f t="shared" si="9"/>
        <v>3886</v>
      </c>
      <c r="Q130" s="256">
        <f t="shared" si="10"/>
        <v>0</v>
      </c>
    </row>
    <row r="131" spans="1:17" ht="15">
      <c r="A131" s="218">
        <v>33206</v>
      </c>
      <c r="B131" s="219" t="s">
        <v>345</v>
      </c>
      <c r="C131" s="229">
        <v>735</v>
      </c>
      <c r="D131" s="229">
        <v>735</v>
      </c>
      <c r="E131" s="229">
        <v>734</v>
      </c>
      <c r="F131" s="229">
        <v>331</v>
      </c>
      <c r="G131" s="229">
        <v>0</v>
      </c>
      <c r="M131" s="256">
        <f t="shared" si="6"/>
        <v>735</v>
      </c>
      <c r="N131" s="256">
        <f t="shared" si="7"/>
        <v>735</v>
      </c>
      <c r="O131" s="256">
        <f t="shared" si="8"/>
        <v>734</v>
      </c>
      <c r="P131" s="256">
        <f t="shared" si="9"/>
        <v>331</v>
      </c>
      <c r="Q131" s="256">
        <f t="shared" si="10"/>
        <v>0</v>
      </c>
    </row>
    <row r="132" spans="1:17" ht="15">
      <c r="A132" s="218">
        <v>33207</v>
      </c>
      <c r="B132" s="219" t="s">
        <v>346</v>
      </c>
      <c r="C132" s="229">
        <v>15</v>
      </c>
      <c r="D132" s="229">
        <v>15</v>
      </c>
      <c r="E132" s="229">
        <v>14</v>
      </c>
      <c r="F132" s="229">
        <v>950</v>
      </c>
      <c r="G132" s="229">
        <v>0</v>
      </c>
      <c r="M132" s="256">
        <f t="shared" si="6"/>
        <v>15</v>
      </c>
      <c r="N132" s="256">
        <f t="shared" si="7"/>
        <v>15</v>
      </c>
      <c r="O132" s="256">
        <f t="shared" si="8"/>
        <v>14</v>
      </c>
      <c r="P132" s="256">
        <f t="shared" si="9"/>
        <v>950</v>
      </c>
      <c r="Q132" s="256">
        <f t="shared" si="10"/>
        <v>0</v>
      </c>
    </row>
    <row r="133" spans="1:17" ht="15">
      <c r="A133" s="218">
        <v>33208</v>
      </c>
      <c r="B133" s="219" t="s">
        <v>347</v>
      </c>
      <c r="C133" s="229">
        <v>669</v>
      </c>
      <c r="D133" s="229">
        <v>669</v>
      </c>
      <c r="E133" s="229">
        <v>669</v>
      </c>
      <c r="F133" s="229">
        <v>0</v>
      </c>
      <c r="G133" s="229">
        <v>0</v>
      </c>
      <c r="M133" s="256">
        <f t="shared" ref="M133:M196" si="11">ROUND(C133,0)</f>
        <v>669</v>
      </c>
      <c r="N133" s="256">
        <f t="shared" ref="N133:N196" si="12">ROUND(D133,0)</f>
        <v>669</v>
      </c>
      <c r="O133" s="256">
        <f t="shared" ref="O133:O196" si="13">ROUND(E133,0)</f>
        <v>669</v>
      </c>
      <c r="P133" s="256">
        <f t="shared" ref="P133:P196" si="14">ROUND(F133,0)</f>
        <v>0</v>
      </c>
      <c r="Q133" s="256">
        <f t="shared" ref="Q133:Q196" si="15">ROUND(G133,0)</f>
        <v>0</v>
      </c>
    </row>
    <row r="134" spans="1:17" ht="15">
      <c r="A134" s="218">
        <v>33209</v>
      </c>
      <c r="B134" s="219" t="s">
        <v>348</v>
      </c>
      <c r="C134" s="229">
        <v>345</v>
      </c>
      <c r="D134" s="229">
        <v>345</v>
      </c>
      <c r="E134" s="229">
        <v>345</v>
      </c>
      <c r="F134" s="229">
        <v>232</v>
      </c>
      <c r="G134" s="229">
        <v>0</v>
      </c>
      <c r="M134" s="256">
        <f t="shared" si="11"/>
        <v>345</v>
      </c>
      <c r="N134" s="256">
        <f t="shared" si="12"/>
        <v>345</v>
      </c>
      <c r="O134" s="256">
        <f t="shared" si="13"/>
        <v>345</v>
      </c>
      <c r="P134" s="256">
        <f t="shared" si="14"/>
        <v>232</v>
      </c>
      <c r="Q134" s="256">
        <f t="shared" si="15"/>
        <v>0</v>
      </c>
    </row>
    <row r="135" spans="1:17" ht="15">
      <c r="A135" s="218">
        <v>33300</v>
      </c>
      <c r="B135" s="219" t="s">
        <v>349</v>
      </c>
      <c r="C135" s="229">
        <v>17921</v>
      </c>
      <c r="D135" s="229">
        <v>17921</v>
      </c>
      <c r="E135" s="229">
        <v>17915</v>
      </c>
      <c r="F135" s="229">
        <v>6807</v>
      </c>
      <c r="G135" s="229">
        <v>0</v>
      </c>
      <c r="M135" s="256">
        <f t="shared" si="11"/>
        <v>17921</v>
      </c>
      <c r="N135" s="256">
        <f t="shared" si="12"/>
        <v>17921</v>
      </c>
      <c r="O135" s="256">
        <f t="shared" si="13"/>
        <v>17915</v>
      </c>
      <c r="P135" s="256">
        <f t="shared" si="14"/>
        <v>6807</v>
      </c>
      <c r="Q135" s="256">
        <f t="shared" si="15"/>
        <v>0</v>
      </c>
    </row>
    <row r="136" spans="1:17" ht="15">
      <c r="A136" s="218">
        <v>33305</v>
      </c>
      <c r="B136" s="219" t="s">
        <v>72</v>
      </c>
      <c r="C136" s="229">
        <v>6565</v>
      </c>
      <c r="D136" s="229">
        <v>6565</v>
      </c>
      <c r="E136" s="229">
        <v>6564</v>
      </c>
      <c r="F136" s="229">
        <v>1630</v>
      </c>
      <c r="G136" s="229">
        <v>0</v>
      </c>
      <c r="M136" s="256">
        <f t="shared" si="11"/>
        <v>6565</v>
      </c>
      <c r="N136" s="256">
        <f t="shared" si="12"/>
        <v>6565</v>
      </c>
      <c r="O136" s="256">
        <f t="shared" si="13"/>
        <v>6564</v>
      </c>
      <c r="P136" s="256">
        <f t="shared" si="14"/>
        <v>1630</v>
      </c>
      <c r="Q136" s="256">
        <f t="shared" si="15"/>
        <v>0</v>
      </c>
    </row>
    <row r="137" spans="1:17" ht="15">
      <c r="A137" s="218">
        <v>33400</v>
      </c>
      <c r="B137" s="219" t="s">
        <v>350</v>
      </c>
      <c r="C137" s="229">
        <v>162873</v>
      </c>
      <c r="D137" s="229">
        <v>162873</v>
      </c>
      <c r="E137" s="229">
        <v>162819</v>
      </c>
      <c r="F137" s="229">
        <v>60435</v>
      </c>
      <c r="G137" s="229">
        <v>0</v>
      </c>
      <c r="M137" s="256">
        <f t="shared" si="11"/>
        <v>162873</v>
      </c>
      <c r="N137" s="256">
        <f t="shared" si="12"/>
        <v>162873</v>
      </c>
      <c r="O137" s="256">
        <f t="shared" si="13"/>
        <v>162819</v>
      </c>
      <c r="P137" s="256">
        <f t="shared" si="14"/>
        <v>60435</v>
      </c>
      <c r="Q137" s="256">
        <f t="shared" si="15"/>
        <v>0</v>
      </c>
    </row>
    <row r="138" spans="1:17" ht="15">
      <c r="A138" s="218">
        <v>33402</v>
      </c>
      <c r="B138" s="219" t="s">
        <v>351</v>
      </c>
      <c r="C138" s="229">
        <v>994</v>
      </c>
      <c r="D138" s="229">
        <v>994</v>
      </c>
      <c r="E138" s="229">
        <v>994</v>
      </c>
      <c r="F138" s="229">
        <v>488</v>
      </c>
      <c r="G138" s="229">
        <v>0</v>
      </c>
      <c r="M138" s="256">
        <f t="shared" si="11"/>
        <v>994</v>
      </c>
      <c r="N138" s="256">
        <f t="shared" si="12"/>
        <v>994</v>
      </c>
      <c r="O138" s="256">
        <f t="shared" si="13"/>
        <v>994</v>
      </c>
      <c r="P138" s="256">
        <f t="shared" si="14"/>
        <v>488</v>
      </c>
      <c r="Q138" s="256">
        <f t="shared" si="15"/>
        <v>0</v>
      </c>
    </row>
    <row r="139" spans="1:17" ht="15">
      <c r="A139" s="218">
        <v>33405</v>
      </c>
      <c r="B139" s="219" t="s">
        <v>73</v>
      </c>
      <c r="C139" s="229">
        <v>18964</v>
      </c>
      <c r="D139" s="229">
        <v>18964</v>
      </c>
      <c r="E139" s="229">
        <v>18959</v>
      </c>
      <c r="F139" s="229">
        <v>5745</v>
      </c>
      <c r="G139" s="229">
        <v>0</v>
      </c>
      <c r="M139" s="256">
        <f t="shared" si="11"/>
        <v>18964</v>
      </c>
      <c r="N139" s="256">
        <f t="shared" si="12"/>
        <v>18964</v>
      </c>
      <c r="O139" s="256">
        <f t="shared" si="13"/>
        <v>18959</v>
      </c>
      <c r="P139" s="256">
        <f t="shared" si="14"/>
        <v>5745</v>
      </c>
      <c r="Q139" s="256">
        <f t="shared" si="15"/>
        <v>0</v>
      </c>
    </row>
    <row r="140" spans="1:17" ht="15">
      <c r="A140" s="218">
        <v>33500</v>
      </c>
      <c r="B140" s="219" t="s">
        <v>352</v>
      </c>
      <c r="C140" s="229">
        <v>25275</v>
      </c>
      <c r="D140" s="229">
        <v>25275</v>
      </c>
      <c r="E140" s="229">
        <v>25266</v>
      </c>
      <c r="F140" s="229">
        <v>9619</v>
      </c>
      <c r="G140" s="229">
        <v>0</v>
      </c>
      <c r="M140" s="256">
        <f t="shared" si="11"/>
        <v>25275</v>
      </c>
      <c r="N140" s="256">
        <f t="shared" si="12"/>
        <v>25275</v>
      </c>
      <c r="O140" s="256">
        <f t="shared" si="13"/>
        <v>25266</v>
      </c>
      <c r="P140" s="256">
        <f t="shared" si="14"/>
        <v>9619</v>
      </c>
      <c r="Q140" s="256">
        <f t="shared" si="15"/>
        <v>0</v>
      </c>
    </row>
    <row r="141" spans="1:17" ht="15">
      <c r="A141" s="218">
        <v>33501</v>
      </c>
      <c r="B141" s="219" t="s">
        <v>353</v>
      </c>
      <c r="C141" s="229">
        <v>401</v>
      </c>
      <c r="D141" s="229">
        <v>401</v>
      </c>
      <c r="E141" s="229">
        <v>401</v>
      </c>
      <c r="F141" s="229">
        <v>227</v>
      </c>
      <c r="G141" s="229">
        <v>0</v>
      </c>
      <c r="M141" s="256">
        <f t="shared" si="11"/>
        <v>401</v>
      </c>
      <c r="N141" s="256">
        <f t="shared" si="12"/>
        <v>401</v>
      </c>
      <c r="O141" s="256">
        <f t="shared" si="13"/>
        <v>401</v>
      </c>
      <c r="P141" s="256">
        <f t="shared" si="14"/>
        <v>227</v>
      </c>
      <c r="Q141" s="256">
        <f t="shared" si="15"/>
        <v>0</v>
      </c>
    </row>
    <row r="142" spans="1:17" ht="15">
      <c r="A142" s="218">
        <v>33600</v>
      </c>
      <c r="B142" s="219" t="s">
        <v>354</v>
      </c>
      <c r="C142" s="229">
        <v>79726</v>
      </c>
      <c r="D142" s="229">
        <v>79726</v>
      </c>
      <c r="E142" s="229">
        <v>79697</v>
      </c>
      <c r="F142" s="229">
        <v>32580</v>
      </c>
      <c r="G142" s="229">
        <v>0</v>
      </c>
      <c r="M142" s="256">
        <f t="shared" si="11"/>
        <v>79726</v>
      </c>
      <c r="N142" s="256">
        <f t="shared" si="12"/>
        <v>79726</v>
      </c>
      <c r="O142" s="256">
        <f t="shared" si="13"/>
        <v>79697</v>
      </c>
      <c r="P142" s="256">
        <f t="shared" si="14"/>
        <v>32580</v>
      </c>
      <c r="Q142" s="256">
        <f t="shared" si="15"/>
        <v>0</v>
      </c>
    </row>
    <row r="143" spans="1:17" ht="15">
      <c r="A143" s="218">
        <v>33605</v>
      </c>
      <c r="B143" s="219" t="s">
        <v>74</v>
      </c>
      <c r="C143" s="229">
        <v>14691</v>
      </c>
      <c r="D143" s="229">
        <v>14691</v>
      </c>
      <c r="E143" s="229">
        <v>14687</v>
      </c>
      <c r="F143" s="229">
        <v>4172</v>
      </c>
      <c r="G143" s="229">
        <v>0</v>
      </c>
      <c r="M143" s="256">
        <f t="shared" si="11"/>
        <v>14691</v>
      </c>
      <c r="N143" s="256">
        <f t="shared" si="12"/>
        <v>14691</v>
      </c>
      <c r="O143" s="256">
        <f t="shared" si="13"/>
        <v>14687</v>
      </c>
      <c r="P143" s="256">
        <f t="shared" si="14"/>
        <v>4172</v>
      </c>
      <c r="Q143" s="256">
        <f t="shared" si="15"/>
        <v>0</v>
      </c>
    </row>
    <row r="144" spans="1:17" ht="15">
      <c r="A144" s="218">
        <v>33700</v>
      </c>
      <c r="B144" s="219" t="s">
        <v>355</v>
      </c>
      <c r="C144" s="229">
        <v>6506</v>
      </c>
      <c r="D144" s="229">
        <v>6506</v>
      </c>
      <c r="E144" s="229">
        <v>6504</v>
      </c>
      <c r="F144" s="229">
        <v>2217</v>
      </c>
      <c r="G144" s="229">
        <v>0</v>
      </c>
      <c r="M144" s="256">
        <f t="shared" si="11"/>
        <v>6506</v>
      </c>
      <c r="N144" s="256">
        <f t="shared" si="12"/>
        <v>6506</v>
      </c>
      <c r="O144" s="256">
        <f t="shared" si="13"/>
        <v>6504</v>
      </c>
      <c r="P144" s="256">
        <f t="shared" si="14"/>
        <v>2217</v>
      </c>
      <c r="Q144" s="256">
        <f t="shared" si="15"/>
        <v>0</v>
      </c>
    </row>
    <row r="145" spans="1:17" ht="15">
      <c r="A145" s="218">
        <v>33800</v>
      </c>
      <c r="B145" s="219" t="s">
        <v>356</v>
      </c>
      <c r="C145" s="229">
        <v>4535</v>
      </c>
      <c r="D145" s="229">
        <v>4535</v>
      </c>
      <c r="E145" s="229">
        <v>4533</v>
      </c>
      <c r="F145" s="229">
        <v>1714</v>
      </c>
      <c r="G145" s="229">
        <v>0</v>
      </c>
      <c r="M145" s="256">
        <f t="shared" si="11"/>
        <v>4535</v>
      </c>
      <c r="N145" s="256">
        <f t="shared" si="12"/>
        <v>4535</v>
      </c>
      <c r="O145" s="256">
        <f t="shared" si="13"/>
        <v>4533</v>
      </c>
      <c r="P145" s="256">
        <f t="shared" si="14"/>
        <v>1714</v>
      </c>
      <c r="Q145" s="256">
        <f t="shared" si="15"/>
        <v>0</v>
      </c>
    </row>
    <row r="146" spans="1:17" ht="15">
      <c r="A146" s="218">
        <v>33900</v>
      </c>
      <c r="B146" s="219" t="s">
        <v>357</v>
      </c>
      <c r="C146" s="229">
        <v>25847</v>
      </c>
      <c r="D146" s="229">
        <v>25847</v>
      </c>
      <c r="E146" s="229">
        <v>25840</v>
      </c>
      <c r="F146" s="229">
        <v>8582</v>
      </c>
      <c r="G146" s="229">
        <v>0</v>
      </c>
      <c r="M146" s="256">
        <f t="shared" si="11"/>
        <v>25847</v>
      </c>
      <c r="N146" s="256">
        <f t="shared" si="12"/>
        <v>25847</v>
      </c>
      <c r="O146" s="256">
        <f t="shared" si="13"/>
        <v>25840</v>
      </c>
      <c r="P146" s="256">
        <f t="shared" si="14"/>
        <v>8582</v>
      </c>
      <c r="Q146" s="256">
        <f t="shared" si="15"/>
        <v>0</v>
      </c>
    </row>
    <row r="147" spans="1:17" ht="15">
      <c r="A147" s="218">
        <v>34000</v>
      </c>
      <c r="B147" s="219" t="s">
        <v>358</v>
      </c>
      <c r="C147" s="229">
        <v>9377</v>
      </c>
      <c r="D147" s="229">
        <v>9377</v>
      </c>
      <c r="E147" s="229">
        <v>9373</v>
      </c>
      <c r="F147" s="229">
        <v>3908</v>
      </c>
      <c r="G147" s="229">
        <v>0</v>
      </c>
      <c r="M147" s="256">
        <f t="shared" si="11"/>
        <v>9377</v>
      </c>
      <c r="N147" s="256">
        <f t="shared" si="12"/>
        <v>9377</v>
      </c>
      <c r="O147" s="256">
        <f t="shared" si="13"/>
        <v>9373</v>
      </c>
      <c r="P147" s="256">
        <f t="shared" si="14"/>
        <v>3908</v>
      </c>
      <c r="Q147" s="256">
        <f t="shared" si="15"/>
        <v>0</v>
      </c>
    </row>
    <row r="148" spans="1:17" ht="15">
      <c r="A148" s="218">
        <v>34100</v>
      </c>
      <c r="B148" s="219" t="s">
        <v>359</v>
      </c>
      <c r="C148" s="229">
        <v>218546</v>
      </c>
      <c r="D148" s="229">
        <v>218546</v>
      </c>
      <c r="E148" s="229">
        <v>218467</v>
      </c>
      <c r="F148" s="229">
        <v>87510</v>
      </c>
      <c r="G148" s="229">
        <v>0</v>
      </c>
      <c r="M148" s="256">
        <f t="shared" si="11"/>
        <v>218546</v>
      </c>
      <c r="N148" s="256">
        <f t="shared" si="12"/>
        <v>218546</v>
      </c>
      <c r="O148" s="256">
        <f t="shared" si="13"/>
        <v>218467</v>
      </c>
      <c r="P148" s="256">
        <f t="shared" si="14"/>
        <v>87510</v>
      </c>
      <c r="Q148" s="256">
        <f t="shared" si="15"/>
        <v>0</v>
      </c>
    </row>
    <row r="149" spans="1:17" ht="15">
      <c r="A149" s="218">
        <v>34105</v>
      </c>
      <c r="B149" s="219" t="s">
        <v>75</v>
      </c>
      <c r="C149" s="229">
        <v>22182</v>
      </c>
      <c r="D149" s="229">
        <v>22182</v>
      </c>
      <c r="E149" s="229">
        <v>22175</v>
      </c>
      <c r="F149" s="229">
        <v>7433</v>
      </c>
      <c r="G149" s="229">
        <v>0</v>
      </c>
      <c r="M149" s="256">
        <f t="shared" si="11"/>
        <v>22182</v>
      </c>
      <c r="N149" s="256">
        <f t="shared" si="12"/>
        <v>22182</v>
      </c>
      <c r="O149" s="256">
        <f t="shared" si="13"/>
        <v>22175</v>
      </c>
      <c r="P149" s="256">
        <f t="shared" si="14"/>
        <v>7433</v>
      </c>
      <c r="Q149" s="256">
        <f t="shared" si="15"/>
        <v>0</v>
      </c>
    </row>
    <row r="150" spans="1:17" ht="15">
      <c r="A150" s="218">
        <v>34200</v>
      </c>
      <c r="B150" s="219" t="s">
        <v>360</v>
      </c>
      <c r="C150" s="229">
        <v>10816</v>
      </c>
      <c r="D150" s="229">
        <v>10816</v>
      </c>
      <c r="E150" s="229">
        <v>10814</v>
      </c>
      <c r="F150" s="229">
        <v>2796</v>
      </c>
      <c r="G150" s="229">
        <v>0</v>
      </c>
      <c r="M150" s="256">
        <f t="shared" si="11"/>
        <v>10816</v>
      </c>
      <c r="N150" s="256">
        <f t="shared" si="12"/>
        <v>10816</v>
      </c>
      <c r="O150" s="256">
        <f t="shared" si="13"/>
        <v>10814</v>
      </c>
      <c r="P150" s="256">
        <f t="shared" si="14"/>
        <v>2796</v>
      </c>
      <c r="Q150" s="256">
        <f t="shared" si="15"/>
        <v>0</v>
      </c>
    </row>
    <row r="151" spans="1:17" ht="15">
      <c r="A151" s="218">
        <v>34205</v>
      </c>
      <c r="B151" s="219" t="s">
        <v>76</v>
      </c>
      <c r="C151" s="229">
        <v>4206</v>
      </c>
      <c r="D151" s="229">
        <v>4206</v>
      </c>
      <c r="E151" s="229">
        <v>4205</v>
      </c>
      <c r="F151" s="229">
        <v>1344</v>
      </c>
      <c r="G151" s="229">
        <v>0</v>
      </c>
      <c r="M151" s="256">
        <f t="shared" si="11"/>
        <v>4206</v>
      </c>
      <c r="N151" s="256">
        <f t="shared" si="12"/>
        <v>4206</v>
      </c>
      <c r="O151" s="256">
        <f t="shared" si="13"/>
        <v>4205</v>
      </c>
      <c r="P151" s="256">
        <f t="shared" si="14"/>
        <v>1344</v>
      </c>
      <c r="Q151" s="256">
        <f t="shared" si="15"/>
        <v>0</v>
      </c>
    </row>
    <row r="152" spans="1:17" ht="15">
      <c r="A152" s="218">
        <v>34220</v>
      </c>
      <c r="B152" s="219" t="s">
        <v>361</v>
      </c>
      <c r="C152" s="229">
        <v>9028</v>
      </c>
      <c r="D152" s="229">
        <v>9028</v>
      </c>
      <c r="E152" s="229">
        <v>9025</v>
      </c>
      <c r="F152" s="229">
        <v>3177</v>
      </c>
      <c r="G152" s="229">
        <v>0</v>
      </c>
      <c r="M152" s="256">
        <f t="shared" si="11"/>
        <v>9028</v>
      </c>
      <c r="N152" s="256">
        <f t="shared" si="12"/>
        <v>9028</v>
      </c>
      <c r="O152" s="256">
        <f t="shared" si="13"/>
        <v>9025</v>
      </c>
      <c r="P152" s="256">
        <f t="shared" si="14"/>
        <v>3177</v>
      </c>
      <c r="Q152" s="256">
        <f t="shared" si="15"/>
        <v>0</v>
      </c>
    </row>
    <row r="153" spans="1:17" ht="15">
      <c r="A153" s="218">
        <v>34230</v>
      </c>
      <c r="B153" s="219" t="s">
        <v>362</v>
      </c>
      <c r="C153" s="229">
        <v>4353</v>
      </c>
      <c r="D153" s="229">
        <v>4353</v>
      </c>
      <c r="E153" s="229">
        <v>4352</v>
      </c>
      <c r="F153" s="229">
        <v>1281</v>
      </c>
      <c r="G153" s="229">
        <v>0</v>
      </c>
      <c r="M153" s="256">
        <f t="shared" si="11"/>
        <v>4353</v>
      </c>
      <c r="N153" s="256">
        <f t="shared" si="12"/>
        <v>4353</v>
      </c>
      <c r="O153" s="256">
        <f t="shared" si="13"/>
        <v>4352</v>
      </c>
      <c r="P153" s="256">
        <f t="shared" si="14"/>
        <v>1281</v>
      </c>
      <c r="Q153" s="256">
        <f t="shared" si="15"/>
        <v>0</v>
      </c>
    </row>
    <row r="154" spans="1:17" ht="15">
      <c r="A154" s="218">
        <v>34300</v>
      </c>
      <c r="B154" s="219" t="s">
        <v>363</v>
      </c>
      <c r="C154" s="229">
        <v>50062</v>
      </c>
      <c r="D154" s="229">
        <v>50062</v>
      </c>
      <c r="E154" s="229">
        <v>50043</v>
      </c>
      <c r="F154" s="229">
        <v>21306</v>
      </c>
      <c r="G154" s="229">
        <v>0</v>
      </c>
      <c r="M154" s="256">
        <f t="shared" si="11"/>
        <v>50062</v>
      </c>
      <c r="N154" s="256">
        <f t="shared" si="12"/>
        <v>50062</v>
      </c>
      <c r="O154" s="256">
        <f t="shared" si="13"/>
        <v>50043</v>
      </c>
      <c r="P154" s="256">
        <f t="shared" si="14"/>
        <v>21306</v>
      </c>
      <c r="Q154" s="256">
        <f t="shared" si="15"/>
        <v>0</v>
      </c>
    </row>
    <row r="155" spans="1:17" ht="15">
      <c r="A155" s="218">
        <v>34400</v>
      </c>
      <c r="B155" s="219" t="s">
        <v>364</v>
      </c>
      <c r="C155" s="229">
        <v>23500</v>
      </c>
      <c r="D155" s="229">
        <v>23500</v>
      </c>
      <c r="E155" s="229">
        <v>23493</v>
      </c>
      <c r="F155" s="229">
        <v>8350</v>
      </c>
      <c r="G155" s="229">
        <v>0</v>
      </c>
      <c r="M155" s="256">
        <f t="shared" si="11"/>
        <v>23500</v>
      </c>
      <c r="N155" s="256">
        <f t="shared" si="12"/>
        <v>23500</v>
      </c>
      <c r="O155" s="256">
        <f t="shared" si="13"/>
        <v>23493</v>
      </c>
      <c r="P155" s="256">
        <f t="shared" si="14"/>
        <v>8350</v>
      </c>
      <c r="Q155" s="256">
        <f t="shared" si="15"/>
        <v>0</v>
      </c>
    </row>
    <row r="156" spans="1:17" ht="15">
      <c r="A156" s="218">
        <v>34405</v>
      </c>
      <c r="B156" s="219" t="s">
        <v>77</v>
      </c>
      <c r="C156" s="229">
        <v>5148</v>
      </c>
      <c r="D156" s="229">
        <v>5148</v>
      </c>
      <c r="E156" s="229">
        <v>5146</v>
      </c>
      <c r="F156" s="229">
        <v>1662</v>
      </c>
      <c r="G156" s="229">
        <v>0</v>
      </c>
      <c r="M156" s="256">
        <f t="shared" si="11"/>
        <v>5148</v>
      </c>
      <c r="N156" s="256">
        <f t="shared" si="12"/>
        <v>5148</v>
      </c>
      <c r="O156" s="256">
        <f t="shared" si="13"/>
        <v>5146</v>
      </c>
      <c r="P156" s="256">
        <f t="shared" si="14"/>
        <v>1662</v>
      </c>
      <c r="Q156" s="256">
        <f t="shared" si="15"/>
        <v>0</v>
      </c>
    </row>
    <row r="157" spans="1:17" ht="15">
      <c r="A157" s="218">
        <v>34500</v>
      </c>
      <c r="B157" s="219" t="s">
        <v>365</v>
      </c>
      <c r="C157" s="229">
        <v>38995</v>
      </c>
      <c r="D157" s="229">
        <v>38995</v>
      </c>
      <c r="E157" s="229">
        <v>38981</v>
      </c>
      <c r="F157" s="229">
        <v>15035</v>
      </c>
      <c r="G157" s="229">
        <v>0</v>
      </c>
      <c r="M157" s="256">
        <f t="shared" si="11"/>
        <v>38995</v>
      </c>
      <c r="N157" s="256">
        <f t="shared" si="12"/>
        <v>38995</v>
      </c>
      <c r="O157" s="256">
        <f t="shared" si="13"/>
        <v>38981</v>
      </c>
      <c r="P157" s="256">
        <f t="shared" si="14"/>
        <v>15035</v>
      </c>
      <c r="Q157" s="256">
        <f t="shared" si="15"/>
        <v>0</v>
      </c>
    </row>
    <row r="158" spans="1:17" ht="15">
      <c r="A158" s="218">
        <v>34501</v>
      </c>
      <c r="B158" s="219" t="s">
        <v>366</v>
      </c>
      <c r="C158" s="229">
        <v>417</v>
      </c>
      <c r="D158" s="229">
        <v>417</v>
      </c>
      <c r="E158" s="229">
        <v>417</v>
      </c>
      <c r="F158" s="229">
        <v>185</v>
      </c>
      <c r="G158" s="229">
        <v>0</v>
      </c>
      <c r="M158" s="256">
        <f t="shared" si="11"/>
        <v>417</v>
      </c>
      <c r="N158" s="256">
        <f t="shared" si="12"/>
        <v>417</v>
      </c>
      <c r="O158" s="256">
        <f t="shared" si="13"/>
        <v>417</v>
      </c>
      <c r="P158" s="256">
        <f t="shared" si="14"/>
        <v>185</v>
      </c>
      <c r="Q158" s="256">
        <f t="shared" si="15"/>
        <v>0</v>
      </c>
    </row>
    <row r="159" spans="1:17" ht="15">
      <c r="A159" s="218">
        <v>34505</v>
      </c>
      <c r="B159" s="219" t="s">
        <v>78</v>
      </c>
      <c r="C159" s="229">
        <v>5731</v>
      </c>
      <c r="D159" s="229">
        <v>5731</v>
      </c>
      <c r="E159" s="229">
        <v>5729</v>
      </c>
      <c r="F159" s="229">
        <v>1932</v>
      </c>
      <c r="G159" s="229">
        <v>0</v>
      </c>
      <c r="M159" s="256">
        <f t="shared" si="11"/>
        <v>5731</v>
      </c>
      <c r="N159" s="256">
        <f t="shared" si="12"/>
        <v>5731</v>
      </c>
      <c r="O159" s="256">
        <f t="shared" si="13"/>
        <v>5729</v>
      </c>
      <c r="P159" s="256">
        <f t="shared" si="14"/>
        <v>1932</v>
      </c>
      <c r="Q159" s="256">
        <f t="shared" si="15"/>
        <v>0</v>
      </c>
    </row>
    <row r="160" spans="1:17" ht="15">
      <c r="A160" s="218">
        <v>34600</v>
      </c>
      <c r="B160" s="219" t="s">
        <v>367</v>
      </c>
      <c r="C160" s="229">
        <v>10212</v>
      </c>
      <c r="D160" s="229">
        <v>10212</v>
      </c>
      <c r="E160" s="229">
        <v>10209</v>
      </c>
      <c r="F160" s="229">
        <v>3568</v>
      </c>
      <c r="G160" s="229">
        <v>0</v>
      </c>
      <c r="M160" s="256">
        <f t="shared" si="11"/>
        <v>10212</v>
      </c>
      <c r="N160" s="256">
        <f t="shared" si="12"/>
        <v>10212</v>
      </c>
      <c r="O160" s="256">
        <f t="shared" si="13"/>
        <v>10209</v>
      </c>
      <c r="P160" s="256">
        <f t="shared" si="14"/>
        <v>3568</v>
      </c>
      <c r="Q160" s="256">
        <f t="shared" si="15"/>
        <v>0</v>
      </c>
    </row>
    <row r="161" spans="1:17" ht="15">
      <c r="A161" s="218">
        <v>34605</v>
      </c>
      <c r="B161" s="219" t="s">
        <v>79</v>
      </c>
      <c r="C161" s="229">
        <v>2570</v>
      </c>
      <c r="D161" s="229">
        <v>2570</v>
      </c>
      <c r="E161" s="229">
        <v>2570</v>
      </c>
      <c r="F161" s="229">
        <v>732</v>
      </c>
      <c r="G161" s="229">
        <v>0</v>
      </c>
      <c r="M161" s="256">
        <f t="shared" si="11"/>
        <v>2570</v>
      </c>
      <c r="N161" s="256">
        <f t="shared" si="12"/>
        <v>2570</v>
      </c>
      <c r="O161" s="256">
        <f t="shared" si="13"/>
        <v>2570</v>
      </c>
      <c r="P161" s="256">
        <f t="shared" si="14"/>
        <v>732</v>
      </c>
      <c r="Q161" s="256">
        <f t="shared" si="15"/>
        <v>0</v>
      </c>
    </row>
    <row r="162" spans="1:17" ht="15">
      <c r="A162" s="218">
        <v>34700</v>
      </c>
      <c r="B162" s="219" t="s">
        <v>368</v>
      </c>
      <c r="C162" s="229">
        <v>21637</v>
      </c>
      <c r="D162" s="229">
        <v>21637</v>
      </c>
      <c r="E162" s="229">
        <v>21628</v>
      </c>
      <c r="F162" s="229">
        <v>9996</v>
      </c>
      <c r="G162" s="229">
        <v>0</v>
      </c>
      <c r="M162" s="256">
        <f t="shared" si="11"/>
        <v>21637</v>
      </c>
      <c r="N162" s="256">
        <f t="shared" si="12"/>
        <v>21637</v>
      </c>
      <c r="O162" s="256">
        <f t="shared" si="13"/>
        <v>21628</v>
      </c>
      <c r="P162" s="256">
        <f t="shared" si="14"/>
        <v>9996</v>
      </c>
      <c r="Q162" s="256">
        <f t="shared" si="15"/>
        <v>0</v>
      </c>
    </row>
    <row r="163" spans="1:17" ht="15">
      <c r="A163" s="218">
        <v>34800</v>
      </c>
      <c r="B163" s="219" t="s">
        <v>369</v>
      </c>
      <c r="C163" s="229">
        <v>3220</v>
      </c>
      <c r="D163" s="229">
        <v>3220</v>
      </c>
      <c r="E163" s="229">
        <v>3219</v>
      </c>
      <c r="F163" s="229">
        <v>1101</v>
      </c>
      <c r="G163" s="229">
        <v>0</v>
      </c>
      <c r="M163" s="256">
        <f t="shared" si="11"/>
        <v>3220</v>
      </c>
      <c r="N163" s="256">
        <f t="shared" si="12"/>
        <v>3220</v>
      </c>
      <c r="O163" s="256">
        <f t="shared" si="13"/>
        <v>3219</v>
      </c>
      <c r="P163" s="256">
        <f t="shared" si="14"/>
        <v>1101</v>
      </c>
      <c r="Q163" s="256">
        <f t="shared" si="15"/>
        <v>0</v>
      </c>
    </row>
    <row r="164" spans="1:17" ht="15">
      <c r="A164" s="218">
        <v>34900</v>
      </c>
      <c r="B164" s="219" t="s">
        <v>370</v>
      </c>
      <c r="C164" s="229">
        <v>57330</v>
      </c>
      <c r="D164" s="229">
        <v>57330</v>
      </c>
      <c r="E164" s="229">
        <v>57311</v>
      </c>
      <c r="F164" s="229">
        <v>21537</v>
      </c>
      <c r="G164" s="229">
        <v>0</v>
      </c>
      <c r="M164" s="256">
        <f t="shared" si="11"/>
        <v>57330</v>
      </c>
      <c r="N164" s="256">
        <f t="shared" si="12"/>
        <v>57330</v>
      </c>
      <c r="O164" s="256">
        <f t="shared" si="13"/>
        <v>57311</v>
      </c>
      <c r="P164" s="256">
        <f t="shared" si="14"/>
        <v>21537</v>
      </c>
      <c r="Q164" s="256">
        <f t="shared" si="15"/>
        <v>0</v>
      </c>
    </row>
    <row r="165" spans="1:17" ht="15">
      <c r="A165" s="218">
        <v>34901</v>
      </c>
      <c r="B165" s="219" t="s">
        <v>371</v>
      </c>
      <c r="C165" s="229">
        <v>1205</v>
      </c>
      <c r="D165" s="229">
        <v>1205</v>
      </c>
      <c r="E165" s="229">
        <v>1205</v>
      </c>
      <c r="F165" s="229">
        <v>533</v>
      </c>
      <c r="G165" s="229">
        <v>0</v>
      </c>
      <c r="M165" s="256">
        <f t="shared" si="11"/>
        <v>1205</v>
      </c>
      <c r="N165" s="256">
        <f t="shared" si="12"/>
        <v>1205</v>
      </c>
      <c r="O165" s="256">
        <f t="shared" si="13"/>
        <v>1205</v>
      </c>
      <c r="P165" s="256">
        <f t="shared" si="14"/>
        <v>533</v>
      </c>
      <c r="Q165" s="256">
        <f t="shared" si="15"/>
        <v>0</v>
      </c>
    </row>
    <row r="166" spans="1:17" ht="15">
      <c r="A166" s="218">
        <v>34903</v>
      </c>
      <c r="B166" s="219" t="s">
        <v>372</v>
      </c>
      <c r="C166" s="229">
        <v>192</v>
      </c>
      <c r="D166" s="229">
        <v>192</v>
      </c>
      <c r="E166" s="229">
        <v>192</v>
      </c>
      <c r="F166" s="229">
        <v>34</v>
      </c>
      <c r="G166" s="229">
        <v>0</v>
      </c>
      <c r="M166" s="256">
        <f t="shared" si="11"/>
        <v>192</v>
      </c>
      <c r="N166" s="256">
        <f t="shared" si="12"/>
        <v>192</v>
      </c>
      <c r="O166" s="256">
        <f t="shared" si="13"/>
        <v>192</v>
      </c>
      <c r="P166" s="256">
        <f t="shared" si="14"/>
        <v>34</v>
      </c>
      <c r="Q166" s="256">
        <f t="shared" si="15"/>
        <v>0</v>
      </c>
    </row>
    <row r="167" spans="1:17" ht="15">
      <c r="A167" s="218">
        <v>34905</v>
      </c>
      <c r="B167" s="219" t="s">
        <v>80</v>
      </c>
      <c r="C167" s="229">
        <v>5820</v>
      </c>
      <c r="D167" s="229">
        <v>5820</v>
      </c>
      <c r="E167" s="229">
        <v>5818</v>
      </c>
      <c r="F167" s="229">
        <v>2133</v>
      </c>
      <c r="G167" s="229">
        <v>0</v>
      </c>
      <c r="M167" s="256">
        <f t="shared" si="11"/>
        <v>5820</v>
      </c>
      <c r="N167" s="256">
        <f t="shared" si="12"/>
        <v>5820</v>
      </c>
      <c r="O167" s="256">
        <f t="shared" si="13"/>
        <v>5818</v>
      </c>
      <c r="P167" s="256">
        <f t="shared" si="14"/>
        <v>2133</v>
      </c>
      <c r="Q167" s="256">
        <f t="shared" si="15"/>
        <v>0</v>
      </c>
    </row>
    <row r="168" spans="1:17" ht="15">
      <c r="A168" s="218">
        <v>34910</v>
      </c>
      <c r="B168" s="219" t="s">
        <v>373</v>
      </c>
      <c r="C168" s="229">
        <v>16462</v>
      </c>
      <c r="D168" s="229">
        <v>16462</v>
      </c>
      <c r="E168" s="229">
        <v>16456</v>
      </c>
      <c r="F168" s="229">
        <v>6748</v>
      </c>
      <c r="G168" s="229">
        <v>0</v>
      </c>
      <c r="M168" s="256">
        <f t="shared" si="11"/>
        <v>16462</v>
      </c>
      <c r="N168" s="256">
        <f t="shared" si="12"/>
        <v>16462</v>
      </c>
      <c r="O168" s="256">
        <f t="shared" si="13"/>
        <v>16456</v>
      </c>
      <c r="P168" s="256">
        <f t="shared" si="14"/>
        <v>6748</v>
      </c>
      <c r="Q168" s="256">
        <f t="shared" si="15"/>
        <v>0</v>
      </c>
    </row>
    <row r="169" spans="1:17" ht="15">
      <c r="A169" s="218">
        <v>35000</v>
      </c>
      <c r="B169" s="219" t="s">
        <v>374</v>
      </c>
      <c r="C169" s="229">
        <v>11700</v>
      </c>
      <c r="D169" s="229">
        <v>11700</v>
      </c>
      <c r="E169" s="229">
        <v>11696</v>
      </c>
      <c r="F169" s="229">
        <v>4489</v>
      </c>
      <c r="G169" s="229">
        <v>0</v>
      </c>
      <c r="M169" s="256">
        <f t="shared" si="11"/>
        <v>11700</v>
      </c>
      <c r="N169" s="256">
        <f t="shared" si="12"/>
        <v>11700</v>
      </c>
      <c r="O169" s="256">
        <f t="shared" si="13"/>
        <v>11696</v>
      </c>
      <c r="P169" s="256">
        <f t="shared" si="14"/>
        <v>4489</v>
      </c>
      <c r="Q169" s="256">
        <f t="shared" si="15"/>
        <v>0</v>
      </c>
    </row>
    <row r="170" spans="1:17" ht="15">
      <c r="A170" s="218">
        <v>35005</v>
      </c>
      <c r="B170" s="219" t="s">
        <v>81</v>
      </c>
      <c r="C170" s="229">
        <v>5998</v>
      </c>
      <c r="D170" s="229">
        <v>5998</v>
      </c>
      <c r="E170" s="229">
        <v>5996</v>
      </c>
      <c r="F170" s="229">
        <v>2049</v>
      </c>
      <c r="G170" s="229">
        <v>0</v>
      </c>
      <c r="M170" s="256">
        <f t="shared" si="11"/>
        <v>5998</v>
      </c>
      <c r="N170" s="256">
        <f t="shared" si="12"/>
        <v>5998</v>
      </c>
      <c r="O170" s="256">
        <f t="shared" si="13"/>
        <v>5996</v>
      </c>
      <c r="P170" s="256">
        <f t="shared" si="14"/>
        <v>2049</v>
      </c>
      <c r="Q170" s="256">
        <f t="shared" si="15"/>
        <v>0</v>
      </c>
    </row>
    <row r="171" spans="1:17" ht="15">
      <c r="A171" s="218">
        <v>35100</v>
      </c>
      <c r="B171" s="219" t="s">
        <v>375</v>
      </c>
      <c r="C171" s="229">
        <v>87724</v>
      </c>
      <c r="D171" s="229">
        <v>87724</v>
      </c>
      <c r="E171" s="229">
        <v>87689</v>
      </c>
      <c r="F171" s="229">
        <v>39442</v>
      </c>
      <c r="G171" s="229">
        <v>0</v>
      </c>
      <c r="M171" s="256">
        <f t="shared" si="11"/>
        <v>87724</v>
      </c>
      <c r="N171" s="256">
        <f t="shared" si="12"/>
        <v>87724</v>
      </c>
      <c r="O171" s="256">
        <f t="shared" si="13"/>
        <v>87689</v>
      </c>
      <c r="P171" s="256">
        <f t="shared" si="14"/>
        <v>39442</v>
      </c>
      <c r="Q171" s="256">
        <f t="shared" si="15"/>
        <v>0</v>
      </c>
    </row>
    <row r="172" spans="1:17" ht="15">
      <c r="A172" s="218">
        <v>35105</v>
      </c>
      <c r="B172" s="219" t="s">
        <v>82</v>
      </c>
      <c r="C172" s="229">
        <v>9095</v>
      </c>
      <c r="D172" s="229">
        <v>9095</v>
      </c>
      <c r="E172" s="229">
        <v>9092</v>
      </c>
      <c r="F172" s="229">
        <v>3409</v>
      </c>
      <c r="G172" s="229">
        <v>0</v>
      </c>
      <c r="M172" s="256">
        <f t="shared" si="11"/>
        <v>9095</v>
      </c>
      <c r="N172" s="256">
        <f t="shared" si="12"/>
        <v>9095</v>
      </c>
      <c r="O172" s="256">
        <f t="shared" si="13"/>
        <v>9092</v>
      </c>
      <c r="P172" s="256">
        <f t="shared" si="14"/>
        <v>3409</v>
      </c>
      <c r="Q172" s="256">
        <f t="shared" si="15"/>
        <v>0</v>
      </c>
    </row>
    <row r="173" spans="1:17" ht="15">
      <c r="A173" s="218">
        <v>35106</v>
      </c>
      <c r="B173" s="219" t="s">
        <v>376</v>
      </c>
      <c r="C173" s="229">
        <v>1857</v>
      </c>
      <c r="D173" s="229">
        <v>1857</v>
      </c>
      <c r="E173" s="229">
        <v>1856</v>
      </c>
      <c r="F173" s="229">
        <v>856</v>
      </c>
      <c r="G173" s="229">
        <v>0</v>
      </c>
      <c r="M173" s="256">
        <f t="shared" si="11"/>
        <v>1857</v>
      </c>
      <c r="N173" s="256">
        <f t="shared" si="12"/>
        <v>1857</v>
      </c>
      <c r="O173" s="256">
        <f t="shared" si="13"/>
        <v>1856</v>
      </c>
      <c r="P173" s="256">
        <f t="shared" si="14"/>
        <v>856</v>
      </c>
      <c r="Q173" s="256">
        <f t="shared" si="15"/>
        <v>0</v>
      </c>
    </row>
    <row r="174" spans="1:17" ht="15">
      <c r="A174" s="218">
        <v>35200</v>
      </c>
      <c r="B174" s="219" t="s">
        <v>377</v>
      </c>
      <c r="C174" s="229">
        <v>5247</v>
      </c>
      <c r="D174" s="229">
        <v>5247</v>
      </c>
      <c r="E174" s="229">
        <v>5245</v>
      </c>
      <c r="F174" s="229">
        <v>1635</v>
      </c>
      <c r="G174" s="229">
        <v>0</v>
      </c>
      <c r="M174" s="256">
        <f t="shared" si="11"/>
        <v>5247</v>
      </c>
      <c r="N174" s="256">
        <f t="shared" si="12"/>
        <v>5247</v>
      </c>
      <c r="O174" s="256">
        <f t="shared" si="13"/>
        <v>5245</v>
      </c>
      <c r="P174" s="256">
        <f t="shared" si="14"/>
        <v>1635</v>
      </c>
      <c r="Q174" s="256">
        <f t="shared" si="15"/>
        <v>0</v>
      </c>
    </row>
    <row r="175" spans="1:17" ht="15">
      <c r="A175" s="218">
        <v>35300</v>
      </c>
      <c r="B175" s="219" t="s">
        <v>510</v>
      </c>
      <c r="C175" s="229">
        <v>25199</v>
      </c>
      <c r="D175" s="229">
        <v>25199</v>
      </c>
      <c r="E175" s="229">
        <v>25188</v>
      </c>
      <c r="F175" s="229">
        <v>12128</v>
      </c>
      <c r="G175" s="229">
        <v>0</v>
      </c>
      <c r="M175" s="256">
        <f t="shared" si="11"/>
        <v>25199</v>
      </c>
      <c r="N175" s="256">
        <f t="shared" si="12"/>
        <v>25199</v>
      </c>
      <c r="O175" s="256">
        <f t="shared" si="13"/>
        <v>25188</v>
      </c>
      <c r="P175" s="256">
        <f t="shared" si="14"/>
        <v>12128</v>
      </c>
      <c r="Q175" s="256">
        <f t="shared" si="15"/>
        <v>0</v>
      </c>
    </row>
    <row r="176" spans="1:17" ht="15">
      <c r="A176" s="218">
        <v>35305</v>
      </c>
      <c r="B176" s="219" t="s">
        <v>83</v>
      </c>
      <c r="C176" s="229">
        <v>11972</v>
      </c>
      <c r="D176" s="229">
        <v>11972</v>
      </c>
      <c r="E176" s="229">
        <v>11969</v>
      </c>
      <c r="F176" s="229">
        <v>4178</v>
      </c>
      <c r="G176" s="229">
        <v>0</v>
      </c>
      <c r="M176" s="256">
        <f t="shared" si="11"/>
        <v>11972</v>
      </c>
      <c r="N176" s="256">
        <f t="shared" si="12"/>
        <v>11972</v>
      </c>
      <c r="O176" s="256">
        <f t="shared" si="13"/>
        <v>11969</v>
      </c>
      <c r="P176" s="256">
        <f t="shared" si="14"/>
        <v>4178</v>
      </c>
      <c r="Q176" s="256">
        <f t="shared" si="15"/>
        <v>0</v>
      </c>
    </row>
    <row r="177" spans="1:17" ht="15">
      <c r="A177" s="218">
        <v>35400</v>
      </c>
      <c r="B177" s="219" t="s">
        <v>379</v>
      </c>
      <c r="C177" s="229">
        <v>26271</v>
      </c>
      <c r="D177" s="229">
        <v>26271</v>
      </c>
      <c r="E177" s="229">
        <v>26263</v>
      </c>
      <c r="F177" s="229">
        <v>8718</v>
      </c>
      <c r="G177" s="229">
        <v>0</v>
      </c>
      <c r="M177" s="256">
        <f t="shared" si="11"/>
        <v>26271</v>
      </c>
      <c r="N177" s="256">
        <f t="shared" si="12"/>
        <v>26271</v>
      </c>
      <c r="O177" s="256">
        <f t="shared" si="13"/>
        <v>26263</v>
      </c>
      <c r="P177" s="256">
        <f t="shared" si="14"/>
        <v>8718</v>
      </c>
      <c r="Q177" s="256">
        <f t="shared" si="15"/>
        <v>0</v>
      </c>
    </row>
    <row r="178" spans="1:17" ht="15">
      <c r="A178" s="218">
        <v>35401</v>
      </c>
      <c r="B178" s="219" t="s">
        <v>380</v>
      </c>
      <c r="C178" s="229">
        <v>95</v>
      </c>
      <c r="D178" s="229">
        <v>95</v>
      </c>
      <c r="E178" s="229">
        <v>95</v>
      </c>
      <c r="F178" s="229">
        <v>109</v>
      </c>
      <c r="G178" s="229">
        <v>0</v>
      </c>
      <c r="M178" s="256">
        <f t="shared" si="11"/>
        <v>95</v>
      </c>
      <c r="N178" s="256">
        <f t="shared" si="12"/>
        <v>95</v>
      </c>
      <c r="O178" s="256">
        <f t="shared" si="13"/>
        <v>95</v>
      </c>
      <c r="P178" s="256">
        <f t="shared" si="14"/>
        <v>109</v>
      </c>
      <c r="Q178" s="256">
        <f t="shared" si="15"/>
        <v>0</v>
      </c>
    </row>
    <row r="179" spans="1:17" ht="15">
      <c r="A179" s="218">
        <v>35405</v>
      </c>
      <c r="B179" s="219" t="s">
        <v>84</v>
      </c>
      <c r="C179" s="229">
        <v>8466</v>
      </c>
      <c r="D179" s="229">
        <v>8466</v>
      </c>
      <c r="E179" s="229">
        <v>8464</v>
      </c>
      <c r="F179" s="229">
        <v>3079</v>
      </c>
      <c r="G179" s="229">
        <v>0</v>
      </c>
      <c r="M179" s="256">
        <f t="shared" si="11"/>
        <v>8466</v>
      </c>
      <c r="N179" s="256">
        <f t="shared" si="12"/>
        <v>8466</v>
      </c>
      <c r="O179" s="256">
        <f t="shared" si="13"/>
        <v>8464</v>
      </c>
      <c r="P179" s="256">
        <f t="shared" si="14"/>
        <v>3079</v>
      </c>
      <c r="Q179" s="256">
        <f t="shared" si="15"/>
        <v>0</v>
      </c>
    </row>
    <row r="180" spans="1:17" ht="15">
      <c r="A180" s="218">
        <v>35500</v>
      </c>
      <c r="B180" s="219" t="s">
        <v>381</v>
      </c>
      <c r="C180" s="229">
        <v>34008</v>
      </c>
      <c r="D180" s="229">
        <v>34008</v>
      </c>
      <c r="E180" s="229">
        <v>33997</v>
      </c>
      <c r="F180" s="229">
        <v>12094</v>
      </c>
      <c r="G180" s="229">
        <v>0</v>
      </c>
      <c r="M180" s="256">
        <f t="shared" si="11"/>
        <v>34008</v>
      </c>
      <c r="N180" s="256">
        <f t="shared" si="12"/>
        <v>34008</v>
      </c>
      <c r="O180" s="256">
        <f t="shared" si="13"/>
        <v>33997</v>
      </c>
      <c r="P180" s="256">
        <f t="shared" si="14"/>
        <v>12094</v>
      </c>
      <c r="Q180" s="256">
        <f t="shared" si="15"/>
        <v>0</v>
      </c>
    </row>
    <row r="181" spans="1:17" ht="15">
      <c r="A181" s="218">
        <v>35600</v>
      </c>
      <c r="B181" s="219" t="s">
        <v>382</v>
      </c>
      <c r="C181" s="229">
        <v>13182</v>
      </c>
      <c r="D181" s="229">
        <v>13182</v>
      </c>
      <c r="E181" s="229">
        <v>13177</v>
      </c>
      <c r="F181" s="229">
        <v>5135</v>
      </c>
      <c r="G181" s="229">
        <v>0</v>
      </c>
      <c r="M181" s="256">
        <f t="shared" si="11"/>
        <v>13182</v>
      </c>
      <c r="N181" s="256">
        <f t="shared" si="12"/>
        <v>13182</v>
      </c>
      <c r="O181" s="256">
        <f t="shared" si="13"/>
        <v>13177</v>
      </c>
      <c r="P181" s="256">
        <f t="shared" si="14"/>
        <v>5135</v>
      </c>
      <c r="Q181" s="256">
        <f t="shared" si="15"/>
        <v>0</v>
      </c>
    </row>
    <row r="182" spans="1:17" ht="15">
      <c r="A182" s="218">
        <v>35700</v>
      </c>
      <c r="B182" s="219" t="s">
        <v>383</v>
      </c>
      <c r="C182" s="229">
        <v>7712</v>
      </c>
      <c r="D182" s="229">
        <v>7712</v>
      </c>
      <c r="E182" s="229">
        <v>7710</v>
      </c>
      <c r="F182" s="229">
        <v>2786</v>
      </c>
      <c r="G182" s="229">
        <v>0</v>
      </c>
      <c r="M182" s="256">
        <f t="shared" si="11"/>
        <v>7712</v>
      </c>
      <c r="N182" s="256">
        <f t="shared" si="12"/>
        <v>7712</v>
      </c>
      <c r="O182" s="256">
        <f t="shared" si="13"/>
        <v>7710</v>
      </c>
      <c r="P182" s="256">
        <f t="shared" si="14"/>
        <v>2786</v>
      </c>
      <c r="Q182" s="256">
        <f t="shared" si="15"/>
        <v>0</v>
      </c>
    </row>
    <row r="183" spans="1:17" ht="15">
      <c r="A183" s="218">
        <v>35800</v>
      </c>
      <c r="B183" s="219" t="s">
        <v>384</v>
      </c>
      <c r="C183" s="229">
        <v>12631</v>
      </c>
      <c r="D183" s="229">
        <v>12631</v>
      </c>
      <c r="E183" s="229">
        <v>12628</v>
      </c>
      <c r="F183" s="229">
        <v>3910</v>
      </c>
      <c r="G183" s="229">
        <v>0</v>
      </c>
      <c r="M183" s="256">
        <f t="shared" si="11"/>
        <v>12631</v>
      </c>
      <c r="N183" s="256">
        <f t="shared" si="12"/>
        <v>12631</v>
      </c>
      <c r="O183" s="256">
        <f t="shared" si="13"/>
        <v>12628</v>
      </c>
      <c r="P183" s="256">
        <f t="shared" si="14"/>
        <v>3910</v>
      </c>
      <c r="Q183" s="256">
        <f t="shared" si="15"/>
        <v>0</v>
      </c>
    </row>
    <row r="184" spans="1:17" ht="15">
      <c r="A184" s="218">
        <v>35805</v>
      </c>
      <c r="B184" s="219" t="s">
        <v>85</v>
      </c>
      <c r="C184" s="229">
        <v>2251</v>
      </c>
      <c r="D184" s="229">
        <v>2251</v>
      </c>
      <c r="E184" s="229">
        <v>2251</v>
      </c>
      <c r="F184" s="229">
        <v>705</v>
      </c>
      <c r="G184" s="229">
        <v>0</v>
      </c>
      <c r="M184" s="256">
        <f t="shared" si="11"/>
        <v>2251</v>
      </c>
      <c r="N184" s="256">
        <f t="shared" si="12"/>
        <v>2251</v>
      </c>
      <c r="O184" s="256">
        <f t="shared" si="13"/>
        <v>2251</v>
      </c>
      <c r="P184" s="256">
        <f t="shared" si="14"/>
        <v>705</v>
      </c>
      <c r="Q184" s="256">
        <f t="shared" si="15"/>
        <v>0</v>
      </c>
    </row>
    <row r="185" spans="1:17" ht="15">
      <c r="A185" s="218">
        <v>35900</v>
      </c>
      <c r="B185" s="219" t="s">
        <v>385</v>
      </c>
      <c r="C185" s="229">
        <v>20296</v>
      </c>
      <c r="D185" s="229">
        <v>20296</v>
      </c>
      <c r="E185" s="229">
        <v>20289</v>
      </c>
      <c r="F185" s="229">
        <v>7319</v>
      </c>
      <c r="G185" s="229">
        <v>0</v>
      </c>
      <c r="M185" s="256">
        <f t="shared" si="11"/>
        <v>20296</v>
      </c>
      <c r="N185" s="256">
        <f t="shared" si="12"/>
        <v>20296</v>
      </c>
      <c r="O185" s="256">
        <f t="shared" si="13"/>
        <v>20289</v>
      </c>
      <c r="P185" s="256">
        <f t="shared" si="14"/>
        <v>7319</v>
      </c>
      <c r="Q185" s="256">
        <f t="shared" si="15"/>
        <v>0</v>
      </c>
    </row>
    <row r="186" spans="1:17" ht="15">
      <c r="A186" s="218">
        <v>35905</v>
      </c>
      <c r="B186" s="219" t="s">
        <v>86</v>
      </c>
      <c r="C186" s="229">
        <v>3751</v>
      </c>
      <c r="D186" s="229">
        <v>3751</v>
      </c>
      <c r="E186" s="229">
        <v>3750</v>
      </c>
      <c r="F186" s="229">
        <v>1007</v>
      </c>
      <c r="G186" s="229">
        <v>0</v>
      </c>
      <c r="M186" s="256">
        <f t="shared" si="11"/>
        <v>3751</v>
      </c>
      <c r="N186" s="256">
        <f t="shared" si="12"/>
        <v>3751</v>
      </c>
      <c r="O186" s="256">
        <f t="shared" si="13"/>
        <v>3750</v>
      </c>
      <c r="P186" s="256">
        <f t="shared" si="14"/>
        <v>1007</v>
      </c>
      <c r="Q186" s="256">
        <f t="shared" si="15"/>
        <v>0</v>
      </c>
    </row>
    <row r="187" spans="1:17" ht="15">
      <c r="A187" s="218">
        <v>36000</v>
      </c>
      <c r="B187" s="219" t="s">
        <v>386</v>
      </c>
      <c r="C187" s="229">
        <v>389009</v>
      </c>
      <c r="D187" s="229">
        <v>389009</v>
      </c>
      <c r="E187" s="229">
        <v>388848</v>
      </c>
      <c r="F187" s="229">
        <v>179856</v>
      </c>
      <c r="G187" s="229">
        <v>0</v>
      </c>
      <c r="M187" s="256">
        <f t="shared" si="11"/>
        <v>389009</v>
      </c>
      <c r="N187" s="256">
        <f t="shared" si="12"/>
        <v>389009</v>
      </c>
      <c r="O187" s="256">
        <f t="shared" si="13"/>
        <v>388848</v>
      </c>
      <c r="P187" s="256">
        <f t="shared" si="14"/>
        <v>179856</v>
      </c>
      <c r="Q187" s="256">
        <f t="shared" si="15"/>
        <v>0</v>
      </c>
    </row>
    <row r="188" spans="1:17" ht="15">
      <c r="A188" s="218">
        <v>36001</v>
      </c>
      <c r="B188" s="219" t="s">
        <v>387</v>
      </c>
      <c r="C188" s="229">
        <v>310</v>
      </c>
      <c r="D188" s="229">
        <v>310</v>
      </c>
      <c r="E188" s="229">
        <v>310</v>
      </c>
      <c r="F188" s="229">
        <v>87</v>
      </c>
      <c r="G188" s="229">
        <v>0</v>
      </c>
      <c r="M188" s="256">
        <f t="shared" si="11"/>
        <v>310</v>
      </c>
      <c r="N188" s="256">
        <f t="shared" si="12"/>
        <v>310</v>
      </c>
      <c r="O188" s="256">
        <f t="shared" si="13"/>
        <v>310</v>
      </c>
      <c r="P188" s="256">
        <f t="shared" si="14"/>
        <v>87</v>
      </c>
      <c r="Q188" s="256">
        <f t="shared" si="15"/>
        <v>0</v>
      </c>
    </row>
    <row r="189" spans="1:17" ht="15">
      <c r="A189" s="218">
        <v>36002</v>
      </c>
      <c r="B189" s="219" t="s">
        <v>511</v>
      </c>
      <c r="C189" s="229">
        <v>2021</v>
      </c>
      <c r="D189" s="229">
        <v>2021</v>
      </c>
      <c r="E189" s="229">
        <v>2021</v>
      </c>
      <c r="F189" s="229">
        <v>0</v>
      </c>
      <c r="G189" s="229">
        <v>0</v>
      </c>
      <c r="M189" s="256">
        <f t="shared" si="11"/>
        <v>2021</v>
      </c>
      <c r="N189" s="256">
        <f t="shared" si="12"/>
        <v>2021</v>
      </c>
      <c r="O189" s="256">
        <f t="shared" si="13"/>
        <v>2021</v>
      </c>
      <c r="P189" s="256">
        <f t="shared" si="14"/>
        <v>0</v>
      </c>
      <c r="Q189" s="256">
        <f t="shared" si="15"/>
        <v>0</v>
      </c>
    </row>
    <row r="190" spans="1:17" ht="15">
      <c r="A190" s="218">
        <v>36003</v>
      </c>
      <c r="B190" s="219" t="s">
        <v>388</v>
      </c>
      <c r="C190" s="229">
        <v>2555</v>
      </c>
      <c r="D190" s="229">
        <v>2555</v>
      </c>
      <c r="E190" s="229">
        <v>2553</v>
      </c>
      <c r="F190" s="229">
        <v>1301</v>
      </c>
      <c r="G190" s="229">
        <v>0</v>
      </c>
      <c r="M190" s="256">
        <f t="shared" si="11"/>
        <v>2555</v>
      </c>
      <c r="N190" s="256">
        <f t="shared" si="12"/>
        <v>2555</v>
      </c>
      <c r="O190" s="256">
        <f t="shared" si="13"/>
        <v>2553</v>
      </c>
      <c r="P190" s="256">
        <f t="shared" si="14"/>
        <v>1301</v>
      </c>
      <c r="Q190" s="256">
        <f t="shared" si="15"/>
        <v>0</v>
      </c>
    </row>
    <row r="191" spans="1:17" ht="15">
      <c r="A191" s="218">
        <v>36004</v>
      </c>
      <c r="B191" s="219" t="s">
        <v>389</v>
      </c>
      <c r="C191" s="229">
        <v>794</v>
      </c>
      <c r="D191" s="229">
        <v>794</v>
      </c>
      <c r="E191" s="229">
        <v>793</v>
      </c>
      <c r="F191" s="229">
        <v>737</v>
      </c>
      <c r="G191" s="229">
        <v>0</v>
      </c>
      <c r="M191" s="256">
        <f t="shared" si="11"/>
        <v>794</v>
      </c>
      <c r="N191" s="256">
        <f t="shared" si="12"/>
        <v>794</v>
      </c>
      <c r="O191" s="256">
        <f t="shared" si="13"/>
        <v>793</v>
      </c>
      <c r="P191" s="256">
        <f t="shared" si="14"/>
        <v>737</v>
      </c>
      <c r="Q191" s="256">
        <f t="shared" si="15"/>
        <v>0</v>
      </c>
    </row>
    <row r="192" spans="1:17" ht="15">
      <c r="A192" s="218">
        <v>36005</v>
      </c>
      <c r="B192" s="219" t="s">
        <v>87</v>
      </c>
      <c r="C192" s="229">
        <v>40864</v>
      </c>
      <c r="D192" s="229">
        <v>40864</v>
      </c>
      <c r="E192" s="229">
        <v>40851</v>
      </c>
      <c r="F192" s="229">
        <v>14989</v>
      </c>
      <c r="G192" s="229">
        <v>0</v>
      </c>
      <c r="M192" s="256">
        <f t="shared" si="11"/>
        <v>40864</v>
      </c>
      <c r="N192" s="256">
        <f t="shared" si="12"/>
        <v>40864</v>
      </c>
      <c r="O192" s="256">
        <f t="shared" si="13"/>
        <v>40851</v>
      </c>
      <c r="P192" s="256">
        <f t="shared" si="14"/>
        <v>14989</v>
      </c>
      <c r="Q192" s="256">
        <f t="shared" si="15"/>
        <v>0</v>
      </c>
    </row>
    <row r="193" spans="1:17" ht="15">
      <c r="A193" s="218">
        <v>36006</v>
      </c>
      <c r="B193" s="219" t="s">
        <v>390</v>
      </c>
      <c r="C193" s="229">
        <v>3028</v>
      </c>
      <c r="D193" s="229">
        <v>3028</v>
      </c>
      <c r="E193" s="229">
        <v>3027</v>
      </c>
      <c r="F193" s="229">
        <v>1640</v>
      </c>
      <c r="G193" s="229">
        <v>0</v>
      </c>
      <c r="M193" s="256">
        <f t="shared" si="11"/>
        <v>3028</v>
      </c>
      <c r="N193" s="256">
        <f t="shared" si="12"/>
        <v>3028</v>
      </c>
      <c r="O193" s="256">
        <f t="shared" si="13"/>
        <v>3027</v>
      </c>
      <c r="P193" s="256">
        <f t="shared" si="14"/>
        <v>1640</v>
      </c>
      <c r="Q193" s="256">
        <f t="shared" si="15"/>
        <v>0</v>
      </c>
    </row>
    <row r="194" spans="1:17" ht="15">
      <c r="A194" s="218">
        <v>36007</v>
      </c>
      <c r="B194" s="219" t="s">
        <v>391</v>
      </c>
      <c r="C194" s="229">
        <v>971</v>
      </c>
      <c r="D194" s="229">
        <v>971</v>
      </c>
      <c r="E194" s="229">
        <v>971</v>
      </c>
      <c r="F194" s="229">
        <v>581</v>
      </c>
      <c r="G194" s="229">
        <v>0</v>
      </c>
      <c r="M194" s="256">
        <f t="shared" si="11"/>
        <v>971</v>
      </c>
      <c r="N194" s="256">
        <f t="shared" si="12"/>
        <v>971</v>
      </c>
      <c r="O194" s="256">
        <f t="shared" si="13"/>
        <v>971</v>
      </c>
      <c r="P194" s="256">
        <f t="shared" si="14"/>
        <v>581</v>
      </c>
      <c r="Q194" s="256">
        <f t="shared" si="15"/>
        <v>0</v>
      </c>
    </row>
    <row r="195" spans="1:17" ht="15">
      <c r="A195" s="218">
        <v>36008</v>
      </c>
      <c r="B195" s="219" t="s">
        <v>392</v>
      </c>
      <c r="C195" s="229">
        <v>2115</v>
      </c>
      <c r="D195" s="229">
        <v>2115</v>
      </c>
      <c r="E195" s="229">
        <v>2114</v>
      </c>
      <c r="F195" s="229">
        <v>1848</v>
      </c>
      <c r="G195" s="229">
        <v>0</v>
      </c>
      <c r="M195" s="256">
        <f t="shared" si="11"/>
        <v>2115</v>
      </c>
      <c r="N195" s="256">
        <f t="shared" si="12"/>
        <v>2115</v>
      </c>
      <c r="O195" s="256">
        <f t="shared" si="13"/>
        <v>2114</v>
      </c>
      <c r="P195" s="256">
        <f t="shared" si="14"/>
        <v>1848</v>
      </c>
      <c r="Q195" s="256">
        <f t="shared" si="15"/>
        <v>0</v>
      </c>
    </row>
    <row r="196" spans="1:17" ht="15">
      <c r="A196" s="218">
        <v>36009</v>
      </c>
      <c r="B196" s="219" t="s">
        <v>393</v>
      </c>
      <c r="C196" s="229">
        <v>1357</v>
      </c>
      <c r="D196" s="229">
        <v>1357</v>
      </c>
      <c r="E196" s="229">
        <v>1357</v>
      </c>
      <c r="F196" s="229">
        <v>438</v>
      </c>
      <c r="G196" s="229">
        <v>0</v>
      </c>
      <c r="M196" s="256">
        <f t="shared" si="11"/>
        <v>1357</v>
      </c>
      <c r="N196" s="256">
        <f t="shared" si="12"/>
        <v>1357</v>
      </c>
      <c r="O196" s="256">
        <f t="shared" si="13"/>
        <v>1357</v>
      </c>
      <c r="P196" s="256">
        <f t="shared" si="14"/>
        <v>438</v>
      </c>
      <c r="Q196" s="256">
        <f t="shared" si="15"/>
        <v>0</v>
      </c>
    </row>
    <row r="197" spans="1:17" ht="15">
      <c r="A197" s="218">
        <v>36100</v>
      </c>
      <c r="B197" s="219" t="s">
        <v>394</v>
      </c>
      <c r="C197" s="229">
        <v>6831</v>
      </c>
      <c r="D197" s="229">
        <v>6831</v>
      </c>
      <c r="E197" s="229">
        <v>6829</v>
      </c>
      <c r="F197" s="229">
        <v>2192</v>
      </c>
      <c r="G197" s="229">
        <v>0</v>
      </c>
      <c r="M197" s="256">
        <f t="shared" ref="M197:M260" si="16">ROUND(C197,0)</f>
        <v>6831</v>
      </c>
      <c r="N197" s="256">
        <f t="shared" ref="N197:N260" si="17">ROUND(D197,0)</f>
        <v>6831</v>
      </c>
      <c r="O197" s="256">
        <f t="shared" ref="O197:O260" si="18">ROUND(E197,0)</f>
        <v>6829</v>
      </c>
      <c r="P197" s="256">
        <f t="shared" ref="P197:P260" si="19">ROUND(F197,0)</f>
        <v>2192</v>
      </c>
      <c r="Q197" s="256">
        <f t="shared" ref="Q197:Q260" si="20">ROUND(G197,0)</f>
        <v>0</v>
      </c>
    </row>
    <row r="198" spans="1:17" ht="15">
      <c r="A198" s="218">
        <v>36102</v>
      </c>
      <c r="B198" s="219" t="s">
        <v>395</v>
      </c>
      <c r="C198" s="229">
        <v>210</v>
      </c>
      <c r="D198" s="229">
        <v>210</v>
      </c>
      <c r="E198" s="229">
        <v>209</v>
      </c>
      <c r="F198" s="229">
        <v>671</v>
      </c>
      <c r="G198" s="229">
        <v>0</v>
      </c>
      <c r="M198" s="256">
        <f t="shared" si="16"/>
        <v>210</v>
      </c>
      <c r="N198" s="256">
        <f t="shared" si="17"/>
        <v>210</v>
      </c>
      <c r="O198" s="256">
        <f t="shared" si="18"/>
        <v>209</v>
      </c>
      <c r="P198" s="256">
        <f t="shared" si="19"/>
        <v>671</v>
      </c>
      <c r="Q198" s="256">
        <f t="shared" si="20"/>
        <v>0</v>
      </c>
    </row>
    <row r="199" spans="1:17" ht="15">
      <c r="A199" s="218">
        <v>36105</v>
      </c>
      <c r="B199" s="219" t="s">
        <v>88</v>
      </c>
      <c r="C199" s="229">
        <v>3656</v>
      </c>
      <c r="D199" s="229">
        <v>3656</v>
      </c>
      <c r="E199" s="229">
        <v>3655</v>
      </c>
      <c r="F199" s="229">
        <v>1197</v>
      </c>
      <c r="G199" s="229">
        <v>0</v>
      </c>
      <c r="M199" s="256">
        <f t="shared" si="16"/>
        <v>3656</v>
      </c>
      <c r="N199" s="256">
        <f t="shared" si="17"/>
        <v>3656</v>
      </c>
      <c r="O199" s="256">
        <f t="shared" si="18"/>
        <v>3655</v>
      </c>
      <c r="P199" s="256">
        <f t="shared" si="19"/>
        <v>1197</v>
      </c>
      <c r="Q199" s="256">
        <f t="shared" si="20"/>
        <v>0</v>
      </c>
    </row>
    <row r="200" spans="1:17" ht="15">
      <c r="A200" s="218">
        <v>36200</v>
      </c>
      <c r="B200" s="219" t="s">
        <v>396</v>
      </c>
      <c r="C200" s="229">
        <v>13647</v>
      </c>
      <c r="D200" s="229">
        <v>13647</v>
      </c>
      <c r="E200" s="229">
        <v>13643</v>
      </c>
      <c r="F200" s="229">
        <v>4665</v>
      </c>
      <c r="G200" s="229">
        <v>0</v>
      </c>
      <c r="M200" s="256">
        <f t="shared" si="16"/>
        <v>13647</v>
      </c>
      <c r="N200" s="256">
        <f t="shared" si="17"/>
        <v>13647</v>
      </c>
      <c r="O200" s="256">
        <f t="shared" si="18"/>
        <v>13643</v>
      </c>
      <c r="P200" s="256">
        <f t="shared" si="19"/>
        <v>4665</v>
      </c>
      <c r="Q200" s="256">
        <f t="shared" si="20"/>
        <v>0</v>
      </c>
    </row>
    <row r="201" spans="1:17" ht="15">
      <c r="A201" s="218">
        <v>36205</v>
      </c>
      <c r="B201" s="219" t="s">
        <v>89</v>
      </c>
      <c r="C201" s="229">
        <v>2139</v>
      </c>
      <c r="D201" s="229">
        <v>2139</v>
      </c>
      <c r="E201" s="229">
        <v>2138</v>
      </c>
      <c r="F201" s="229">
        <v>846</v>
      </c>
      <c r="G201" s="229">
        <v>0</v>
      </c>
      <c r="M201" s="256">
        <f t="shared" si="16"/>
        <v>2139</v>
      </c>
      <c r="N201" s="256">
        <f t="shared" si="17"/>
        <v>2139</v>
      </c>
      <c r="O201" s="256">
        <f t="shared" si="18"/>
        <v>2138</v>
      </c>
      <c r="P201" s="256">
        <f t="shared" si="19"/>
        <v>846</v>
      </c>
      <c r="Q201" s="256">
        <f t="shared" si="20"/>
        <v>0</v>
      </c>
    </row>
    <row r="202" spans="1:17" ht="15">
      <c r="A202" s="218">
        <v>36300</v>
      </c>
      <c r="B202" s="219" t="s">
        <v>397</v>
      </c>
      <c r="C202" s="229">
        <v>37378</v>
      </c>
      <c r="D202" s="229">
        <v>37378</v>
      </c>
      <c r="E202" s="229">
        <v>37365</v>
      </c>
      <c r="F202" s="229">
        <v>15002</v>
      </c>
      <c r="G202" s="229">
        <v>0</v>
      </c>
      <c r="M202" s="256">
        <f t="shared" si="16"/>
        <v>37378</v>
      </c>
      <c r="N202" s="256">
        <f t="shared" si="17"/>
        <v>37378</v>
      </c>
      <c r="O202" s="256">
        <f t="shared" si="18"/>
        <v>37365</v>
      </c>
      <c r="P202" s="256">
        <f t="shared" si="19"/>
        <v>15002</v>
      </c>
      <c r="Q202" s="256">
        <f t="shared" si="20"/>
        <v>0</v>
      </c>
    </row>
    <row r="203" spans="1:17" ht="15">
      <c r="A203" s="218">
        <v>36301</v>
      </c>
      <c r="B203" s="219" t="s">
        <v>398</v>
      </c>
      <c r="C203" s="229">
        <v>238</v>
      </c>
      <c r="D203" s="229">
        <v>238</v>
      </c>
      <c r="E203" s="229">
        <v>238</v>
      </c>
      <c r="F203" s="229">
        <v>242</v>
      </c>
      <c r="G203" s="229">
        <v>0</v>
      </c>
      <c r="M203" s="256">
        <f t="shared" si="16"/>
        <v>238</v>
      </c>
      <c r="N203" s="256">
        <f t="shared" si="17"/>
        <v>238</v>
      </c>
      <c r="O203" s="256">
        <f t="shared" si="18"/>
        <v>238</v>
      </c>
      <c r="P203" s="256">
        <f t="shared" si="19"/>
        <v>242</v>
      </c>
      <c r="Q203" s="256">
        <f t="shared" si="20"/>
        <v>0</v>
      </c>
    </row>
    <row r="204" spans="1:17" ht="15">
      <c r="A204" s="218">
        <v>36302</v>
      </c>
      <c r="B204" s="219" t="s">
        <v>399</v>
      </c>
      <c r="C204" s="229">
        <v>761</v>
      </c>
      <c r="D204" s="229">
        <v>761</v>
      </c>
      <c r="E204" s="229">
        <v>761</v>
      </c>
      <c r="F204" s="229">
        <v>357</v>
      </c>
      <c r="G204" s="229">
        <v>0</v>
      </c>
      <c r="M204" s="256">
        <f t="shared" si="16"/>
        <v>761</v>
      </c>
      <c r="N204" s="256">
        <f t="shared" si="17"/>
        <v>761</v>
      </c>
      <c r="O204" s="256">
        <f t="shared" si="18"/>
        <v>761</v>
      </c>
      <c r="P204" s="256">
        <f t="shared" si="19"/>
        <v>357</v>
      </c>
      <c r="Q204" s="256">
        <f t="shared" si="20"/>
        <v>0</v>
      </c>
    </row>
    <row r="205" spans="1:17" ht="15">
      <c r="A205" s="218">
        <v>36305</v>
      </c>
      <c r="B205" s="219" t="s">
        <v>90</v>
      </c>
      <c r="C205" s="229">
        <v>10033</v>
      </c>
      <c r="D205" s="229">
        <v>10033</v>
      </c>
      <c r="E205" s="229">
        <v>10030</v>
      </c>
      <c r="F205" s="229">
        <v>2738</v>
      </c>
      <c r="G205" s="229">
        <v>0</v>
      </c>
      <c r="M205" s="256">
        <f t="shared" si="16"/>
        <v>10033</v>
      </c>
      <c r="N205" s="256">
        <f t="shared" si="17"/>
        <v>10033</v>
      </c>
      <c r="O205" s="256">
        <f t="shared" si="18"/>
        <v>10030</v>
      </c>
      <c r="P205" s="256">
        <f t="shared" si="19"/>
        <v>2738</v>
      </c>
      <c r="Q205" s="256">
        <f t="shared" si="20"/>
        <v>0</v>
      </c>
    </row>
    <row r="206" spans="1:17" ht="15">
      <c r="A206" s="218">
        <v>36310</v>
      </c>
      <c r="B206" s="219" t="s">
        <v>401</v>
      </c>
      <c r="C206" s="229">
        <v>-301</v>
      </c>
      <c r="D206" s="229">
        <v>-301</v>
      </c>
      <c r="E206" s="229">
        <v>-301</v>
      </c>
      <c r="F206" s="229">
        <v>117</v>
      </c>
      <c r="G206" s="229">
        <v>0</v>
      </c>
      <c r="M206" s="256">
        <f t="shared" si="16"/>
        <v>-301</v>
      </c>
      <c r="N206" s="256">
        <f t="shared" si="17"/>
        <v>-301</v>
      </c>
      <c r="O206" s="256">
        <f t="shared" si="18"/>
        <v>-301</v>
      </c>
      <c r="P206" s="256">
        <f t="shared" si="19"/>
        <v>117</v>
      </c>
      <c r="Q206" s="256">
        <f t="shared" si="20"/>
        <v>0</v>
      </c>
    </row>
    <row r="207" spans="1:17" ht="15">
      <c r="A207" s="218">
        <v>36400</v>
      </c>
      <c r="B207" s="219" t="s">
        <v>402</v>
      </c>
      <c r="C207" s="229">
        <v>44022</v>
      </c>
      <c r="D207" s="229">
        <v>44022</v>
      </c>
      <c r="E207" s="229">
        <v>44007</v>
      </c>
      <c r="F207" s="229">
        <v>16551</v>
      </c>
      <c r="G207" s="229">
        <v>0</v>
      </c>
      <c r="M207" s="256">
        <f t="shared" si="16"/>
        <v>44022</v>
      </c>
      <c r="N207" s="256">
        <f t="shared" si="17"/>
        <v>44022</v>
      </c>
      <c r="O207" s="256">
        <f t="shared" si="18"/>
        <v>44007</v>
      </c>
      <c r="P207" s="256">
        <f t="shared" si="19"/>
        <v>16551</v>
      </c>
      <c r="Q207" s="256">
        <f t="shared" si="20"/>
        <v>0</v>
      </c>
    </row>
    <row r="208" spans="1:17" ht="15">
      <c r="A208" s="218">
        <v>36405</v>
      </c>
      <c r="B208" s="219" t="s">
        <v>403</v>
      </c>
      <c r="C208" s="229">
        <v>6805</v>
      </c>
      <c r="D208" s="229">
        <v>6805</v>
      </c>
      <c r="E208" s="229">
        <v>6802</v>
      </c>
      <c r="F208" s="229">
        <v>2883</v>
      </c>
      <c r="G208" s="229">
        <v>0</v>
      </c>
      <c r="M208" s="256">
        <f t="shared" si="16"/>
        <v>6805</v>
      </c>
      <c r="N208" s="256">
        <f t="shared" si="17"/>
        <v>6805</v>
      </c>
      <c r="O208" s="256">
        <f t="shared" si="18"/>
        <v>6802</v>
      </c>
      <c r="P208" s="256">
        <f t="shared" si="19"/>
        <v>2883</v>
      </c>
      <c r="Q208" s="256">
        <f t="shared" si="20"/>
        <v>0</v>
      </c>
    </row>
    <row r="209" spans="1:17" ht="15">
      <c r="A209" s="218">
        <v>36500</v>
      </c>
      <c r="B209" s="219" t="s">
        <v>404</v>
      </c>
      <c r="C209" s="229">
        <v>77357</v>
      </c>
      <c r="D209" s="229">
        <v>77357</v>
      </c>
      <c r="E209" s="229">
        <v>77328</v>
      </c>
      <c r="F209" s="229">
        <v>32599</v>
      </c>
      <c r="G209" s="229">
        <v>0</v>
      </c>
      <c r="M209" s="256">
        <f t="shared" si="16"/>
        <v>77357</v>
      </c>
      <c r="N209" s="256">
        <f t="shared" si="17"/>
        <v>77357</v>
      </c>
      <c r="O209" s="256">
        <f t="shared" si="18"/>
        <v>77328</v>
      </c>
      <c r="P209" s="256">
        <f t="shared" si="19"/>
        <v>32599</v>
      </c>
      <c r="Q209" s="256">
        <f t="shared" si="20"/>
        <v>0</v>
      </c>
    </row>
    <row r="210" spans="1:17" ht="15">
      <c r="A210" s="218">
        <v>36501</v>
      </c>
      <c r="B210" s="219" t="s">
        <v>405</v>
      </c>
      <c r="C210" s="229">
        <v>493</v>
      </c>
      <c r="D210" s="229">
        <v>493</v>
      </c>
      <c r="E210" s="229">
        <v>492</v>
      </c>
      <c r="F210" s="229">
        <v>430</v>
      </c>
      <c r="G210" s="229">
        <v>0</v>
      </c>
      <c r="M210" s="256">
        <f t="shared" si="16"/>
        <v>493</v>
      </c>
      <c r="N210" s="256">
        <f t="shared" si="17"/>
        <v>493</v>
      </c>
      <c r="O210" s="256">
        <f t="shared" si="18"/>
        <v>492</v>
      </c>
      <c r="P210" s="256">
        <f t="shared" si="19"/>
        <v>430</v>
      </c>
      <c r="Q210" s="256">
        <f t="shared" si="20"/>
        <v>0</v>
      </c>
    </row>
    <row r="211" spans="1:17" ht="15">
      <c r="A211" s="218">
        <v>36502</v>
      </c>
      <c r="B211" s="219" t="s">
        <v>406</v>
      </c>
      <c r="C211" s="229">
        <v>337</v>
      </c>
      <c r="D211" s="229">
        <v>337</v>
      </c>
      <c r="E211" s="229">
        <v>337</v>
      </c>
      <c r="F211" s="229">
        <v>150</v>
      </c>
      <c r="G211" s="229">
        <v>0</v>
      </c>
      <c r="M211" s="256">
        <f t="shared" si="16"/>
        <v>337</v>
      </c>
      <c r="N211" s="256">
        <f t="shared" si="17"/>
        <v>337</v>
      </c>
      <c r="O211" s="256">
        <f t="shared" si="18"/>
        <v>337</v>
      </c>
      <c r="P211" s="256">
        <f t="shared" si="19"/>
        <v>150</v>
      </c>
      <c r="Q211" s="256">
        <f t="shared" si="20"/>
        <v>0</v>
      </c>
    </row>
    <row r="212" spans="1:17" ht="15">
      <c r="A212" s="218">
        <v>36505</v>
      </c>
      <c r="B212" s="219" t="s">
        <v>92</v>
      </c>
      <c r="C212" s="229">
        <v>17299</v>
      </c>
      <c r="D212" s="229">
        <v>17299</v>
      </c>
      <c r="E212" s="229">
        <v>17293</v>
      </c>
      <c r="F212" s="229">
        <v>6540</v>
      </c>
      <c r="G212" s="229">
        <v>0</v>
      </c>
      <c r="M212" s="256">
        <f t="shared" si="16"/>
        <v>17299</v>
      </c>
      <c r="N212" s="256">
        <f t="shared" si="17"/>
        <v>17299</v>
      </c>
      <c r="O212" s="256">
        <f t="shared" si="18"/>
        <v>17293</v>
      </c>
      <c r="P212" s="256">
        <f t="shared" si="19"/>
        <v>6540</v>
      </c>
      <c r="Q212" s="256">
        <f t="shared" si="20"/>
        <v>0</v>
      </c>
    </row>
    <row r="213" spans="1:17" ht="15">
      <c r="A213" s="218">
        <v>36600</v>
      </c>
      <c r="B213" s="219" t="s">
        <v>407</v>
      </c>
      <c r="C213" s="229">
        <v>7573</v>
      </c>
      <c r="D213" s="229">
        <v>7573</v>
      </c>
      <c r="E213" s="229">
        <v>7571</v>
      </c>
      <c r="F213" s="229">
        <v>2301</v>
      </c>
      <c r="G213" s="229">
        <v>0</v>
      </c>
      <c r="M213" s="256">
        <f t="shared" si="16"/>
        <v>7573</v>
      </c>
      <c r="N213" s="256">
        <f t="shared" si="17"/>
        <v>7573</v>
      </c>
      <c r="O213" s="256">
        <f t="shared" si="18"/>
        <v>7571</v>
      </c>
      <c r="P213" s="256">
        <f t="shared" si="19"/>
        <v>2301</v>
      </c>
      <c r="Q213" s="256">
        <f t="shared" si="20"/>
        <v>0</v>
      </c>
    </row>
    <row r="214" spans="1:17" ht="15">
      <c r="A214" s="218">
        <v>36601</v>
      </c>
      <c r="B214" s="219" t="s">
        <v>408</v>
      </c>
      <c r="C214" s="229">
        <v>1687</v>
      </c>
      <c r="D214" s="229">
        <v>1687</v>
      </c>
      <c r="E214" s="229">
        <v>1686</v>
      </c>
      <c r="F214" s="229">
        <v>1413</v>
      </c>
      <c r="G214" s="229">
        <v>0</v>
      </c>
      <c r="M214" s="256">
        <f t="shared" si="16"/>
        <v>1687</v>
      </c>
      <c r="N214" s="256">
        <f t="shared" si="17"/>
        <v>1687</v>
      </c>
      <c r="O214" s="256">
        <f t="shared" si="18"/>
        <v>1686</v>
      </c>
      <c r="P214" s="256">
        <f t="shared" si="19"/>
        <v>1413</v>
      </c>
      <c r="Q214" s="256">
        <f t="shared" si="20"/>
        <v>0</v>
      </c>
    </row>
    <row r="215" spans="1:17" ht="15">
      <c r="A215" s="218">
        <v>36700</v>
      </c>
      <c r="B215" s="219" t="s">
        <v>409</v>
      </c>
      <c r="C215" s="229">
        <v>65893</v>
      </c>
      <c r="D215" s="229">
        <v>65893</v>
      </c>
      <c r="E215" s="229">
        <v>65869</v>
      </c>
      <c r="F215" s="229">
        <v>27445</v>
      </c>
      <c r="G215" s="229">
        <v>0</v>
      </c>
      <c r="M215" s="256">
        <f t="shared" si="16"/>
        <v>65893</v>
      </c>
      <c r="N215" s="256">
        <f t="shared" si="17"/>
        <v>65893</v>
      </c>
      <c r="O215" s="256">
        <f t="shared" si="18"/>
        <v>65869</v>
      </c>
      <c r="P215" s="256">
        <f t="shared" si="19"/>
        <v>27445</v>
      </c>
      <c r="Q215" s="256">
        <f t="shared" si="20"/>
        <v>0</v>
      </c>
    </row>
    <row r="216" spans="1:17" ht="15">
      <c r="A216" s="218">
        <v>36701</v>
      </c>
      <c r="B216" s="219" t="s">
        <v>410</v>
      </c>
      <c r="C216" s="229">
        <v>342</v>
      </c>
      <c r="D216" s="229">
        <v>342</v>
      </c>
      <c r="E216" s="229">
        <v>342</v>
      </c>
      <c r="F216" s="229">
        <v>100</v>
      </c>
      <c r="G216" s="229">
        <v>0</v>
      </c>
      <c r="M216" s="256">
        <f t="shared" si="16"/>
        <v>342</v>
      </c>
      <c r="N216" s="256">
        <f t="shared" si="17"/>
        <v>342</v>
      </c>
      <c r="O216" s="256">
        <f t="shared" si="18"/>
        <v>342</v>
      </c>
      <c r="P216" s="256">
        <f t="shared" si="19"/>
        <v>100</v>
      </c>
      <c r="Q216" s="256">
        <f t="shared" si="20"/>
        <v>0</v>
      </c>
    </row>
    <row r="217" spans="1:17" ht="15">
      <c r="A217" s="218">
        <v>36705</v>
      </c>
      <c r="B217" s="219" t="s">
        <v>93</v>
      </c>
      <c r="C217" s="229">
        <v>8353</v>
      </c>
      <c r="D217" s="229">
        <v>8353</v>
      </c>
      <c r="E217" s="229">
        <v>8350</v>
      </c>
      <c r="F217" s="229">
        <v>3229</v>
      </c>
      <c r="G217" s="229">
        <v>0</v>
      </c>
      <c r="M217" s="256">
        <f t="shared" si="16"/>
        <v>8353</v>
      </c>
      <c r="N217" s="256">
        <f t="shared" si="17"/>
        <v>8353</v>
      </c>
      <c r="O217" s="256">
        <f t="shared" si="18"/>
        <v>8350</v>
      </c>
      <c r="P217" s="256">
        <f t="shared" si="19"/>
        <v>3229</v>
      </c>
      <c r="Q217" s="256">
        <f t="shared" si="20"/>
        <v>0</v>
      </c>
    </row>
    <row r="218" spans="1:17" ht="15">
      <c r="A218" s="218">
        <v>36800</v>
      </c>
      <c r="B218" s="219" t="s">
        <v>411</v>
      </c>
      <c r="C218" s="229">
        <v>27276</v>
      </c>
      <c r="D218" s="229">
        <v>27276</v>
      </c>
      <c r="E218" s="229">
        <v>27266</v>
      </c>
      <c r="F218" s="229">
        <v>10356</v>
      </c>
      <c r="G218" s="229">
        <v>0</v>
      </c>
      <c r="M218" s="256">
        <f t="shared" si="16"/>
        <v>27276</v>
      </c>
      <c r="N218" s="256">
        <f t="shared" si="17"/>
        <v>27276</v>
      </c>
      <c r="O218" s="256">
        <f t="shared" si="18"/>
        <v>27266</v>
      </c>
      <c r="P218" s="256">
        <f t="shared" si="19"/>
        <v>10356</v>
      </c>
      <c r="Q218" s="256">
        <f t="shared" si="20"/>
        <v>0</v>
      </c>
    </row>
    <row r="219" spans="1:17" ht="15">
      <c r="A219" s="218">
        <v>36801</v>
      </c>
      <c r="B219" s="219" t="s">
        <v>528</v>
      </c>
      <c r="C219" s="229">
        <v>0</v>
      </c>
      <c r="D219" s="229">
        <v>0</v>
      </c>
      <c r="E219" s="229">
        <v>0</v>
      </c>
      <c r="F219" s="229">
        <v>0</v>
      </c>
      <c r="G219" s="229">
        <v>0</v>
      </c>
      <c r="M219" s="256">
        <f t="shared" si="16"/>
        <v>0</v>
      </c>
      <c r="N219" s="256">
        <f t="shared" si="17"/>
        <v>0</v>
      </c>
      <c r="O219" s="256">
        <f t="shared" si="18"/>
        <v>0</v>
      </c>
      <c r="P219" s="256">
        <f t="shared" si="19"/>
        <v>0</v>
      </c>
      <c r="Q219" s="256">
        <f t="shared" si="20"/>
        <v>0</v>
      </c>
    </row>
    <row r="220" spans="1:17" ht="15">
      <c r="A220" s="218">
        <v>36802</v>
      </c>
      <c r="B220" s="219" t="s">
        <v>412</v>
      </c>
      <c r="C220" s="229">
        <v>91</v>
      </c>
      <c r="D220" s="229">
        <v>91</v>
      </c>
      <c r="E220" s="229">
        <v>91</v>
      </c>
      <c r="F220" s="229">
        <v>380</v>
      </c>
      <c r="G220" s="229">
        <v>0</v>
      </c>
      <c r="M220" s="256">
        <f t="shared" si="16"/>
        <v>91</v>
      </c>
      <c r="N220" s="256">
        <f t="shared" si="17"/>
        <v>91</v>
      </c>
      <c r="O220" s="256">
        <f t="shared" si="18"/>
        <v>91</v>
      </c>
      <c r="P220" s="256">
        <f t="shared" si="19"/>
        <v>380</v>
      </c>
      <c r="Q220" s="256">
        <f t="shared" si="20"/>
        <v>0</v>
      </c>
    </row>
    <row r="221" spans="1:17" ht="15">
      <c r="A221" s="218">
        <v>36810</v>
      </c>
      <c r="B221" s="219" t="s">
        <v>413</v>
      </c>
      <c r="C221" s="229">
        <v>49299</v>
      </c>
      <c r="D221" s="229">
        <v>49299</v>
      </c>
      <c r="E221" s="229">
        <v>49282</v>
      </c>
      <c r="F221" s="229">
        <v>19561</v>
      </c>
      <c r="G221" s="229">
        <v>0</v>
      </c>
      <c r="M221" s="256">
        <f t="shared" si="16"/>
        <v>49299</v>
      </c>
      <c r="N221" s="256">
        <f t="shared" si="17"/>
        <v>49299</v>
      </c>
      <c r="O221" s="256">
        <f t="shared" si="18"/>
        <v>49282</v>
      </c>
      <c r="P221" s="256">
        <f t="shared" si="19"/>
        <v>19561</v>
      </c>
      <c r="Q221" s="256">
        <f t="shared" si="20"/>
        <v>0</v>
      </c>
    </row>
    <row r="222" spans="1:17" ht="15">
      <c r="A222" s="218">
        <v>36900</v>
      </c>
      <c r="B222" s="219" t="s">
        <v>414</v>
      </c>
      <c r="C222" s="229">
        <v>5246</v>
      </c>
      <c r="D222" s="229">
        <v>5246</v>
      </c>
      <c r="E222" s="229">
        <v>5245</v>
      </c>
      <c r="F222" s="229">
        <v>1916</v>
      </c>
      <c r="G222" s="229">
        <v>0</v>
      </c>
      <c r="M222" s="256">
        <f t="shared" si="16"/>
        <v>5246</v>
      </c>
      <c r="N222" s="256">
        <f t="shared" si="17"/>
        <v>5246</v>
      </c>
      <c r="O222" s="256">
        <f t="shared" si="18"/>
        <v>5245</v>
      </c>
      <c r="P222" s="256">
        <f t="shared" si="19"/>
        <v>1916</v>
      </c>
      <c r="Q222" s="256">
        <f t="shared" si="20"/>
        <v>0</v>
      </c>
    </row>
    <row r="223" spans="1:17" ht="15">
      <c r="A223" s="218">
        <v>36901</v>
      </c>
      <c r="B223" s="219" t="s">
        <v>415</v>
      </c>
      <c r="C223" s="229">
        <v>1723</v>
      </c>
      <c r="D223" s="229">
        <v>1723</v>
      </c>
      <c r="E223" s="229">
        <v>1723</v>
      </c>
      <c r="F223" s="229">
        <v>649</v>
      </c>
      <c r="G223" s="229">
        <v>0</v>
      </c>
      <c r="M223" s="256">
        <f t="shared" si="16"/>
        <v>1723</v>
      </c>
      <c r="N223" s="256">
        <f t="shared" si="17"/>
        <v>1723</v>
      </c>
      <c r="O223" s="256">
        <f t="shared" si="18"/>
        <v>1723</v>
      </c>
      <c r="P223" s="256">
        <f t="shared" si="19"/>
        <v>649</v>
      </c>
      <c r="Q223" s="256">
        <f t="shared" si="20"/>
        <v>0</v>
      </c>
    </row>
    <row r="224" spans="1:17" ht="15">
      <c r="A224" s="218">
        <v>36905</v>
      </c>
      <c r="B224" s="219" t="s">
        <v>94</v>
      </c>
      <c r="C224" s="229">
        <v>1967</v>
      </c>
      <c r="D224" s="229">
        <v>1967</v>
      </c>
      <c r="E224" s="229">
        <v>1967</v>
      </c>
      <c r="F224" s="229">
        <v>641</v>
      </c>
      <c r="G224" s="229">
        <v>0</v>
      </c>
      <c r="M224" s="256">
        <f t="shared" si="16"/>
        <v>1967</v>
      </c>
      <c r="N224" s="256">
        <f t="shared" si="17"/>
        <v>1967</v>
      </c>
      <c r="O224" s="256">
        <f t="shared" si="18"/>
        <v>1967</v>
      </c>
      <c r="P224" s="256">
        <f t="shared" si="19"/>
        <v>641</v>
      </c>
      <c r="Q224" s="256">
        <f t="shared" si="20"/>
        <v>0</v>
      </c>
    </row>
    <row r="225" spans="1:17" ht="15">
      <c r="A225" s="218">
        <v>37000</v>
      </c>
      <c r="B225" s="219" t="s">
        <v>416</v>
      </c>
      <c r="C225" s="229">
        <v>18444</v>
      </c>
      <c r="D225" s="229">
        <v>18444</v>
      </c>
      <c r="E225" s="229">
        <v>18438</v>
      </c>
      <c r="F225" s="229">
        <v>6410</v>
      </c>
      <c r="G225" s="229">
        <v>0</v>
      </c>
      <c r="M225" s="256">
        <f t="shared" si="16"/>
        <v>18444</v>
      </c>
      <c r="N225" s="256">
        <f t="shared" si="17"/>
        <v>18444</v>
      </c>
      <c r="O225" s="256">
        <f t="shared" si="18"/>
        <v>18438</v>
      </c>
      <c r="P225" s="256">
        <f t="shared" si="19"/>
        <v>6410</v>
      </c>
      <c r="Q225" s="256">
        <f t="shared" si="20"/>
        <v>0</v>
      </c>
    </row>
    <row r="226" spans="1:17" ht="15">
      <c r="A226" s="218">
        <v>37001</v>
      </c>
      <c r="B226" s="219" t="s">
        <v>417</v>
      </c>
      <c r="C226" s="229">
        <v>-132</v>
      </c>
      <c r="D226" s="229">
        <v>-132</v>
      </c>
      <c r="E226" s="229">
        <v>-133</v>
      </c>
      <c r="F226" s="229">
        <v>266</v>
      </c>
      <c r="G226" s="229">
        <v>0</v>
      </c>
      <c r="M226" s="256">
        <f t="shared" si="16"/>
        <v>-132</v>
      </c>
      <c r="N226" s="256">
        <f t="shared" si="17"/>
        <v>-132</v>
      </c>
      <c r="O226" s="256">
        <f t="shared" si="18"/>
        <v>-133</v>
      </c>
      <c r="P226" s="256">
        <f t="shared" si="19"/>
        <v>266</v>
      </c>
      <c r="Q226" s="256">
        <f t="shared" si="20"/>
        <v>0</v>
      </c>
    </row>
    <row r="227" spans="1:17" ht="15">
      <c r="A227" s="218">
        <v>37005</v>
      </c>
      <c r="B227" s="219" t="s">
        <v>95</v>
      </c>
      <c r="C227" s="229">
        <v>5288</v>
      </c>
      <c r="D227" s="229">
        <v>5288</v>
      </c>
      <c r="E227" s="229">
        <v>5286</v>
      </c>
      <c r="F227" s="229">
        <v>1530</v>
      </c>
      <c r="G227" s="229">
        <v>0</v>
      </c>
      <c r="M227" s="256">
        <f t="shared" si="16"/>
        <v>5288</v>
      </c>
      <c r="N227" s="256">
        <f t="shared" si="17"/>
        <v>5288</v>
      </c>
      <c r="O227" s="256">
        <f t="shared" si="18"/>
        <v>5286</v>
      </c>
      <c r="P227" s="256">
        <f t="shared" si="19"/>
        <v>1530</v>
      </c>
      <c r="Q227" s="256">
        <f t="shared" si="20"/>
        <v>0</v>
      </c>
    </row>
    <row r="228" spans="1:17" ht="15">
      <c r="A228" s="218">
        <v>37100</v>
      </c>
      <c r="B228" s="219" t="s">
        <v>418</v>
      </c>
      <c r="C228" s="229">
        <v>22111</v>
      </c>
      <c r="D228" s="229">
        <v>22111</v>
      </c>
      <c r="E228" s="229">
        <v>22102</v>
      </c>
      <c r="F228" s="229">
        <v>9724</v>
      </c>
      <c r="G228" s="229">
        <v>0</v>
      </c>
      <c r="M228" s="256">
        <f t="shared" si="16"/>
        <v>22111</v>
      </c>
      <c r="N228" s="256">
        <f t="shared" si="17"/>
        <v>22111</v>
      </c>
      <c r="O228" s="256">
        <f t="shared" si="18"/>
        <v>22102</v>
      </c>
      <c r="P228" s="256">
        <f t="shared" si="19"/>
        <v>9724</v>
      </c>
      <c r="Q228" s="256">
        <f t="shared" si="20"/>
        <v>0</v>
      </c>
    </row>
    <row r="229" spans="1:17" ht="15">
      <c r="A229" s="218">
        <v>37200</v>
      </c>
      <c r="B229" s="219" t="s">
        <v>419</v>
      </c>
      <c r="C229" s="229">
        <v>5366</v>
      </c>
      <c r="D229" s="229">
        <v>5366</v>
      </c>
      <c r="E229" s="229">
        <v>5364</v>
      </c>
      <c r="F229" s="229">
        <v>2161</v>
      </c>
      <c r="G229" s="229">
        <v>0</v>
      </c>
      <c r="M229" s="256">
        <f t="shared" si="16"/>
        <v>5366</v>
      </c>
      <c r="N229" s="256">
        <f t="shared" si="17"/>
        <v>5366</v>
      </c>
      <c r="O229" s="256">
        <f t="shared" si="18"/>
        <v>5364</v>
      </c>
      <c r="P229" s="256">
        <f t="shared" si="19"/>
        <v>2161</v>
      </c>
      <c r="Q229" s="256">
        <f t="shared" si="20"/>
        <v>0</v>
      </c>
    </row>
    <row r="230" spans="1:17" ht="15">
      <c r="A230" s="218">
        <v>37300</v>
      </c>
      <c r="B230" s="219" t="s">
        <v>420</v>
      </c>
      <c r="C230" s="229">
        <v>13139</v>
      </c>
      <c r="D230" s="229">
        <v>13139</v>
      </c>
      <c r="E230" s="229">
        <v>13134</v>
      </c>
      <c r="F230" s="229">
        <v>5774</v>
      </c>
      <c r="G230" s="229">
        <v>0</v>
      </c>
      <c r="M230" s="256">
        <f t="shared" si="16"/>
        <v>13139</v>
      </c>
      <c r="N230" s="256">
        <f t="shared" si="17"/>
        <v>13139</v>
      </c>
      <c r="O230" s="256">
        <f t="shared" si="18"/>
        <v>13134</v>
      </c>
      <c r="P230" s="256">
        <f t="shared" si="19"/>
        <v>5774</v>
      </c>
      <c r="Q230" s="256">
        <f t="shared" si="20"/>
        <v>0</v>
      </c>
    </row>
    <row r="231" spans="1:17" ht="15">
      <c r="A231" s="218">
        <v>37301</v>
      </c>
      <c r="B231" s="219" t="s">
        <v>421</v>
      </c>
      <c r="C231" s="229">
        <v>1297</v>
      </c>
      <c r="D231" s="229">
        <v>1297</v>
      </c>
      <c r="E231" s="229">
        <v>1297</v>
      </c>
      <c r="F231" s="229">
        <v>629</v>
      </c>
      <c r="G231" s="229">
        <v>0</v>
      </c>
      <c r="M231" s="256">
        <f t="shared" si="16"/>
        <v>1297</v>
      </c>
      <c r="N231" s="256">
        <f t="shared" si="17"/>
        <v>1297</v>
      </c>
      <c r="O231" s="256">
        <f t="shared" si="18"/>
        <v>1297</v>
      </c>
      <c r="P231" s="256">
        <f t="shared" si="19"/>
        <v>629</v>
      </c>
      <c r="Q231" s="256">
        <f t="shared" si="20"/>
        <v>0</v>
      </c>
    </row>
    <row r="232" spans="1:17" ht="15">
      <c r="A232" s="218">
        <v>37305</v>
      </c>
      <c r="B232" s="219" t="s">
        <v>96</v>
      </c>
      <c r="C232" s="229">
        <v>6401</v>
      </c>
      <c r="D232" s="229">
        <v>6401</v>
      </c>
      <c r="E232" s="229">
        <v>6399</v>
      </c>
      <c r="F232" s="229">
        <v>1474</v>
      </c>
      <c r="G232" s="229">
        <v>0</v>
      </c>
      <c r="M232" s="256">
        <f t="shared" si="16"/>
        <v>6401</v>
      </c>
      <c r="N232" s="256">
        <f t="shared" si="17"/>
        <v>6401</v>
      </c>
      <c r="O232" s="256">
        <f t="shared" si="18"/>
        <v>6399</v>
      </c>
      <c r="P232" s="256">
        <f t="shared" si="19"/>
        <v>1474</v>
      </c>
      <c r="Q232" s="256">
        <f t="shared" si="20"/>
        <v>0</v>
      </c>
    </row>
    <row r="233" spans="1:17" ht="15">
      <c r="A233" s="218">
        <v>37400</v>
      </c>
      <c r="B233" s="219" t="s">
        <v>422</v>
      </c>
      <c r="C233" s="229">
        <v>64855</v>
      </c>
      <c r="D233" s="229">
        <v>64855</v>
      </c>
      <c r="E233" s="229">
        <v>64831</v>
      </c>
      <c r="F233" s="229">
        <v>26952</v>
      </c>
      <c r="G233" s="229">
        <v>0</v>
      </c>
      <c r="M233" s="256">
        <f t="shared" si="16"/>
        <v>64855</v>
      </c>
      <c r="N233" s="256">
        <f t="shared" si="17"/>
        <v>64855</v>
      </c>
      <c r="O233" s="256">
        <f t="shared" si="18"/>
        <v>64831</v>
      </c>
      <c r="P233" s="256">
        <f t="shared" si="19"/>
        <v>26952</v>
      </c>
      <c r="Q233" s="256">
        <f t="shared" si="20"/>
        <v>0</v>
      </c>
    </row>
    <row r="234" spans="1:17" ht="15">
      <c r="A234" s="218">
        <v>37405</v>
      </c>
      <c r="B234" s="219" t="s">
        <v>97</v>
      </c>
      <c r="C234" s="229">
        <v>15327</v>
      </c>
      <c r="D234" s="229">
        <v>15327</v>
      </c>
      <c r="E234" s="229">
        <v>15322</v>
      </c>
      <c r="F234" s="229">
        <v>6239</v>
      </c>
      <c r="G234" s="229">
        <v>0</v>
      </c>
      <c r="M234" s="256">
        <f t="shared" si="16"/>
        <v>15327</v>
      </c>
      <c r="N234" s="256">
        <f t="shared" si="17"/>
        <v>15327</v>
      </c>
      <c r="O234" s="256">
        <f t="shared" si="18"/>
        <v>15322</v>
      </c>
      <c r="P234" s="256">
        <f t="shared" si="19"/>
        <v>6239</v>
      </c>
      <c r="Q234" s="256">
        <f t="shared" si="20"/>
        <v>0</v>
      </c>
    </row>
    <row r="235" spans="1:17" ht="15">
      <c r="A235" s="218">
        <v>37500</v>
      </c>
      <c r="B235" s="219" t="s">
        <v>423</v>
      </c>
      <c r="C235" s="229">
        <v>8357</v>
      </c>
      <c r="D235" s="229">
        <v>8357</v>
      </c>
      <c r="E235" s="229">
        <v>8354</v>
      </c>
      <c r="F235" s="229">
        <v>2991</v>
      </c>
      <c r="G235" s="229">
        <v>0</v>
      </c>
      <c r="M235" s="256">
        <f t="shared" si="16"/>
        <v>8357</v>
      </c>
      <c r="N235" s="256">
        <f t="shared" si="17"/>
        <v>8357</v>
      </c>
      <c r="O235" s="256">
        <f t="shared" si="18"/>
        <v>8354</v>
      </c>
      <c r="P235" s="256">
        <f t="shared" si="19"/>
        <v>2991</v>
      </c>
      <c r="Q235" s="256">
        <f t="shared" si="20"/>
        <v>0</v>
      </c>
    </row>
    <row r="236" spans="1:17" ht="15">
      <c r="A236" s="218">
        <v>37600</v>
      </c>
      <c r="B236" s="219" t="s">
        <v>424</v>
      </c>
      <c r="C236" s="229">
        <v>47675</v>
      </c>
      <c r="D236" s="229">
        <v>47675</v>
      </c>
      <c r="E236" s="229">
        <v>47658</v>
      </c>
      <c r="F236" s="229">
        <v>18858</v>
      </c>
      <c r="G236" s="229">
        <v>0</v>
      </c>
      <c r="M236" s="256">
        <f t="shared" si="16"/>
        <v>47675</v>
      </c>
      <c r="N236" s="256">
        <f t="shared" si="17"/>
        <v>47675</v>
      </c>
      <c r="O236" s="256">
        <f t="shared" si="18"/>
        <v>47658</v>
      </c>
      <c r="P236" s="256">
        <f t="shared" si="19"/>
        <v>18858</v>
      </c>
      <c r="Q236" s="256">
        <f t="shared" si="20"/>
        <v>0</v>
      </c>
    </row>
    <row r="237" spans="1:17" ht="15">
      <c r="A237" s="218">
        <v>37601</v>
      </c>
      <c r="B237" s="219" t="s">
        <v>425</v>
      </c>
      <c r="C237" s="229">
        <v>637</v>
      </c>
      <c r="D237" s="229">
        <v>637</v>
      </c>
      <c r="E237" s="229">
        <v>636</v>
      </c>
      <c r="F237" s="229">
        <v>786</v>
      </c>
      <c r="G237" s="229">
        <v>0</v>
      </c>
      <c r="M237" s="256">
        <f t="shared" si="16"/>
        <v>637</v>
      </c>
      <c r="N237" s="256">
        <f t="shared" si="17"/>
        <v>637</v>
      </c>
      <c r="O237" s="256">
        <f t="shared" si="18"/>
        <v>636</v>
      </c>
      <c r="P237" s="256">
        <f t="shared" si="19"/>
        <v>786</v>
      </c>
      <c r="Q237" s="256">
        <f t="shared" si="20"/>
        <v>0</v>
      </c>
    </row>
    <row r="238" spans="1:17" ht="15">
      <c r="A238" s="218">
        <v>37605</v>
      </c>
      <c r="B238" s="219" t="s">
        <v>98</v>
      </c>
      <c r="C238" s="229">
        <v>5613</v>
      </c>
      <c r="D238" s="229">
        <v>5613</v>
      </c>
      <c r="E238" s="229">
        <v>5611</v>
      </c>
      <c r="F238" s="229">
        <v>2326</v>
      </c>
      <c r="G238" s="229">
        <v>0</v>
      </c>
      <c r="M238" s="256">
        <f t="shared" si="16"/>
        <v>5613</v>
      </c>
      <c r="N238" s="256">
        <f t="shared" si="17"/>
        <v>5613</v>
      </c>
      <c r="O238" s="256">
        <f t="shared" si="18"/>
        <v>5611</v>
      </c>
      <c r="P238" s="256">
        <f t="shared" si="19"/>
        <v>2326</v>
      </c>
      <c r="Q238" s="256">
        <f t="shared" si="20"/>
        <v>0</v>
      </c>
    </row>
    <row r="239" spans="1:17" ht="15">
      <c r="A239" s="218">
        <v>37610</v>
      </c>
      <c r="B239" s="219" t="s">
        <v>426</v>
      </c>
      <c r="C239" s="229">
        <v>12851</v>
      </c>
      <c r="D239" s="229">
        <v>12851</v>
      </c>
      <c r="E239" s="229">
        <v>12846</v>
      </c>
      <c r="F239" s="229">
        <v>5843</v>
      </c>
      <c r="G239" s="229">
        <v>0</v>
      </c>
      <c r="M239" s="256">
        <f t="shared" si="16"/>
        <v>12851</v>
      </c>
      <c r="N239" s="256">
        <f t="shared" si="17"/>
        <v>12851</v>
      </c>
      <c r="O239" s="256">
        <f t="shared" si="18"/>
        <v>12846</v>
      </c>
      <c r="P239" s="256">
        <f t="shared" si="19"/>
        <v>5843</v>
      </c>
      <c r="Q239" s="256">
        <f t="shared" si="20"/>
        <v>0</v>
      </c>
    </row>
    <row r="240" spans="1:17" ht="15">
      <c r="A240" s="218">
        <v>37700</v>
      </c>
      <c r="B240" s="219" t="s">
        <v>427</v>
      </c>
      <c r="C240" s="229">
        <v>21935</v>
      </c>
      <c r="D240" s="229">
        <v>21935</v>
      </c>
      <c r="E240" s="229">
        <v>21928</v>
      </c>
      <c r="F240" s="229">
        <v>7950</v>
      </c>
      <c r="G240" s="229">
        <v>0</v>
      </c>
      <c r="M240" s="256">
        <f t="shared" si="16"/>
        <v>21935</v>
      </c>
      <c r="N240" s="256">
        <f t="shared" si="17"/>
        <v>21935</v>
      </c>
      <c r="O240" s="256">
        <f t="shared" si="18"/>
        <v>21928</v>
      </c>
      <c r="P240" s="256">
        <f t="shared" si="19"/>
        <v>7950</v>
      </c>
      <c r="Q240" s="256">
        <f t="shared" si="20"/>
        <v>0</v>
      </c>
    </row>
    <row r="241" spans="1:17" ht="15">
      <c r="A241" s="218">
        <v>37705</v>
      </c>
      <c r="B241" s="219" t="s">
        <v>99</v>
      </c>
      <c r="C241" s="229">
        <v>6636</v>
      </c>
      <c r="D241" s="229">
        <v>6636</v>
      </c>
      <c r="E241" s="229">
        <v>6633</v>
      </c>
      <c r="F241" s="229">
        <v>2369</v>
      </c>
      <c r="G241" s="229">
        <v>0</v>
      </c>
      <c r="M241" s="256">
        <f t="shared" si="16"/>
        <v>6636</v>
      </c>
      <c r="N241" s="256">
        <f t="shared" si="17"/>
        <v>6636</v>
      </c>
      <c r="O241" s="256">
        <f t="shared" si="18"/>
        <v>6633</v>
      </c>
      <c r="P241" s="256">
        <f t="shared" si="19"/>
        <v>2369</v>
      </c>
      <c r="Q241" s="256">
        <f t="shared" si="20"/>
        <v>0</v>
      </c>
    </row>
    <row r="242" spans="1:17" ht="15">
      <c r="A242" s="218">
        <v>37800</v>
      </c>
      <c r="B242" s="219" t="s">
        <v>428</v>
      </c>
      <c r="C242" s="229">
        <v>65548</v>
      </c>
      <c r="D242" s="229">
        <v>65548</v>
      </c>
      <c r="E242" s="229">
        <v>65526</v>
      </c>
      <c r="F242" s="229">
        <v>24565</v>
      </c>
      <c r="G242" s="229">
        <v>0</v>
      </c>
      <c r="M242" s="256">
        <f t="shared" si="16"/>
        <v>65548</v>
      </c>
      <c r="N242" s="256">
        <f t="shared" si="17"/>
        <v>65548</v>
      </c>
      <c r="O242" s="256">
        <f t="shared" si="18"/>
        <v>65526</v>
      </c>
      <c r="P242" s="256">
        <f t="shared" si="19"/>
        <v>24565</v>
      </c>
      <c r="Q242" s="256">
        <f t="shared" si="20"/>
        <v>0</v>
      </c>
    </row>
    <row r="243" spans="1:17" ht="15">
      <c r="A243" s="218">
        <v>37801</v>
      </c>
      <c r="B243" s="219" t="s">
        <v>429</v>
      </c>
      <c r="C243" s="229">
        <v>195</v>
      </c>
      <c r="D243" s="229">
        <v>195</v>
      </c>
      <c r="E243" s="229">
        <v>195</v>
      </c>
      <c r="F243" s="229">
        <v>189</v>
      </c>
      <c r="G243" s="229">
        <v>0</v>
      </c>
      <c r="M243" s="256">
        <f t="shared" si="16"/>
        <v>195</v>
      </c>
      <c r="N243" s="256">
        <f t="shared" si="17"/>
        <v>195</v>
      </c>
      <c r="O243" s="256">
        <f t="shared" si="18"/>
        <v>195</v>
      </c>
      <c r="P243" s="256">
        <f t="shared" si="19"/>
        <v>189</v>
      </c>
      <c r="Q243" s="256">
        <f t="shared" si="20"/>
        <v>0</v>
      </c>
    </row>
    <row r="244" spans="1:17" ht="15">
      <c r="A244" s="218">
        <v>37805</v>
      </c>
      <c r="B244" s="219" t="s">
        <v>100</v>
      </c>
      <c r="C244" s="229">
        <v>6229</v>
      </c>
      <c r="D244" s="229">
        <v>6229</v>
      </c>
      <c r="E244" s="229">
        <v>6228</v>
      </c>
      <c r="F244" s="229">
        <v>1839</v>
      </c>
      <c r="G244" s="229">
        <v>0</v>
      </c>
      <c r="M244" s="256">
        <f t="shared" si="16"/>
        <v>6229</v>
      </c>
      <c r="N244" s="256">
        <f t="shared" si="17"/>
        <v>6229</v>
      </c>
      <c r="O244" s="256">
        <f t="shared" si="18"/>
        <v>6228</v>
      </c>
      <c r="P244" s="256">
        <f t="shared" si="19"/>
        <v>1839</v>
      </c>
      <c r="Q244" s="256">
        <f t="shared" si="20"/>
        <v>0</v>
      </c>
    </row>
    <row r="245" spans="1:17" ht="15">
      <c r="A245" s="218">
        <v>37900</v>
      </c>
      <c r="B245" s="219" t="s">
        <v>430</v>
      </c>
      <c r="C245" s="229">
        <v>37655</v>
      </c>
      <c r="D245" s="229">
        <v>37655</v>
      </c>
      <c r="E245" s="229">
        <v>37644</v>
      </c>
      <c r="F245" s="229">
        <v>12860</v>
      </c>
      <c r="G245" s="229">
        <v>0</v>
      </c>
      <c r="M245" s="256">
        <f t="shared" si="16"/>
        <v>37655</v>
      </c>
      <c r="N245" s="256">
        <f t="shared" si="17"/>
        <v>37655</v>
      </c>
      <c r="O245" s="256">
        <f t="shared" si="18"/>
        <v>37644</v>
      </c>
      <c r="P245" s="256">
        <f t="shared" si="19"/>
        <v>12860</v>
      </c>
      <c r="Q245" s="256">
        <f t="shared" si="20"/>
        <v>0</v>
      </c>
    </row>
    <row r="246" spans="1:17" ht="15">
      <c r="A246" s="218">
        <v>37901</v>
      </c>
      <c r="B246" s="219" t="s">
        <v>431</v>
      </c>
      <c r="C246" s="229">
        <v>543</v>
      </c>
      <c r="D246" s="229">
        <v>543</v>
      </c>
      <c r="E246" s="229">
        <v>543</v>
      </c>
      <c r="F246" s="229">
        <v>175</v>
      </c>
      <c r="G246" s="229">
        <v>0</v>
      </c>
      <c r="M246" s="256">
        <f t="shared" si="16"/>
        <v>543</v>
      </c>
      <c r="N246" s="256">
        <f t="shared" si="17"/>
        <v>543</v>
      </c>
      <c r="O246" s="256">
        <f t="shared" si="18"/>
        <v>543</v>
      </c>
      <c r="P246" s="256">
        <f t="shared" si="19"/>
        <v>175</v>
      </c>
      <c r="Q246" s="256">
        <f t="shared" si="20"/>
        <v>0</v>
      </c>
    </row>
    <row r="247" spans="1:17" ht="15">
      <c r="A247" s="218">
        <v>37905</v>
      </c>
      <c r="B247" s="219" t="s">
        <v>101</v>
      </c>
      <c r="C247" s="229">
        <v>4622</v>
      </c>
      <c r="D247" s="229">
        <v>4622</v>
      </c>
      <c r="E247" s="229">
        <v>4621</v>
      </c>
      <c r="F247" s="229">
        <v>1550</v>
      </c>
      <c r="G247" s="229">
        <v>0</v>
      </c>
      <c r="M247" s="256">
        <f t="shared" si="16"/>
        <v>4622</v>
      </c>
      <c r="N247" s="256">
        <f t="shared" si="17"/>
        <v>4622</v>
      </c>
      <c r="O247" s="256">
        <f t="shared" si="18"/>
        <v>4621</v>
      </c>
      <c r="P247" s="256">
        <f t="shared" si="19"/>
        <v>1550</v>
      </c>
      <c r="Q247" s="256">
        <f t="shared" si="20"/>
        <v>0</v>
      </c>
    </row>
    <row r="248" spans="1:17" ht="15">
      <c r="A248" s="218">
        <v>38000</v>
      </c>
      <c r="B248" s="219" t="s">
        <v>432</v>
      </c>
      <c r="C248" s="229">
        <v>53890</v>
      </c>
      <c r="D248" s="229">
        <v>53890</v>
      </c>
      <c r="E248" s="229">
        <v>53871</v>
      </c>
      <c r="F248" s="229">
        <v>21411</v>
      </c>
      <c r="G248" s="229">
        <v>0</v>
      </c>
      <c r="M248" s="256">
        <f t="shared" si="16"/>
        <v>53890</v>
      </c>
      <c r="N248" s="256">
        <f t="shared" si="17"/>
        <v>53890</v>
      </c>
      <c r="O248" s="256">
        <f t="shared" si="18"/>
        <v>53871</v>
      </c>
      <c r="P248" s="256">
        <f t="shared" si="19"/>
        <v>21411</v>
      </c>
      <c r="Q248" s="256">
        <f t="shared" si="20"/>
        <v>0</v>
      </c>
    </row>
    <row r="249" spans="1:17" ht="15">
      <c r="A249" s="218">
        <v>38005</v>
      </c>
      <c r="B249" s="219" t="s">
        <v>102</v>
      </c>
      <c r="C249" s="229">
        <v>12672</v>
      </c>
      <c r="D249" s="229">
        <v>12672</v>
      </c>
      <c r="E249" s="229">
        <v>12668</v>
      </c>
      <c r="F249" s="229">
        <v>4111</v>
      </c>
      <c r="G249" s="229">
        <v>0</v>
      </c>
      <c r="M249" s="256">
        <f t="shared" si="16"/>
        <v>12672</v>
      </c>
      <c r="N249" s="256">
        <f t="shared" si="17"/>
        <v>12672</v>
      </c>
      <c r="O249" s="256">
        <f t="shared" si="18"/>
        <v>12668</v>
      </c>
      <c r="P249" s="256">
        <f t="shared" si="19"/>
        <v>4111</v>
      </c>
      <c r="Q249" s="256">
        <f t="shared" si="20"/>
        <v>0</v>
      </c>
    </row>
    <row r="250" spans="1:17" ht="15">
      <c r="A250" s="218">
        <v>38100</v>
      </c>
      <c r="B250" s="219" t="s">
        <v>433</v>
      </c>
      <c r="C250" s="229">
        <v>27138</v>
      </c>
      <c r="D250" s="229">
        <v>27138</v>
      </c>
      <c r="E250" s="229">
        <v>27130</v>
      </c>
      <c r="F250" s="229">
        <v>9548</v>
      </c>
      <c r="G250" s="229">
        <v>0</v>
      </c>
      <c r="M250" s="256">
        <f t="shared" si="16"/>
        <v>27138</v>
      </c>
      <c r="N250" s="256">
        <f t="shared" si="17"/>
        <v>27138</v>
      </c>
      <c r="O250" s="256">
        <f t="shared" si="18"/>
        <v>27130</v>
      </c>
      <c r="P250" s="256">
        <f t="shared" si="19"/>
        <v>9548</v>
      </c>
      <c r="Q250" s="256">
        <f t="shared" si="20"/>
        <v>0</v>
      </c>
    </row>
    <row r="251" spans="1:17" ht="15">
      <c r="A251" s="218">
        <v>38105</v>
      </c>
      <c r="B251" s="219" t="s">
        <v>103</v>
      </c>
      <c r="C251" s="229">
        <v>5618</v>
      </c>
      <c r="D251" s="229">
        <v>5618</v>
      </c>
      <c r="E251" s="229">
        <v>5616</v>
      </c>
      <c r="F251" s="229">
        <v>1928</v>
      </c>
      <c r="G251" s="229">
        <v>0</v>
      </c>
      <c r="M251" s="256">
        <f t="shared" si="16"/>
        <v>5618</v>
      </c>
      <c r="N251" s="256">
        <f t="shared" si="17"/>
        <v>5618</v>
      </c>
      <c r="O251" s="256">
        <f t="shared" si="18"/>
        <v>5616</v>
      </c>
      <c r="P251" s="256">
        <f t="shared" si="19"/>
        <v>1928</v>
      </c>
      <c r="Q251" s="256">
        <f t="shared" si="20"/>
        <v>0</v>
      </c>
    </row>
    <row r="252" spans="1:17" ht="15">
      <c r="A252" s="218">
        <v>38200</v>
      </c>
      <c r="B252" s="219" t="s">
        <v>434</v>
      </c>
      <c r="C252" s="229">
        <v>25141</v>
      </c>
      <c r="D252" s="229">
        <v>25141</v>
      </c>
      <c r="E252" s="229">
        <v>25133</v>
      </c>
      <c r="F252" s="229">
        <v>9119</v>
      </c>
      <c r="G252" s="229">
        <v>0</v>
      </c>
      <c r="M252" s="256">
        <f t="shared" si="16"/>
        <v>25141</v>
      </c>
      <c r="N252" s="256">
        <f t="shared" si="17"/>
        <v>25141</v>
      </c>
      <c r="O252" s="256">
        <f t="shared" si="18"/>
        <v>25133</v>
      </c>
      <c r="P252" s="256">
        <f t="shared" si="19"/>
        <v>9119</v>
      </c>
      <c r="Q252" s="256">
        <f t="shared" si="20"/>
        <v>0</v>
      </c>
    </row>
    <row r="253" spans="1:17" ht="15">
      <c r="A253" s="218">
        <v>38205</v>
      </c>
      <c r="B253" s="219" t="s">
        <v>104</v>
      </c>
      <c r="C253" s="229">
        <v>4114</v>
      </c>
      <c r="D253" s="229">
        <v>4114</v>
      </c>
      <c r="E253" s="229">
        <v>4113</v>
      </c>
      <c r="F253" s="229">
        <v>1336</v>
      </c>
      <c r="G253" s="229">
        <v>0</v>
      </c>
      <c r="M253" s="256">
        <f t="shared" si="16"/>
        <v>4114</v>
      </c>
      <c r="N253" s="256">
        <f t="shared" si="17"/>
        <v>4114</v>
      </c>
      <c r="O253" s="256">
        <f t="shared" si="18"/>
        <v>4113</v>
      </c>
      <c r="P253" s="256">
        <f t="shared" si="19"/>
        <v>1336</v>
      </c>
      <c r="Q253" s="256">
        <f t="shared" si="20"/>
        <v>0</v>
      </c>
    </row>
    <row r="254" spans="1:17" ht="15">
      <c r="A254" s="218">
        <v>38210</v>
      </c>
      <c r="B254" s="219" t="s">
        <v>435</v>
      </c>
      <c r="C254" s="229">
        <v>8841</v>
      </c>
      <c r="D254" s="229">
        <v>8841</v>
      </c>
      <c r="E254" s="229">
        <v>8838</v>
      </c>
      <c r="F254" s="229">
        <v>3458</v>
      </c>
      <c r="G254" s="229">
        <v>0</v>
      </c>
      <c r="M254" s="256">
        <f t="shared" si="16"/>
        <v>8841</v>
      </c>
      <c r="N254" s="256">
        <f t="shared" si="17"/>
        <v>8841</v>
      </c>
      <c r="O254" s="256">
        <f t="shared" si="18"/>
        <v>8838</v>
      </c>
      <c r="P254" s="256">
        <f t="shared" si="19"/>
        <v>3458</v>
      </c>
      <c r="Q254" s="256">
        <f t="shared" si="20"/>
        <v>0</v>
      </c>
    </row>
    <row r="255" spans="1:17" ht="15">
      <c r="A255" s="218">
        <v>38300</v>
      </c>
      <c r="B255" s="219" t="s">
        <v>436</v>
      </c>
      <c r="C255" s="229">
        <v>19976</v>
      </c>
      <c r="D255" s="229">
        <v>19976</v>
      </c>
      <c r="E255" s="229">
        <v>19969</v>
      </c>
      <c r="F255" s="229">
        <v>7228</v>
      </c>
      <c r="G255" s="229">
        <v>0</v>
      </c>
      <c r="M255" s="256">
        <f t="shared" si="16"/>
        <v>19976</v>
      </c>
      <c r="N255" s="256">
        <f t="shared" si="17"/>
        <v>19976</v>
      </c>
      <c r="O255" s="256">
        <f t="shared" si="18"/>
        <v>19969</v>
      </c>
      <c r="P255" s="256">
        <f t="shared" si="19"/>
        <v>7228</v>
      </c>
      <c r="Q255" s="256">
        <f t="shared" si="20"/>
        <v>0</v>
      </c>
    </row>
    <row r="256" spans="1:17" ht="15">
      <c r="A256" s="218">
        <v>38400</v>
      </c>
      <c r="B256" s="219" t="s">
        <v>437</v>
      </c>
      <c r="C256" s="229">
        <v>25302</v>
      </c>
      <c r="D256" s="229">
        <v>25302</v>
      </c>
      <c r="E256" s="229">
        <v>25294</v>
      </c>
      <c r="F256" s="229">
        <v>8815</v>
      </c>
      <c r="G256" s="229">
        <v>0</v>
      </c>
      <c r="M256" s="256">
        <f t="shared" si="16"/>
        <v>25302</v>
      </c>
      <c r="N256" s="256">
        <f t="shared" si="17"/>
        <v>25302</v>
      </c>
      <c r="O256" s="256">
        <f t="shared" si="18"/>
        <v>25294</v>
      </c>
      <c r="P256" s="256">
        <f t="shared" si="19"/>
        <v>8815</v>
      </c>
      <c r="Q256" s="256">
        <f t="shared" si="20"/>
        <v>0</v>
      </c>
    </row>
    <row r="257" spans="1:17" ht="15">
      <c r="A257" s="218">
        <v>38402</v>
      </c>
      <c r="B257" s="219" t="s">
        <v>438</v>
      </c>
      <c r="C257" s="229">
        <v>520</v>
      </c>
      <c r="D257" s="229">
        <v>520</v>
      </c>
      <c r="E257" s="229">
        <v>519</v>
      </c>
      <c r="F257" s="229">
        <v>375</v>
      </c>
      <c r="G257" s="229">
        <v>0</v>
      </c>
      <c r="M257" s="256">
        <f t="shared" si="16"/>
        <v>520</v>
      </c>
      <c r="N257" s="256">
        <f t="shared" si="17"/>
        <v>520</v>
      </c>
      <c r="O257" s="256">
        <f t="shared" si="18"/>
        <v>519</v>
      </c>
      <c r="P257" s="256">
        <f t="shared" si="19"/>
        <v>375</v>
      </c>
      <c r="Q257" s="256">
        <f t="shared" si="20"/>
        <v>0</v>
      </c>
    </row>
    <row r="258" spans="1:17" ht="15">
      <c r="A258" s="218">
        <v>38405</v>
      </c>
      <c r="B258" s="219" t="s">
        <v>105</v>
      </c>
      <c r="C258" s="229">
        <v>5364</v>
      </c>
      <c r="D258" s="229">
        <v>5364</v>
      </c>
      <c r="E258" s="229">
        <v>5362</v>
      </c>
      <c r="F258" s="229">
        <v>2352</v>
      </c>
      <c r="G258" s="229">
        <v>0</v>
      </c>
      <c r="M258" s="256">
        <f t="shared" si="16"/>
        <v>5364</v>
      </c>
      <c r="N258" s="256">
        <f t="shared" si="17"/>
        <v>5364</v>
      </c>
      <c r="O258" s="256">
        <f t="shared" si="18"/>
        <v>5362</v>
      </c>
      <c r="P258" s="256">
        <f t="shared" si="19"/>
        <v>2352</v>
      </c>
      <c r="Q258" s="256">
        <f t="shared" si="20"/>
        <v>0</v>
      </c>
    </row>
    <row r="259" spans="1:17" ht="15">
      <c r="A259" s="218">
        <v>38500</v>
      </c>
      <c r="B259" s="219" t="s">
        <v>439</v>
      </c>
      <c r="C259" s="229">
        <v>21189</v>
      </c>
      <c r="D259" s="229">
        <v>21189</v>
      </c>
      <c r="E259" s="229">
        <v>21182</v>
      </c>
      <c r="F259" s="229">
        <v>6820</v>
      </c>
      <c r="G259" s="229">
        <v>0</v>
      </c>
      <c r="M259" s="256">
        <f t="shared" si="16"/>
        <v>21189</v>
      </c>
      <c r="N259" s="256">
        <f t="shared" si="17"/>
        <v>21189</v>
      </c>
      <c r="O259" s="256">
        <f t="shared" si="18"/>
        <v>21182</v>
      </c>
      <c r="P259" s="256">
        <f t="shared" si="19"/>
        <v>6820</v>
      </c>
      <c r="Q259" s="256">
        <f t="shared" si="20"/>
        <v>0</v>
      </c>
    </row>
    <row r="260" spans="1:17" ht="15">
      <c r="A260" s="218">
        <v>38600</v>
      </c>
      <c r="B260" s="219" t="s">
        <v>440</v>
      </c>
      <c r="C260" s="229">
        <v>24100</v>
      </c>
      <c r="D260" s="229">
        <v>24100</v>
      </c>
      <c r="E260" s="229">
        <v>24092</v>
      </c>
      <c r="F260" s="229">
        <v>8924</v>
      </c>
      <c r="G260" s="229">
        <v>0</v>
      </c>
      <c r="M260" s="256">
        <f t="shared" si="16"/>
        <v>24100</v>
      </c>
      <c r="N260" s="256">
        <f t="shared" si="17"/>
        <v>24100</v>
      </c>
      <c r="O260" s="256">
        <f t="shared" si="18"/>
        <v>24092</v>
      </c>
      <c r="P260" s="256">
        <f t="shared" si="19"/>
        <v>8924</v>
      </c>
      <c r="Q260" s="256">
        <f t="shared" si="20"/>
        <v>0</v>
      </c>
    </row>
    <row r="261" spans="1:17" ht="15">
      <c r="A261" s="218">
        <v>38601</v>
      </c>
      <c r="B261" s="219" t="s">
        <v>441</v>
      </c>
      <c r="C261" s="229">
        <v>322</v>
      </c>
      <c r="D261" s="229">
        <v>322</v>
      </c>
      <c r="E261" s="229">
        <v>322</v>
      </c>
      <c r="F261" s="229">
        <v>106</v>
      </c>
      <c r="G261" s="229">
        <v>0</v>
      </c>
      <c r="M261" s="256">
        <f t="shared" ref="M261:M297" si="21">ROUND(C261,0)</f>
        <v>322</v>
      </c>
      <c r="N261" s="256">
        <f t="shared" ref="N261:N297" si="22">ROUND(D261,0)</f>
        <v>322</v>
      </c>
      <c r="O261" s="256">
        <f t="shared" ref="O261:O297" si="23">ROUND(E261,0)</f>
        <v>322</v>
      </c>
      <c r="P261" s="256">
        <f t="shared" ref="P261:P297" si="24">ROUND(F261,0)</f>
        <v>106</v>
      </c>
      <c r="Q261" s="256">
        <f t="shared" ref="Q261:Q297" si="25">ROUND(G261,0)</f>
        <v>0</v>
      </c>
    </row>
    <row r="262" spans="1:17" ht="15">
      <c r="A262" s="218">
        <v>38602</v>
      </c>
      <c r="B262" s="219" t="s">
        <v>442</v>
      </c>
      <c r="C262" s="229">
        <v>1028</v>
      </c>
      <c r="D262" s="229">
        <v>1028</v>
      </c>
      <c r="E262" s="229">
        <v>1027</v>
      </c>
      <c r="F262" s="229">
        <v>667</v>
      </c>
      <c r="G262" s="229">
        <v>0</v>
      </c>
      <c r="M262" s="256">
        <f t="shared" si="21"/>
        <v>1028</v>
      </c>
      <c r="N262" s="256">
        <f t="shared" si="22"/>
        <v>1028</v>
      </c>
      <c r="O262" s="256">
        <f t="shared" si="23"/>
        <v>1027</v>
      </c>
      <c r="P262" s="256">
        <f t="shared" si="24"/>
        <v>667</v>
      </c>
      <c r="Q262" s="256">
        <f t="shared" si="25"/>
        <v>0</v>
      </c>
    </row>
    <row r="263" spans="1:17" ht="15">
      <c r="A263" s="218">
        <v>38605</v>
      </c>
      <c r="B263" s="219" t="s">
        <v>106</v>
      </c>
      <c r="C263" s="229">
        <v>6804</v>
      </c>
      <c r="D263" s="229">
        <v>6804</v>
      </c>
      <c r="E263" s="229">
        <v>6802</v>
      </c>
      <c r="F263" s="229">
        <v>2481</v>
      </c>
      <c r="G263" s="229">
        <v>0</v>
      </c>
      <c r="M263" s="256">
        <f t="shared" si="21"/>
        <v>6804</v>
      </c>
      <c r="N263" s="256">
        <f t="shared" si="22"/>
        <v>6804</v>
      </c>
      <c r="O263" s="256">
        <f t="shared" si="23"/>
        <v>6802</v>
      </c>
      <c r="P263" s="256">
        <f t="shared" si="24"/>
        <v>2481</v>
      </c>
      <c r="Q263" s="256">
        <f t="shared" si="25"/>
        <v>0</v>
      </c>
    </row>
    <row r="264" spans="1:17" ht="15">
      <c r="A264" s="218">
        <v>38610</v>
      </c>
      <c r="B264" s="219" t="s">
        <v>443</v>
      </c>
      <c r="C264" s="229">
        <v>5746</v>
      </c>
      <c r="D264" s="229">
        <v>5746</v>
      </c>
      <c r="E264" s="229">
        <v>5744</v>
      </c>
      <c r="F264" s="229">
        <v>1738</v>
      </c>
      <c r="G264" s="229">
        <v>0</v>
      </c>
      <c r="M264" s="256">
        <f t="shared" si="21"/>
        <v>5746</v>
      </c>
      <c r="N264" s="256">
        <f t="shared" si="22"/>
        <v>5746</v>
      </c>
      <c r="O264" s="256">
        <f t="shared" si="23"/>
        <v>5744</v>
      </c>
      <c r="P264" s="256">
        <f t="shared" si="24"/>
        <v>1738</v>
      </c>
      <c r="Q264" s="256">
        <f t="shared" si="25"/>
        <v>0</v>
      </c>
    </row>
    <row r="265" spans="1:17" ht="15">
      <c r="A265" s="218">
        <v>38620</v>
      </c>
      <c r="B265" s="219" t="s">
        <v>444</v>
      </c>
      <c r="C265" s="229">
        <v>4605</v>
      </c>
      <c r="D265" s="229">
        <v>4605</v>
      </c>
      <c r="E265" s="229">
        <v>4604</v>
      </c>
      <c r="F265" s="229">
        <v>1442</v>
      </c>
      <c r="G265" s="229">
        <v>0</v>
      </c>
      <c r="M265" s="256">
        <f t="shared" si="21"/>
        <v>4605</v>
      </c>
      <c r="N265" s="256">
        <f t="shared" si="22"/>
        <v>4605</v>
      </c>
      <c r="O265" s="256">
        <f t="shared" si="23"/>
        <v>4604</v>
      </c>
      <c r="P265" s="256">
        <f t="shared" si="24"/>
        <v>1442</v>
      </c>
      <c r="Q265" s="256">
        <f t="shared" si="25"/>
        <v>0</v>
      </c>
    </row>
    <row r="266" spans="1:17" ht="15">
      <c r="A266" s="218">
        <v>38700</v>
      </c>
      <c r="B266" s="219" t="s">
        <v>445</v>
      </c>
      <c r="C266" s="229">
        <v>6591</v>
      </c>
      <c r="D266" s="229">
        <v>6591</v>
      </c>
      <c r="E266" s="229">
        <v>6588</v>
      </c>
      <c r="F266" s="229">
        <v>2703</v>
      </c>
      <c r="G266" s="229">
        <v>0</v>
      </c>
      <c r="M266" s="256">
        <f t="shared" si="21"/>
        <v>6591</v>
      </c>
      <c r="N266" s="256">
        <f t="shared" si="22"/>
        <v>6591</v>
      </c>
      <c r="O266" s="256">
        <f t="shared" si="23"/>
        <v>6588</v>
      </c>
      <c r="P266" s="256">
        <f t="shared" si="24"/>
        <v>2703</v>
      </c>
      <c r="Q266" s="256">
        <f t="shared" si="25"/>
        <v>0</v>
      </c>
    </row>
    <row r="267" spans="1:17" ht="15">
      <c r="A267" s="218">
        <v>38701</v>
      </c>
      <c r="B267" s="219" t="s">
        <v>446</v>
      </c>
      <c r="C267" s="229">
        <v>654</v>
      </c>
      <c r="D267" s="229">
        <v>654</v>
      </c>
      <c r="E267" s="229">
        <v>654</v>
      </c>
      <c r="F267" s="229">
        <v>148</v>
      </c>
      <c r="G267" s="229">
        <v>0</v>
      </c>
      <c r="M267" s="256">
        <f t="shared" si="21"/>
        <v>654</v>
      </c>
      <c r="N267" s="256">
        <f t="shared" si="22"/>
        <v>654</v>
      </c>
      <c r="O267" s="256">
        <f t="shared" si="23"/>
        <v>654</v>
      </c>
      <c r="P267" s="256">
        <f t="shared" si="24"/>
        <v>148</v>
      </c>
      <c r="Q267" s="256">
        <f t="shared" si="25"/>
        <v>0</v>
      </c>
    </row>
    <row r="268" spans="1:17" ht="15">
      <c r="A268" s="218">
        <v>38800</v>
      </c>
      <c r="B268" s="219" t="s">
        <v>447</v>
      </c>
      <c r="C268" s="229">
        <v>12131</v>
      </c>
      <c r="D268" s="229">
        <v>12131</v>
      </c>
      <c r="E268" s="229">
        <v>12127</v>
      </c>
      <c r="F268" s="229">
        <v>4548</v>
      </c>
      <c r="G268" s="229">
        <v>0</v>
      </c>
      <c r="M268" s="256">
        <f t="shared" si="21"/>
        <v>12131</v>
      </c>
      <c r="N268" s="256">
        <f t="shared" si="22"/>
        <v>12131</v>
      </c>
      <c r="O268" s="256">
        <f t="shared" si="23"/>
        <v>12127</v>
      </c>
      <c r="P268" s="256">
        <f t="shared" si="24"/>
        <v>4548</v>
      </c>
      <c r="Q268" s="256">
        <f t="shared" si="25"/>
        <v>0</v>
      </c>
    </row>
    <row r="269" spans="1:17" ht="15">
      <c r="A269" s="218">
        <v>38801</v>
      </c>
      <c r="B269" s="219" t="s">
        <v>448</v>
      </c>
      <c r="C269" s="229">
        <v>505</v>
      </c>
      <c r="D269" s="229">
        <v>505</v>
      </c>
      <c r="E269" s="229">
        <v>504</v>
      </c>
      <c r="F269" s="229">
        <v>386</v>
      </c>
      <c r="G269" s="229">
        <v>0</v>
      </c>
      <c r="M269" s="256">
        <f t="shared" si="21"/>
        <v>505</v>
      </c>
      <c r="N269" s="256">
        <f t="shared" si="22"/>
        <v>505</v>
      </c>
      <c r="O269" s="256">
        <f t="shared" si="23"/>
        <v>504</v>
      </c>
      <c r="P269" s="256">
        <f t="shared" si="24"/>
        <v>386</v>
      </c>
      <c r="Q269" s="256">
        <f t="shared" si="25"/>
        <v>0</v>
      </c>
    </row>
    <row r="270" spans="1:17" ht="15">
      <c r="A270" s="218">
        <v>38900</v>
      </c>
      <c r="B270" s="219" t="s">
        <v>449</v>
      </c>
      <c r="C270" s="229">
        <v>2982</v>
      </c>
      <c r="D270" s="229">
        <v>2982</v>
      </c>
      <c r="E270" s="229">
        <v>2981</v>
      </c>
      <c r="F270" s="229">
        <v>982</v>
      </c>
      <c r="G270" s="229">
        <v>0</v>
      </c>
      <c r="M270" s="256">
        <f t="shared" si="21"/>
        <v>2982</v>
      </c>
      <c r="N270" s="256">
        <f t="shared" si="22"/>
        <v>2982</v>
      </c>
      <c r="O270" s="256">
        <f t="shared" si="23"/>
        <v>2981</v>
      </c>
      <c r="P270" s="256">
        <f t="shared" si="24"/>
        <v>982</v>
      </c>
      <c r="Q270" s="256">
        <f t="shared" si="25"/>
        <v>0</v>
      </c>
    </row>
    <row r="271" spans="1:17" ht="15">
      <c r="A271" s="218">
        <v>39000</v>
      </c>
      <c r="B271" s="219" t="s">
        <v>450</v>
      </c>
      <c r="C271" s="229">
        <v>108344</v>
      </c>
      <c r="D271" s="229">
        <v>108344</v>
      </c>
      <c r="E271" s="229">
        <v>108302</v>
      </c>
      <c r="F271" s="229">
        <v>47162</v>
      </c>
      <c r="G271" s="229">
        <v>0</v>
      </c>
      <c r="M271" s="256">
        <f t="shared" si="21"/>
        <v>108344</v>
      </c>
      <c r="N271" s="256">
        <f t="shared" si="22"/>
        <v>108344</v>
      </c>
      <c r="O271" s="256">
        <f t="shared" si="23"/>
        <v>108302</v>
      </c>
      <c r="P271" s="256">
        <f t="shared" si="24"/>
        <v>47162</v>
      </c>
      <c r="Q271" s="256">
        <f t="shared" si="25"/>
        <v>0</v>
      </c>
    </row>
    <row r="272" spans="1:17" ht="15">
      <c r="A272" s="218">
        <v>39100</v>
      </c>
      <c r="B272" s="219" t="s">
        <v>451</v>
      </c>
      <c r="C272" s="229">
        <v>22271</v>
      </c>
      <c r="D272" s="229">
        <v>22271</v>
      </c>
      <c r="E272" s="229">
        <v>22264</v>
      </c>
      <c r="F272" s="229">
        <v>6886</v>
      </c>
      <c r="G272" s="229">
        <v>0</v>
      </c>
      <c r="M272" s="256">
        <f t="shared" si="21"/>
        <v>22271</v>
      </c>
      <c r="N272" s="256">
        <f t="shared" si="22"/>
        <v>22271</v>
      </c>
      <c r="O272" s="256">
        <f t="shared" si="23"/>
        <v>22264</v>
      </c>
      <c r="P272" s="256">
        <f t="shared" si="24"/>
        <v>6886</v>
      </c>
      <c r="Q272" s="256">
        <f t="shared" si="25"/>
        <v>0</v>
      </c>
    </row>
    <row r="273" spans="1:17" ht="15">
      <c r="A273" s="218">
        <v>39101</v>
      </c>
      <c r="B273" s="219" t="s">
        <v>452</v>
      </c>
      <c r="C273" s="229">
        <v>1374</v>
      </c>
      <c r="D273" s="229">
        <v>1374</v>
      </c>
      <c r="E273" s="229">
        <v>1374</v>
      </c>
      <c r="F273" s="229">
        <v>566</v>
      </c>
      <c r="G273" s="229">
        <v>0</v>
      </c>
      <c r="M273" s="256">
        <f t="shared" si="21"/>
        <v>1374</v>
      </c>
      <c r="N273" s="256">
        <f t="shared" si="22"/>
        <v>1374</v>
      </c>
      <c r="O273" s="256">
        <f t="shared" si="23"/>
        <v>1374</v>
      </c>
      <c r="P273" s="256">
        <f t="shared" si="24"/>
        <v>566</v>
      </c>
      <c r="Q273" s="256">
        <f t="shared" si="25"/>
        <v>0</v>
      </c>
    </row>
    <row r="274" spans="1:17" ht="15">
      <c r="A274" s="218">
        <v>39105</v>
      </c>
      <c r="B274" s="219" t="s">
        <v>107</v>
      </c>
      <c r="C274" s="229">
        <v>8615</v>
      </c>
      <c r="D274" s="229">
        <v>8615</v>
      </c>
      <c r="E274" s="229">
        <v>8612</v>
      </c>
      <c r="F274" s="229">
        <v>2836</v>
      </c>
      <c r="G274" s="229">
        <v>0</v>
      </c>
      <c r="M274" s="256">
        <f t="shared" si="21"/>
        <v>8615</v>
      </c>
      <c r="N274" s="256">
        <f t="shared" si="22"/>
        <v>8615</v>
      </c>
      <c r="O274" s="256">
        <f t="shared" si="23"/>
        <v>8612</v>
      </c>
      <c r="P274" s="256">
        <f t="shared" si="24"/>
        <v>2836</v>
      </c>
      <c r="Q274" s="256">
        <f t="shared" si="25"/>
        <v>0</v>
      </c>
    </row>
    <row r="275" spans="1:17" ht="15">
      <c r="A275" s="218">
        <v>39200</v>
      </c>
      <c r="B275" s="219" t="s">
        <v>453</v>
      </c>
      <c r="C275" s="229">
        <v>443927</v>
      </c>
      <c r="D275" s="229">
        <v>443927</v>
      </c>
      <c r="E275" s="229">
        <v>443752</v>
      </c>
      <c r="F275" s="229">
        <v>195697</v>
      </c>
      <c r="G275" s="229">
        <v>0</v>
      </c>
      <c r="M275" s="256">
        <f t="shared" si="21"/>
        <v>443927</v>
      </c>
      <c r="N275" s="256">
        <f t="shared" si="22"/>
        <v>443927</v>
      </c>
      <c r="O275" s="256">
        <f t="shared" si="23"/>
        <v>443752</v>
      </c>
      <c r="P275" s="256">
        <f t="shared" si="24"/>
        <v>195697</v>
      </c>
      <c r="Q275" s="256">
        <f t="shared" si="25"/>
        <v>0</v>
      </c>
    </row>
    <row r="276" spans="1:17" ht="15">
      <c r="A276" s="218">
        <v>39201</v>
      </c>
      <c r="B276" s="219" t="s">
        <v>454</v>
      </c>
      <c r="C276" s="229">
        <v>953</v>
      </c>
      <c r="D276" s="229">
        <v>953</v>
      </c>
      <c r="E276" s="229">
        <v>952</v>
      </c>
      <c r="F276" s="229">
        <v>587</v>
      </c>
      <c r="G276" s="229">
        <v>0</v>
      </c>
      <c r="M276" s="256">
        <f t="shared" si="21"/>
        <v>953</v>
      </c>
      <c r="N276" s="256">
        <f t="shared" si="22"/>
        <v>953</v>
      </c>
      <c r="O276" s="256">
        <f t="shared" si="23"/>
        <v>952</v>
      </c>
      <c r="P276" s="256">
        <f t="shared" si="24"/>
        <v>587</v>
      </c>
      <c r="Q276" s="256">
        <f t="shared" si="25"/>
        <v>0</v>
      </c>
    </row>
    <row r="277" spans="1:17" ht="15">
      <c r="A277" s="218">
        <v>39204</v>
      </c>
      <c r="B277" s="219" t="s">
        <v>455</v>
      </c>
      <c r="C277" s="229">
        <v>359</v>
      </c>
      <c r="D277" s="229">
        <v>359</v>
      </c>
      <c r="E277" s="229">
        <v>358</v>
      </c>
      <c r="F277" s="229">
        <v>549</v>
      </c>
      <c r="G277" s="229">
        <v>0</v>
      </c>
      <c r="M277" s="256">
        <f t="shared" si="21"/>
        <v>359</v>
      </c>
      <c r="N277" s="256">
        <f t="shared" si="22"/>
        <v>359</v>
      </c>
      <c r="O277" s="256">
        <f t="shared" si="23"/>
        <v>358</v>
      </c>
      <c r="P277" s="256">
        <f t="shared" si="24"/>
        <v>549</v>
      </c>
      <c r="Q277" s="256">
        <f t="shared" si="25"/>
        <v>0</v>
      </c>
    </row>
    <row r="278" spans="1:17" ht="15">
      <c r="A278" s="218">
        <v>39205</v>
      </c>
      <c r="B278" s="219" t="s">
        <v>108</v>
      </c>
      <c r="C278" s="229">
        <v>39453</v>
      </c>
      <c r="D278" s="229">
        <v>39453</v>
      </c>
      <c r="E278" s="229">
        <v>39438</v>
      </c>
      <c r="F278" s="229">
        <v>15867</v>
      </c>
      <c r="G278" s="229">
        <v>0</v>
      </c>
      <c r="M278" s="256">
        <f t="shared" si="21"/>
        <v>39453</v>
      </c>
      <c r="N278" s="256">
        <f t="shared" si="22"/>
        <v>39453</v>
      </c>
      <c r="O278" s="256">
        <f t="shared" si="23"/>
        <v>39438</v>
      </c>
      <c r="P278" s="256">
        <f t="shared" si="24"/>
        <v>15867</v>
      </c>
      <c r="Q278" s="256">
        <f t="shared" si="25"/>
        <v>0</v>
      </c>
    </row>
    <row r="279" spans="1:17" ht="15">
      <c r="A279" s="218">
        <v>39208</v>
      </c>
      <c r="B279" s="219" t="s">
        <v>456</v>
      </c>
      <c r="C279" s="229">
        <v>2537</v>
      </c>
      <c r="D279" s="229">
        <v>2537</v>
      </c>
      <c r="E279" s="229">
        <v>2536</v>
      </c>
      <c r="F279" s="229">
        <v>1158</v>
      </c>
      <c r="G279" s="229">
        <v>0</v>
      </c>
      <c r="M279" s="256">
        <f t="shared" si="21"/>
        <v>2537</v>
      </c>
      <c r="N279" s="256">
        <f t="shared" si="22"/>
        <v>2537</v>
      </c>
      <c r="O279" s="256">
        <f t="shared" si="23"/>
        <v>2536</v>
      </c>
      <c r="P279" s="256">
        <f t="shared" si="24"/>
        <v>1158</v>
      </c>
      <c r="Q279" s="256">
        <f t="shared" si="25"/>
        <v>0</v>
      </c>
    </row>
    <row r="280" spans="1:17" ht="15">
      <c r="A280" s="218">
        <v>39209</v>
      </c>
      <c r="B280" s="219" t="s">
        <v>457</v>
      </c>
      <c r="C280" s="229">
        <v>946</v>
      </c>
      <c r="D280" s="229">
        <v>946</v>
      </c>
      <c r="E280" s="229">
        <v>945</v>
      </c>
      <c r="F280" s="229">
        <v>641</v>
      </c>
      <c r="G280" s="229">
        <v>0</v>
      </c>
      <c r="M280" s="256">
        <f t="shared" si="21"/>
        <v>946</v>
      </c>
      <c r="N280" s="256">
        <f t="shared" si="22"/>
        <v>946</v>
      </c>
      <c r="O280" s="256">
        <f t="shared" si="23"/>
        <v>945</v>
      </c>
      <c r="P280" s="256">
        <f t="shared" si="24"/>
        <v>641</v>
      </c>
      <c r="Q280" s="256">
        <f t="shared" si="25"/>
        <v>0</v>
      </c>
    </row>
    <row r="281" spans="1:17" ht="15">
      <c r="A281" s="218">
        <v>39300</v>
      </c>
      <c r="B281" s="219" t="s">
        <v>458</v>
      </c>
      <c r="C281" s="229">
        <v>8793</v>
      </c>
      <c r="D281" s="229">
        <v>8793</v>
      </c>
      <c r="E281" s="229">
        <v>8791</v>
      </c>
      <c r="F281" s="229">
        <v>2548</v>
      </c>
      <c r="G281" s="229">
        <v>0</v>
      </c>
      <c r="M281" s="256">
        <f t="shared" si="21"/>
        <v>8793</v>
      </c>
      <c r="N281" s="256">
        <f t="shared" si="22"/>
        <v>8793</v>
      </c>
      <c r="O281" s="256">
        <f t="shared" si="23"/>
        <v>8791</v>
      </c>
      <c r="P281" s="256">
        <f t="shared" si="24"/>
        <v>2548</v>
      </c>
      <c r="Q281" s="256">
        <f t="shared" si="25"/>
        <v>0</v>
      </c>
    </row>
    <row r="282" spans="1:17" ht="15">
      <c r="A282" s="218">
        <v>39301</v>
      </c>
      <c r="B282" s="219" t="s">
        <v>459</v>
      </c>
      <c r="C282" s="229">
        <v>317</v>
      </c>
      <c r="D282" s="229">
        <v>317</v>
      </c>
      <c r="E282" s="229">
        <v>317</v>
      </c>
      <c r="F282" s="229">
        <v>180</v>
      </c>
      <c r="G282" s="229">
        <v>0</v>
      </c>
      <c r="M282" s="256">
        <f t="shared" si="21"/>
        <v>317</v>
      </c>
      <c r="N282" s="256">
        <f t="shared" si="22"/>
        <v>317</v>
      </c>
      <c r="O282" s="256">
        <f t="shared" si="23"/>
        <v>317</v>
      </c>
      <c r="P282" s="256">
        <f t="shared" si="24"/>
        <v>180</v>
      </c>
      <c r="Q282" s="256">
        <f t="shared" si="25"/>
        <v>0</v>
      </c>
    </row>
    <row r="283" spans="1:17" ht="15">
      <c r="A283" s="218">
        <v>39400</v>
      </c>
      <c r="B283" s="219" t="s">
        <v>460</v>
      </c>
      <c r="C283" s="229">
        <v>6491</v>
      </c>
      <c r="D283" s="229">
        <v>6491</v>
      </c>
      <c r="E283" s="229">
        <v>6489</v>
      </c>
      <c r="F283" s="229">
        <v>1814</v>
      </c>
      <c r="G283" s="229">
        <v>0</v>
      </c>
      <c r="M283" s="256">
        <f t="shared" si="21"/>
        <v>6491</v>
      </c>
      <c r="N283" s="256">
        <f t="shared" si="22"/>
        <v>6491</v>
      </c>
      <c r="O283" s="256">
        <f t="shared" si="23"/>
        <v>6489</v>
      </c>
      <c r="P283" s="256">
        <f t="shared" si="24"/>
        <v>1814</v>
      </c>
      <c r="Q283" s="256">
        <f t="shared" si="25"/>
        <v>0</v>
      </c>
    </row>
    <row r="284" spans="1:17" ht="15">
      <c r="A284" s="218">
        <v>39401</v>
      </c>
      <c r="B284" s="219" t="s">
        <v>461</v>
      </c>
      <c r="C284" s="229">
        <v>-141</v>
      </c>
      <c r="D284" s="229">
        <v>-141</v>
      </c>
      <c r="E284" s="229">
        <v>-142</v>
      </c>
      <c r="F284" s="229">
        <v>1042</v>
      </c>
      <c r="G284" s="229">
        <v>0</v>
      </c>
      <c r="M284" s="256">
        <f t="shared" si="21"/>
        <v>-141</v>
      </c>
      <c r="N284" s="256">
        <f t="shared" si="22"/>
        <v>-141</v>
      </c>
      <c r="O284" s="256">
        <f t="shared" si="23"/>
        <v>-142</v>
      </c>
      <c r="P284" s="256">
        <f t="shared" si="24"/>
        <v>1042</v>
      </c>
      <c r="Q284" s="256">
        <f t="shared" si="25"/>
        <v>0</v>
      </c>
    </row>
    <row r="285" spans="1:17" ht="15">
      <c r="A285" s="218">
        <v>39500</v>
      </c>
      <c r="B285" s="219" t="s">
        <v>462</v>
      </c>
      <c r="C285" s="229">
        <v>15247</v>
      </c>
      <c r="D285" s="229">
        <v>15247</v>
      </c>
      <c r="E285" s="229">
        <v>15242</v>
      </c>
      <c r="F285" s="229">
        <v>5841</v>
      </c>
      <c r="G285" s="229">
        <v>0</v>
      </c>
      <c r="M285" s="256">
        <f t="shared" si="21"/>
        <v>15247</v>
      </c>
      <c r="N285" s="256">
        <f t="shared" si="22"/>
        <v>15247</v>
      </c>
      <c r="O285" s="256">
        <f t="shared" si="23"/>
        <v>15242</v>
      </c>
      <c r="P285" s="256">
        <f t="shared" si="24"/>
        <v>5841</v>
      </c>
      <c r="Q285" s="256">
        <f t="shared" si="25"/>
        <v>0</v>
      </c>
    </row>
    <row r="286" spans="1:17" ht="15">
      <c r="A286" s="218">
        <v>39501</v>
      </c>
      <c r="B286" s="219" t="s">
        <v>463</v>
      </c>
      <c r="C286" s="229">
        <v>377</v>
      </c>
      <c r="D286" s="229">
        <v>377</v>
      </c>
      <c r="E286" s="229">
        <v>377</v>
      </c>
      <c r="F286" s="229">
        <v>202</v>
      </c>
      <c r="G286" s="229">
        <v>0</v>
      </c>
      <c r="M286" s="256">
        <f t="shared" si="21"/>
        <v>377</v>
      </c>
      <c r="N286" s="256">
        <f t="shared" si="22"/>
        <v>377</v>
      </c>
      <c r="O286" s="256">
        <f t="shared" si="23"/>
        <v>377</v>
      </c>
      <c r="P286" s="256">
        <f t="shared" si="24"/>
        <v>202</v>
      </c>
      <c r="Q286" s="256">
        <f t="shared" si="25"/>
        <v>0</v>
      </c>
    </row>
    <row r="287" spans="1:17" ht="15">
      <c r="A287" s="218">
        <v>39600</v>
      </c>
      <c r="B287" s="219" t="s">
        <v>464</v>
      </c>
      <c r="C287" s="229">
        <v>52886</v>
      </c>
      <c r="D287" s="229">
        <v>52886</v>
      </c>
      <c r="E287" s="229">
        <v>52869</v>
      </c>
      <c r="F287" s="229">
        <v>19130</v>
      </c>
      <c r="G287" s="229">
        <v>0</v>
      </c>
      <c r="M287" s="256">
        <f t="shared" si="21"/>
        <v>52886</v>
      </c>
      <c r="N287" s="256">
        <f t="shared" si="22"/>
        <v>52886</v>
      </c>
      <c r="O287" s="256">
        <f t="shared" si="23"/>
        <v>52869</v>
      </c>
      <c r="P287" s="256">
        <f t="shared" si="24"/>
        <v>19130</v>
      </c>
      <c r="Q287" s="256">
        <f t="shared" si="25"/>
        <v>0</v>
      </c>
    </row>
    <row r="288" spans="1:17" ht="15">
      <c r="A288" s="218">
        <v>39605</v>
      </c>
      <c r="B288" s="219" t="s">
        <v>109</v>
      </c>
      <c r="C288" s="229">
        <v>7759</v>
      </c>
      <c r="D288" s="229">
        <v>7759</v>
      </c>
      <c r="E288" s="229">
        <v>7757</v>
      </c>
      <c r="F288" s="229">
        <v>2814</v>
      </c>
      <c r="G288" s="229">
        <v>0</v>
      </c>
      <c r="M288" s="256">
        <f t="shared" si="21"/>
        <v>7759</v>
      </c>
      <c r="N288" s="256">
        <f t="shared" si="22"/>
        <v>7759</v>
      </c>
      <c r="O288" s="256">
        <f t="shared" si="23"/>
        <v>7757</v>
      </c>
      <c r="P288" s="256">
        <f t="shared" si="24"/>
        <v>2814</v>
      </c>
      <c r="Q288" s="256">
        <f t="shared" si="25"/>
        <v>0</v>
      </c>
    </row>
    <row r="289" spans="1:17" ht="15">
      <c r="A289" s="218">
        <v>39700</v>
      </c>
      <c r="B289" s="219" t="s">
        <v>465</v>
      </c>
      <c r="C289" s="229">
        <v>30296</v>
      </c>
      <c r="D289" s="229">
        <v>30296</v>
      </c>
      <c r="E289" s="229">
        <v>30286</v>
      </c>
      <c r="F289" s="229">
        <v>11094</v>
      </c>
      <c r="G289" s="229">
        <v>0</v>
      </c>
      <c r="M289" s="256">
        <f t="shared" si="21"/>
        <v>30296</v>
      </c>
      <c r="N289" s="256">
        <f t="shared" si="22"/>
        <v>30296</v>
      </c>
      <c r="O289" s="256">
        <f t="shared" si="23"/>
        <v>30286</v>
      </c>
      <c r="P289" s="256">
        <f t="shared" si="24"/>
        <v>11094</v>
      </c>
      <c r="Q289" s="256">
        <f t="shared" si="25"/>
        <v>0</v>
      </c>
    </row>
    <row r="290" spans="1:17" ht="15">
      <c r="A290" s="218">
        <v>39703</v>
      </c>
      <c r="B290" s="219" t="s">
        <v>466</v>
      </c>
      <c r="C290" s="229">
        <v>271</v>
      </c>
      <c r="D290" s="229">
        <v>271</v>
      </c>
      <c r="E290" s="229">
        <v>270</v>
      </c>
      <c r="F290" s="229">
        <v>480</v>
      </c>
      <c r="G290" s="229">
        <v>0</v>
      </c>
      <c r="M290" s="256">
        <f t="shared" si="21"/>
        <v>271</v>
      </c>
      <c r="N290" s="256">
        <f t="shared" si="22"/>
        <v>271</v>
      </c>
      <c r="O290" s="256">
        <f t="shared" si="23"/>
        <v>270</v>
      </c>
      <c r="P290" s="256">
        <f t="shared" si="24"/>
        <v>480</v>
      </c>
      <c r="Q290" s="256">
        <f t="shared" si="25"/>
        <v>0</v>
      </c>
    </row>
    <row r="291" spans="1:17" ht="15">
      <c r="A291" s="218">
        <v>39705</v>
      </c>
      <c r="B291" s="219" t="s">
        <v>110</v>
      </c>
      <c r="C291" s="229">
        <v>8135</v>
      </c>
      <c r="D291" s="229">
        <v>8135</v>
      </c>
      <c r="E291" s="229">
        <v>8133</v>
      </c>
      <c r="F291" s="229">
        <v>2615</v>
      </c>
      <c r="G291" s="229">
        <v>0</v>
      </c>
      <c r="M291" s="256">
        <f t="shared" si="21"/>
        <v>8135</v>
      </c>
      <c r="N291" s="256">
        <f t="shared" si="22"/>
        <v>8135</v>
      </c>
      <c r="O291" s="256">
        <f t="shared" si="23"/>
        <v>8133</v>
      </c>
      <c r="P291" s="256">
        <f t="shared" si="24"/>
        <v>2615</v>
      </c>
      <c r="Q291" s="256">
        <f t="shared" si="25"/>
        <v>0</v>
      </c>
    </row>
    <row r="292" spans="1:17" ht="15">
      <c r="A292" s="218">
        <v>39800</v>
      </c>
      <c r="B292" s="219" t="s">
        <v>467</v>
      </c>
      <c r="C292" s="229">
        <v>34759</v>
      </c>
      <c r="D292" s="229">
        <v>34759</v>
      </c>
      <c r="E292" s="229">
        <v>34748</v>
      </c>
      <c r="F292" s="229">
        <v>12448</v>
      </c>
      <c r="G292" s="229">
        <v>0</v>
      </c>
      <c r="M292" s="256">
        <f t="shared" si="21"/>
        <v>34759</v>
      </c>
      <c r="N292" s="256">
        <f t="shared" si="22"/>
        <v>34759</v>
      </c>
      <c r="O292" s="256">
        <f t="shared" si="23"/>
        <v>34748</v>
      </c>
      <c r="P292" s="256">
        <f t="shared" si="24"/>
        <v>12448</v>
      </c>
      <c r="Q292" s="256">
        <f t="shared" si="25"/>
        <v>0</v>
      </c>
    </row>
    <row r="293" spans="1:17" ht="15">
      <c r="A293" s="218">
        <v>39805</v>
      </c>
      <c r="B293" s="219" t="s">
        <v>111</v>
      </c>
      <c r="C293" s="229">
        <v>4228</v>
      </c>
      <c r="D293" s="229">
        <v>4228</v>
      </c>
      <c r="E293" s="229">
        <v>4227</v>
      </c>
      <c r="F293" s="229">
        <v>1473</v>
      </c>
      <c r="G293" s="229">
        <v>0</v>
      </c>
      <c r="M293" s="256">
        <f t="shared" si="21"/>
        <v>4228</v>
      </c>
      <c r="N293" s="256">
        <f t="shared" si="22"/>
        <v>4228</v>
      </c>
      <c r="O293" s="256">
        <f t="shared" si="23"/>
        <v>4227</v>
      </c>
      <c r="P293" s="256">
        <f t="shared" si="24"/>
        <v>1473</v>
      </c>
      <c r="Q293" s="256">
        <f t="shared" si="25"/>
        <v>0</v>
      </c>
    </row>
    <row r="294" spans="1:17" ht="15">
      <c r="A294" s="218">
        <v>39900</v>
      </c>
      <c r="B294" s="219" t="s">
        <v>468</v>
      </c>
      <c r="C294" s="229">
        <v>17449</v>
      </c>
      <c r="D294" s="229">
        <v>17449</v>
      </c>
      <c r="E294" s="229">
        <v>17444</v>
      </c>
      <c r="F294" s="229">
        <v>6248</v>
      </c>
      <c r="G294" s="229">
        <v>0</v>
      </c>
      <c r="M294" s="256">
        <f t="shared" si="21"/>
        <v>17449</v>
      </c>
      <c r="N294" s="256">
        <f t="shared" si="22"/>
        <v>17449</v>
      </c>
      <c r="O294" s="256">
        <f t="shared" si="23"/>
        <v>17444</v>
      </c>
      <c r="P294" s="256">
        <f t="shared" si="24"/>
        <v>6248</v>
      </c>
      <c r="Q294" s="256">
        <f t="shared" si="25"/>
        <v>0</v>
      </c>
    </row>
    <row r="295" spans="1:17" ht="15">
      <c r="A295" s="218">
        <v>51000</v>
      </c>
      <c r="B295" s="219" t="s">
        <v>529</v>
      </c>
      <c r="C295" s="229">
        <v>370128</v>
      </c>
      <c r="D295" s="229">
        <v>370128</v>
      </c>
      <c r="E295" s="229">
        <v>370049</v>
      </c>
      <c r="F295" s="229">
        <v>87871</v>
      </c>
      <c r="G295" s="229">
        <v>0</v>
      </c>
      <c r="M295" s="256">
        <f t="shared" si="21"/>
        <v>370128</v>
      </c>
      <c r="N295" s="256">
        <f t="shared" si="22"/>
        <v>370128</v>
      </c>
      <c r="O295" s="256">
        <f t="shared" si="23"/>
        <v>370049</v>
      </c>
      <c r="P295" s="256">
        <f t="shared" si="24"/>
        <v>87871</v>
      </c>
      <c r="Q295" s="256">
        <f t="shared" si="25"/>
        <v>0</v>
      </c>
    </row>
    <row r="296" spans="1:17" ht="15">
      <c r="A296" s="218">
        <v>51000.2</v>
      </c>
      <c r="B296" s="219" t="s">
        <v>530</v>
      </c>
      <c r="C296" s="229">
        <v>378</v>
      </c>
      <c r="D296" s="229">
        <v>378</v>
      </c>
      <c r="E296" s="229">
        <v>378</v>
      </c>
      <c r="F296" s="229">
        <v>55</v>
      </c>
      <c r="G296" s="229">
        <v>0</v>
      </c>
      <c r="M296" s="256">
        <f t="shared" si="21"/>
        <v>378</v>
      </c>
      <c r="N296" s="256">
        <f t="shared" si="22"/>
        <v>378</v>
      </c>
      <c r="O296" s="256">
        <f t="shared" si="23"/>
        <v>378</v>
      </c>
      <c r="P296" s="256">
        <f t="shared" si="24"/>
        <v>55</v>
      </c>
      <c r="Q296" s="256">
        <f t="shared" si="25"/>
        <v>0</v>
      </c>
    </row>
    <row r="297" spans="1:17" ht="15">
      <c r="A297" s="218">
        <v>51000.3</v>
      </c>
      <c r="B297" s="219" t="s">
        <v>531</v>
      </c>
      <c r="C297" s="229">
        <v>8545</v>
      </c>
      <c r="D297" s="229">
        <v>8545</v>
      </c>
      <c r="E297" s="229">
        <v>8543</v>
      </c>
      <c r="F297" s="229">
        <v>2129</v>
      </c>
      <c r="G297" s="229">
        <v>0</v>
      </c>
      <c r="M297" s="256">
        <f t="shared" si="21"/>
        <v>8545</v>
      </c>
      <c r="N297" s="256">
        <f t="shared" si="22"/>
        <v>8545</v>
      </c>
      <c r="O297" s="256">
        <f t="shared" si="23"/>
        <v>8543</v>
      </c>
      <c r="P297" s="256">
        <f t="shared" si="24"/>
        <v>2129</v>
      </c>
      <c r="Q297" s="256">
        <f t="shared" si="25"/>
        <v>0</v>
      </c>
    </row>
    <row r="298" spans="1:17" ht="15">
      <c r="A298" s="218"/>
      <c r="B298" s="219"/>
      <c r="C298" s="229"/>
      <c r="D298" s="229"/>
      <c r="E298" s="229"/>
      <c r="F298" s="229"/>
      <c r="G298" s="229">
        <v>0</v>
      </c>
    </row>
    <row r="299" spans="1:17" ht="15">
      <c r="A299" s="218"/>
      <c r="B299" s="219"/>
      <c r="C299" s="229"/>
      <c r="D299" s="229"/>
      <c r="E299" s="229"/>
      <c r="F299" s="229"/>
      <c r="G299" s="229">
        <v>0</v>
      </c>
    </row>
    <row r="300" spans="1:17" ht="15">
      <c r="A300" s="218"/>
      <c r="B300" s="219"/>
      <c r="C300" s="229"/>
      <c r="D300" s="229"/>
      <c r="E300" s="229"/>
      <c r="F300" s="229"/>
      <c r="G300" s="229">
        <v>0</v>
      </c>
    </row>
    <row r="301" spans="1:17" ht="15">
      <c r="A301" s="218"/>
      <c r="B301" s="219"/>
      <c r="C301" s="229"/>
      <c r="D301" s="229"/>
      <c r="E301" s="229"/>
      <c r="F301" s="229"/>
      <c r="G301" s="229">
        <v>0</v>
      </c>
    </row>
    <row r="302" spans="1:17" ht="15">
      <c r="A302" s="218"/>
      <c r="B302" s="219"/>
      <c r="C302" s="229"/>
      <c r="D302" s="229"/>
      <c r="E302" s="229"/>
      <c r="F302" s="229"/>
      <c r="G302" s="229">
        <v>0</v>
      </c>
    </row>
    <row r="303" spans="1:17" s="217" customFormat="1" ht="15">
      <c r="A303" s="218"/>
      <c r="B303" s="219"/>
      <c r="C303" s="229"/>
      <c r="D303" s="229"/>
      <c r="E303" s="229"/>
      <c r="F303" s="229"/>
      <c r="G303" s="229">
        <v>0</v>
      </c>
    </row>
    <row r="304" spans="1:17" s="217" customFormat="1"/>
    <row r="305" spans="1:7" ht="15">
      <c r="A305" s="205"/>
      <c r="B305" s="205"/>
      <c r="C305" s="203">
        <f>SUM(C4:C303)</f>
        <v>8937123</v>
      </c>
      <c r="D305" s="203">
        <f t="shared" ref="D305:G305" si="26">SUM(D4:D303)</f>
        <v>8937123</v>
      </c>
      <c r="E305" s="203">
        <f t="shared" si="26"/>
        <v>8934123</v>
      </c>
      <c r="F305" s="203">
        <f t="shared" si="26"/>
        <v>3347000</v>
      </c>
      <c r="G305" s="203">
        <f t="shared" si="26"/>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Info</vt:lpstr>
      <vt:lpstr>Detail</vt:lpstr>
      <vt:lpstr>Summary</vt:lpstr>
      <vt:lpstr>Disclosures</vt:lpstr>
      <vt:lpstr>Data</vt:lpstr>
      <vt:lpstr>ER Contributions</vt:lpstr>
      <vt:lpstr>Allocation Exhibit 2016-06-30</vt:lpstr>
      <vt:lpstr>75 - Summary Exhibit</vt:lpstr>
      <vt:lpstr>75- Deferred Amortization</vt:lpstr>
      <vt:lpstr>'75 - Summary Exhibit'!Print_Area</vt:lpstr>
      <vt:lpstr>Detail!Print_Area</vt:lpstr>
      <vt:lpstr>Disclosures!Print_Area</vt:lpstr>
      <vt:lpstr>Summary!Print_Area</vt:lpstr>
      <vt:lpstr>Disclosures!Print_Titles</vt:lpstr>
    </vt:vector>
  </TitlesOfParts>
  <Company>State of North Carolina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Clayton Murphy</dc:creator>
  <cp:lastModifiedBy>Claire D. Ennis</cp:lastModifiedBy>
  <cp:lastPrinted>2017-06-30T18:22:42Z</cp:lastPrinted>
  <dcterms:created xsi:type="dcterms:W3CDTF">2007-09-03T15:01:56Z</dcterms:created>
  <dcterms:modified xsi:type="dcterms:W3CDTF">2018-06-29T20:33:48Z</dcterms:modified>
</cp:coreProperties>
</file>