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https://ncosc-my.sharepoint.com/personal/elizabeth_john_ncosc_gov/Documents/2024 ACFR_EJ/WC 2024 Pensions/GASB 75 Component Unites FY24/"/>
    </mc:Choice>
  </mc:AlternateContent>
  <xr:revisionPtr revIDLastSave="1" documentId="8_{90CC9AAB-1938-493E-9333-90FF04BEF9D7}" xr6:coauthVersionLast="47" xr6:coauthVersionMax="47" xr10:uidLastSave="{681BB78A-86BF-4486-ABBB-1625EB37950B}"/>
  <bookViews>
    <workbookView xWindow="28692" yWindow="-108" windowWidth="29016" windowHeight="15696" tabRatio="824" activeTab="2" xr2:uid="{00000000-000D-0000-FFFF-FFFF00000000}"/>
  </bookViews>
  <sheets>
    <sheet name="Info" sheetId="5" r:id="rId1"/>
    <sheet name="Detail" sheetId="1" r:id="rId2"/>
    <sheet name="Summary" sheetId="2" r:id="rId3"/>
    <sheet name="Disclosures" sheetId="3" r:id="rId4"/>
    <sheet name="Data" sheetId="4" state="hidden" r:id="rId5"/>
    <sheet name="ER Contributions" sheetId="6" state="hidden" r:id="rId6"/>
    <sheet name="75 - Summary Exhibit" sheetId="9" state="hidden" r:id="rId7"/>
    <sheet name="75- Deferred Amortization" sheetId="10" state="hidden" r:id="rId8"/>
    <sheet name="NOPEB asset change" sheetId="11" state="hidden" r:id="rId9"/>
  </sheets>
  <definedNames>
    <definedName name="_xlnm.Print_Area" localSheetId="6">'75 - Summary Exhibit'!$A$1:$N$3</definedName>
    <definedName name="_xlnm.Print_Area" localSheetId="7">'75- Deferred Amortization'!$A$1:$H$300</definedName>
    <definedName name="_xlnm.Print_Area" localSheetId="4">Data!$A$1:$AK$88</definedName>
    <definedName name="_xlnm.Print_Area" localSheetId="1">Detail!$A$1:$G$65</definedName>
    <definedName name="_xlnm.Print_Area" localSheetId="3">Disclosures!$A$6:$J$76</definedName>
    <definedName name="_xlnm.Print_Area" localSheetId="5">'ER Contributions'!$A$1:$D$296</definedName>
    <definedName name="_xlnm.Print_Area" localSheetId="2">Summary!$A$1:$I$22</definedName>
    <definedName name="_xlnm.Print_Titles" localSheetId="7">'75- Deferred Amortization'!$2:$3</definedName>
    <definedName name="_xlnm.Print_Titles" localSheetId="4">Data!$2:$3</definedName>
    <definedName name="_xlnm.Print_Titles" localSheetId="3">Disclosures!$1:$4</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5" i="4" l="1"/>
  <c r="AB6" i="4"/>
  <c r="AB7"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B72" i="4"/>
  <c r="AB73" i="4"/>
  <c r="AB74" i="4"/>
  <c r="AB75" i="4"/>
  <c r="AB76" i="4"/>
  <c r="AB77" i="4"/>
  <c r="AB78" i="4"/>
  <c r="AB79" i="4"/>
  <c r="AB80" i="4"/>
  <c r="AB81" i="4"/>
  <c r="AB82" i="4"/>
  <c r="AB83" i="4"/>
  <c r="AB84" i="4"/>
  <c r="AB85" i="4"/>
  <c r="AB86" i="4"/>
  <c r="AB87" i="4"/>
  <c r="AB88" i="4"/>
  <c r="AB4" i="4"/>
  <c r="C81" i="4"/>
  <c r="Y81" i="4" s="1"/>
  <c r="D296" i="6" l="1"/>
  <c r="C296" i="6"/>
  <c r="H300" i="10" l="1"/>
  <c r="F28" i="1" l="1"/>
  <c r="E27" i="1" s="1"/>
  <c r="E26" i="1"/>
  <c r="F29" i="1" s="1"/>
  <c r="E30" i="1" l="1"/>
  <c r="F30" i="1"/>
  <c r="V5" i="4" l="1"/>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2" i="4"/>
  <c r="V53" i="4"/>
  <c r="V54" i="4"/>
  <c r="V55" i="4"/>
  <c r="V56" i="4"/>
  <c r="V57" i="4"/>
  <c r="V58" i="4"/>
  <c r="V59" i="4"/>
  <c r="V60" i="4"/>
  <c r="V61" i="4"/>
  <c r="V62" i="4"/>
  <c r="V63" i="4"/>
  <c r="V64" i="4"/>
  <c r="V65" i="4"/>
  <c r="V66" i="4"/>
  <c r="V67" i="4"/>
  <c r="V68" i="4"/>
  <c r="V69" i="4"/>
  <c r="V70" i="4"/>
  <c r="V71" i="4"/>
  <c r="V72" i="4"/>
  <c r="V73" i="4"/>
  <c r="V74" i="4"/>
  <c r="V75" i="4"/>
  <c r="V76" i="4"/>
  <c r="V77" i="4"/>
  <c r="V78" i="4"/>
  <c r="V79" i="4"/>
  <c r="V80" i="4"/>
  <c r="V81" i="4"/>
  <c r="V82" i="4"/>
  <c r="V83" i="4"/>
  <c r="V84" i="4"/>
  <c r="V85" i="4"/>
  <c r="V4" i="4"/>
  <c r="U5" i="4"/>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4" i="4"/>
  <c r="T5" i="4"/>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4" i="4"/>
  <c r="S5" i="4"/>
  <c r="S6"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3" i="4"/>
  <c r="S54" i="4"/>
  <c r="S55" i="4"/>
  <c r="S56" i="4"/>
  <c r="S57" i="4"/>
  <c r="S58" i="4"/>
  <c r="S59" i="4"/>
  <c r="S60" i="4"/>
  <c r="S61" i="4"/>
  <c r="S62" i="4"/>
  <c r="S63" i="4"/>
  <c r="S64" i="4"/>
  <c r="S65" i="4"/>
  <c r="S66" i="4"/>
  <c r="S67" i="4"/>
  <c r="S68" i="4"/>
  <c r="S69" i="4"/>
  <c r="S70" i="4"/>
  <c r="S71" i="4"/>
  <c r="S72" i="4"/>
  <c r="S73" i="4"/>
  <c r="S74" i="4"/>
  <c r="S75" i="4"/>
  <c r="S76" i="4"/>
  <c r="S77" i="4"/>
  <c r="S78" i="4"/>
  <c r="S79" i="4"/>
  <c r="S80" i="4"/>
  <c r="S81" i="4"/>
  <c r="S82" i="4"/>
  <c r="S83" i="4"/>
  <c r="S84" i="4"/>
  <c r="S85" i="4"/>
  <c r="S4" i="4"/>
  <c r="R5" i="4"/>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Q81" i="4"/>
  <c r="Q82" i="4"/>
  <c r="Q83" i="4"/>
  <c r="Q84" i="4"/>
  <c r="Q85" i="4"/>
  <c r="Q6" i="4"/>
  <c r="Q7" i="4"/>
  <c r="Q8" i="4"/>
  <c r="Q9" i="4"/>
  <c r="Q10" i="4"/>
  <c r="Q11" i="4"/>
  <c r="Q12" i="4"/>
  <c r="Q13" i="4"/>
  <c r="Q14" i="4"/>
  <c r="Q15" i="4"/>
  <c r="Q16" i="4"/>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5" i="4"/>
  <c r="R4" i="4"/>
  <c r="Q4" i="4"/>
  <c r="V88" i="4" l="1"/>
  <c r="V87" i="4"/>
  <c r="V86" i="4"/>
  <c r="E4" i="4" l="1"/>
  <c r="AS4" i="4" s="1"/>
  <c r="AV4" i="4" s="1"/>
  <c r="E5" i="4"/>
  <c r="AS5" i="4" s="1"/>
  <c r="AV5" i="4" s="1"/>
  <c r="E6" i="4"/>
  <c r="AS6" i="4" s="1"/>
  <c r="AV6" i="4" s="1"/>
  <c r="E7" i="4"/>
  <c r="AS7" i="4" s="1"/>
  <c r="AV7" i="4" s="1"/>
  <c r="E8" i="4"/>
  <c r="AS8" i="4" s="1"/>
  <c r="AV8" i="4" s="1"/>
  <c r="E9" i="4"/>
  <c r="AS9" i="4" s="1"/>
  <c r="AV9" i="4" s="1"/>
  <c r="E10" i="4"/>
  <c r="AS10" i="4" s="1"/>
  <c r="AV10" i="4" s="1"/>
  <c r="E11" i="4"/>
  <c r="AS11" i="4" s="1"/>
  <c r="AV11" i="4" s="1"/>
  <c r="E12" i="4"/>
  <c r="AS12" i="4" s="1"/>
  <c r="AV12" i="4" s="1"/>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7" i="4" l="1"/>
  <c r="AS79" i="4"/>
  <c r="AV79" i="4" s="1"/>
  <c r="AS71" i="4"/>
  <c r="AV71" i="4" s="1"/>
  <c r="AS63" i="4"/>
  <c r="AV63" i="4" s="1"/>
  <c r="AS55" i="4"/>
  <c r="AV55" i="4" s="1"/>
  <c r="AS47" i="4"/>
  <c r="AV47" i="4" s="1"/>
  <c r="AS35" i="4"/>
  <c r="AV35" i="4" s="1"/>
  <c r="AS27" i="4"/>
  <c r="AV27" i="4" s="1"/>
  <c r="AS19" i="4"/>
  <c r="AV19" i="4" s="1"/>
  <c r="AS82" i="4"/>
  <c r="AV82" i="4" s="1"/>
  <c r="AS78" i="4"/>
  <c r="AV78" i="4" s="1"/>
  <c r="AS74" i="4"/>
  <c r="AV74" i="4" s="1"/>
  <c r="AS70" i="4"/>
  <c r="AV70" i="4" s="1"/>
  <c r="AS66" i="4"/>
  <c r="AV66" i="4" s="1"/>
  <c r="AS62" i="4"/>
  <c r="AV62" i="4" s="1"/>
  <c r="AS58" i="4"/>
  <c r="AV58" i="4" s="1"/>
  <c r="AS54" i="4"/>
  <c r="AV54" i="4" s="1"/>
  <c r="AS50" i="4"/>
  <c r="AV50" i="4" s="1"/>
  <c r="AS46" i="4"/>
  <c r="AV46" i="4" s="1"/>
  <c r="AS42" i="4"/>
  <c r="AV42" i="4" s="1"/>
  <c r="AS38" i="4"/>
  <c r="AV38" i="4" s="1"/>
  <c r="AS34" i="4"/>
  <c r="AV34" i="4" s="1"/>
  <c r="AS30" i="4"/>
  <c r="AV30" i="4" s="1"/>
  <c r="AS26" i="4"/>
  <c r="AV26" i="4" s="1"/>
  <c r="AS22" i="4"/>
  <c r="AV22" i="4" s="1"/>
  <c r="AS18" i="4"/>
  <c r="AV18" i="4" s="1"/>
  <c r="AS14" i="4"/>
  <c r="AV14" i="4" s="1"/>
  <c r="E88" i="4"/>
  <c r="AS88" i="4" s="1"/>
  <c r="AV88" i="4" s="1"/>
  <c r="AS83" i="4"/>
  <c r="AV83" i="4" s="1"/>
  <c r="AS75" i="4"/>
  <c r="AV75" i="4" s="1"/>
  <c r="AS67" i="4"/>
  <c r="AV67" i="4" s="1"/>
  <c r="AS59" i="4"/>
  <c r="AV59" i="4" s="1"/>
  <c r="AS51" i="4"/>
  <c r="AV51" i="4" s="1"/>
  <c r="AS43" i="4"/>
  <c r="AV43" i="4" s="1"/>
  <c r="AS39" i="4"/>
  <c r="AV39" i="4" s="1"/>
  <c r="AS31" i="4"/>
  <c r="AV31" i="4" s="1"/>
  <c r="AS23" i="4"/>
  <c r="AV23" i="4" s="1"/>
  <c r="AS15" i="4"/>
  <c r="AV15" i="4" s="1"/>
  <c r="E86" i="4"/>
  <c r="AS86" i="4" s="1"/>
  <c r="AV86" i="4" s="1"/>
  <c r="AS85" i="4"/>
  <c r="AV85" i="4" s="1"/>
  <c r="AS81" i="4"/>
  <c r="AV81" i="4" s="1"/>
  <c r="AS77" i="4"/>
  <c r="AV77" i="4" s="1"/>
  <c r="AS73" i="4"/>
  <c r="AV73" i="4" s="1"/>
  <c r="AS69" i="4"/>
  <c r="AV69" i="4" s="1"/>
  <c r="AS65" i="4"/>
  <c r="AV65" i="4" s="1"/>
  <c r="AS61" i="4"/>
  <c r="AV61" i="4" s="1"/>
  <c r="AS57" i="4"/>
  <c r="AV57" i="4" s="1"/>
  <c r="AS53" i="4"/>
  <c r="AV53" i="4" s="1"/>
  <c r="AS49" i="4"/>
  <c r="AV49" i="4" s="1"/>
  <c r="AS45" i="4"/>
  <c r="AV45" i="4" s="1"/>
  <c r="AS41" i="4"/>
  <c r="AV41" i="4" s="1"/>
  <c r="AS37" i="4"/>
  <c r="AV37" i="4" s="1"/>
  <c r="AS33" i="4"/>
  <c r="AV33" i="4" s="1"/>
  <c r="AS29" i="4"/>
  <c r="AV29" i="4" s="1"/>
  <c r="AS25" i="4"/>
  <c r="AV25" i="4" s="1"/>
  <c r="AS21" i="4"/>
  <c r="AV21" i="4" s="1"/>
  <c r="AS17" i="4"/>
  <c r="AV17" i="4" s="1"/>
  <c r="AS13" i="4"/>
  <c r="AV13" i="4" s="1"/>
  <c r="AS84" i="4"/>
  <c r="AV84" i="4" s="1"/>
  <c r="AS80" i="4"/>
  <c r="AV80" i="4" s="1"/>
  <c r="AS76" i="4"/>
  <c r="AV76" i="4" s="1"/>
  <c r="AS72" i="4"/>
  <c r="AV72" i="4" s="1"/>
  <c r="AS68" i="4"/>
  <c r="AV68" i="4" s="1"/>
  <c r="AS64" i="4"/>
  <c r="AV64" i="4" s="1"/>
  <c r="AS60" i="4"/>
  <c r="AV60" i="4" s="1"/>
  <c r="AS56" i="4"/>
  <c r="AV56" i="4" s="1"/>
  <c r="AS52" i="4"/>
  <c r="AV52" i="4" s="1"/>
  <c r="AS48" i="4"/>
  <c r="AV48" i="4" s="1"/>
  <c r="AS44" i="4"/>
  <c r="AV44" i="4" s="1"/>
  <c r="AS40" i="4"/>
  <c r="AV40" i="4" s="1"/>
  <c r="AS36" i="4"/>
  <c r="AV36" i="4" s="1"/>
  <c r="AS32" i="4"/>
  <c r="AV32" i="4" s="1"/>
  <c r="AS28" i="4"/>
  <c r="AV28" i="4" s="1"/>
  <c r="AS24" i="4"/>
  <c r="AV24" i="4" s="1"/>
  <c r="AS20" i="4"/>
  <c r="AV20" i="4" s="1"/>
  <c r="AS16" i="4"/>
  <c r="AV16" i="4" s="1"/>
  <c r="AS87" i="4" l="1"/>
  <c r="AV87" i="4" s="1"/>
  <c r="D300" i="10" l="1"/>
  <c r="E300" i="10"/>
  <c r="F300" i="10"/>
  <c r="G300" i="10"/>
  <c r="C300" i="10"/>
  <c r="C302" i="10" s="1"/>
  <c r="N300" i="9" l="1"/>
  <c r="N302" i="9" s="1"/>
  <c r="M300" i="9"/>
  <c r="M302" i="9" s="1"/>
  <c r="L300" i="9"/>
  <c r="L302" i="9" s="1"/>
  <c r="K300" i="9"/>
  <c r="K302" i="9" s="1"/>
  <c r="J300" i="9"/>
  <c r="J302" i="9" s="1"/>
  <c r="I300" i="9"/>
  <c r="I302" i="9" s="1"/>
  <c r="H300" i="9"/>
  <c r="H302" i="9" s="1"/>
  <c r="G300" i="9"/>
  <c r="G302" i="9" s="1"/>
  <c r="F300" i="9"/>
  <c r="F302" i="9" s="1"/>
  <c r="E300" i="9"/>
  <c r="E302" i="9" s="1"/>
  <c r="D300" i="9"/>
  <c r="D302" i="9" s="1"/>
  <c r="C300" i="9"/>
  <c r="C302" i="9" s="1"/>
  <c r="H60" i="1" l="1"/>
  <c r="O81" i="4" l="1"/>
  <c r="O82" i="4"/>
  <c r="O83" i="4"/>
  <c r="O84" i="4"/>
  <c r="O85" i="4"/>
  <c r="D81" i="4"/>
  <c r="F81" i="4"/>
  <c r="G81" i="4"/>
  <c r="AT81" i="4" s="1"/>
  <c r="H81" i="4"/>
  <c r="AQ81" i="4" s="1"/>
  <c r="I81" i="4"/>
  <c r="J81" i="4"/>
  <c r="AP81" i="4" s="1"/>
  <c r="K81" i="4"/>
  <c r="AU81" i="4" s="1"/>
  <c r="L81" i="4"/>
  <c r="AR81" i="4" s="1"/>
  <c r="M81" i="4"/>
  <c r="N81" i="4"/>
  <c r="C82" i="4"/>
  <c r="D82" i="4"/>
  <c r="F82" i="4"/>
  <c r="G82" i="4"/>
  <c r="AT82" i="4" s="1"/>
  <c r="H82" i="4"/>
  <c r="AQ82" i="4" s="1"/>
  <c r="I82" i="4"/>
  <c r="J82" i="4"/>
  <c r="AP82" i="4" s="1"/>
  <c r="K82" i="4"/>
  <c r="AU82" i="4" s="1"/>
  <c r="L82" i="4"/>
  <c r="AR82" i="4" s="1"/>
  <c r="M82" i="4"/>
  <c r="N82" i="4"/>
  <c r="C83" i="4"/>
  <c r="D83" i="4"/>
  <c r="F83" i="4"/>
  <c r="G83" i="4"/>
  <c r="AT83" i="4" s="1"/>
  <c r="H83" i="4"/>
  <c r="AQ83" i="4" s="1"/>
  <c r="I83" i="4"/>
  <c r="J83" i="4"/>
  <c r="AP83" i="4" s="1"/>
  <c r="K83" i="4"/>
  <c r="AU83" i="4" s="1"/>
  <c r="L83" i="4"/>
  <c r="AR83" i="4" s="1"/>
  <c r="M83" i="4"/>
  <c r="N83" i="4"/>
  <c r="C84" i="4"/>
  <c r="D84" i="4"/>
  <c r="F84" i="4"/>
  <c r="G84" i="4"/>
  <c r="AT84" i="4" s="1"/>
  <c r="H84" i="4"/>
  <c r="AQ84" i="4" s="1"/>
  <c r="I84" i="4"/>
  <c r="J84" i="4"/>
  <c r="AP84" i="4" s="1"/>
  <c r="K84" i="4"/>
  <c r="AU84" i="4" s="1"/>
  <c r="L84" i="4"/>
  <c r="AR84" i="4" s="1"/>
  <c r="M84" i="4"/>
  <c r="N84" i="4"/>
  <c r="C85" i="4"/>
  <c r="D85" i="4"/>
  <c r="F85" i="4"/>
  <c r="G85" i="4"/>
  <c r="AT85" i="4" s="1"/>
  <c r="H85" i="4"/>
  <c r="AQ85" i="4" s="1"/>
  <c r="I85" i="4"/>
  <c r="J85" i="4"/>
  <c r="AP85" i="4" s="1"/>
  <c r="K85" i="4"/>
  <c r="AU85" i="4" s="1"/>
  <c r="L85" i="4"/>
  <c r="AR85" i="4" s="1"/>
  <c r="M85" i="4"/>
  <c r="N85" i="4"/>
  <c r="P85" i="4" l="1"/>
  <c r="Y85" i="4" s="1"/>
  <c r="P81" i="4"/>
  <c r="AO85" i="4"/>
  <c r="Z85" i="4"/>
  <c r="AO81" i="4"/>
  <c r="Z81" i="4"/>
  <c r="AO82" i="4"/>
  <c r="Z82" i="4"/>
  <c r="AO83" i="4"/>
  <c r="Z83" i="4"/>
  <c r="AO84" i="4"/>
  <c r="Z84" i="4"/>
  <c r="P84" i="4"/>
  <c r="Y84" i="4" s="1"/>
  <c r="P83" i="4"/>
  <c r="Y83" i="4" s="1"/>
  <c r="P82" i="4"/>
  <c r="Y82" i="4" s="1"/>
  <c r="D25" i="3" l="1"/>
  <c r="B10" i="5" l="1"/>
  <c r="C6" i="2" l="1"/>
  <c r="C5" i="1"/>
  <c r="C9" i="2"/>
  <c r="C34" i="1"/>
  <c r="C46" i="1"/>
  <c r="C15" i="2"/>
  <c r="C29" i="1"/>
  <c r="C28" i="1"/>
  <c r="C27" i="1"/>
  <c r="C26" i="1"/>
  <c r="C53" i="1"/>
  <c r="C50" i="1"/>
  <c r="C44" i="1"/>
  <c r="C54" i="1"/>
  <c r="C38" i="1"/>
  <c r="C48" i="1"/>
  <c r="C41" i="1"/>
  <c r="C36" i="1"/>
  <c r="C14" i="2"/>
  <c r="C74" i="4"/>
  <c r="D74" i="4"/>
  <c r="F74" i="4"/>
  <c r="G74" i="4"/>
  <c r="AT74" i="4" s="1"/>
  <c r="H74" i="4"/>
  <c r="AQ74" i="4" s="1"/>
  <c r="I74" i="4"/>
  <c r="AM74" i="4" s="1"/>
  <c r="J74" i="4"/>
  <c r="AP74" i="4" s="1"/>
  <c r="K74" i="4"/>
  <c r="AU74" i="4" s="1"/>
  <c r="L74" i="4"/>
  <c r="AR74" i="4" s="1"/>
  <c r="M74" i="4"/>
  <c r="AN74" i="4" s="1"/>
  <c r="N74" i="4"/>
  <c r="O74" i="4"/>
  <c r="C75" i="4"/>
  <c r="D75" i="4"/>
  <c r="F75" i="4"/>
  <c r="G75" i="4"/>
  <c r="AT75" i="4" s="1"/>
  <c r="H75" i="4"/>
  <c r="AQ75" i="4" s="1"/>
  <c r="I75" i="4"/>
  <c r="AM75" i="4" s="1"/>
  <c r="J75" i="4"/>
  <c r="AP75" i="4" s="1"/>
  <c r="K75" i="4"/>
  <c r="AU75" i="4" s="1"/>
  <c r="L75" i="4"/>
  <c r="AR75" i="4" s="1"/>
  <c r="M75" i="4"/>
  <c r="AN75" i="4" s="1"/>
  <c r="N75" i="4"/>
  <c r="O75" i="4"/>
  <c r="C76" i="4"/>
  <c r="D76" i="4"/>
  <c r="F76" i="4"/>
  <c r="G76" i="4"/>
  <c r="AT76" i="4" s="1"/>
  <c r="H76" i="4"/>
  <c r="AQ76" i="4" s="1"/>
  <c r="I76" i="4"/>
  <c r="AM76" i="4" s="1"/>
  <c r="J76" i="4"/>
  <c r="AP76" i="4" s="1"/>
  <c r="K76" i="4"/>
  <c r="AU76" i="4" s="1"/>
  <c r="L76" i="4"/>
  <c r="AR76" i="4" s="1"/>
  <c r="M76" i="4"/>
  <c r="AN76" i="4" s="1"/>
  <c r="N76" i="4"/>
  <c r="O76" i="4"/>
  <c r="C77" i="4"/>
  <c r="D77" i="4"/>
  <c r="F77" i="4"/>
  <c r="G77" i="4"/>
  <c r="AT77" i="4" s="1"/>
  <c r="H77" i="4"/>
  <c r="AQ77" i="4" s="1"/>
  <c r="I77" i="4"/>
  <c r="AM77" i="4" s="1"/>
  <c r="J77" i="4"/>
  <c r="AP77" i="4" s="1"/>
  <c r="K77" i="4"/>
  <c r="AU77" i="4" s="1"/>
  <c r="L77" i="4"/>
  <c r="AR77" i="4" s="1"/>
  <c r="M77" i="4"/>
  <c r="AN77" i="4" s="1"/>
  <c r="N77" i="4"/>
  <c r="O77" i="4"/>
  <c r="C78" i="4"/>
  <c r="D78" i="4"/>
  <c r="F78" i="4"/>
  <c r="G78" i="4"/>
  <c r="AT78" i="4" s="1"/>
  <c r="H78" i="4"/>
  <c r="AQ78" i="4" s="1"/>
  <c r="I78" i="4"/>
  <c r="AM78" i="4" s="1"/>
  <c r="J78" i="4"/>
  <c r="AP78" i="4" s="1"/>
  <c r="K78" i="4"/>
  <c r="AU78" i="4" s="1"/>
  <c r="L78" i="4"/>
  <c r="AR78" i="4" s="1"/>
  <c r="M78" i="4"/>
  <c r="AN78" i="4" s="1"/>
  <c r="N78" i="4"/>
  <c r="O78" i="4"/>
  <c r="C79" i="4"/>
  <c r="D79" i="4"/>
  <c r="F79" i="4"/>
  <c r="G79" i="4"/>
  <c r="AT79" i="4" s="1"/>
  <c r="H79" i="4"/>
  <c r="AQ79" i="4" s="1"/>
  <c r="I79" i="4"/>
  <c r="AM79" i="4" s="1"/>
  <c r="J79" i="4"/>
  <c r="AP79" i="4" s="1"/>
  <c r="K79" i="4"/>
  <c r="AU79" i="4" s="1"/>
  <c r="L79" i="4"/>
  <c r="AR79" i="4" s="1"/>
  <c r="M79" i="4"/>
  <c r="AN79" i="4" s="1"/>
  <c r="N79" i="4"/>
  <c r="O79" i="4"/>
  <c r="C80" i="4"/>
  <c r="D80" i="4"/>
  <c r="F80" i="4"/>
  <c r="G80" i="4"/>
  <c r="AT80" i="4" s="1"/>
  <c r="H80" i="4"/>
  <c r="AQ80" i="4" s="1"/>
  <c r="I80" i="4"/>
  <c r="AM80" i="4" s="1"/>
  <c r="J80" i="4"/>
  <c r="AP80" i="4" s="1"/>
  <c r="K80" i="4"/>
  <c r="AU80" i="4" s="1"/>
  <c r="L80" i="4"/>
  <c r="AR80" i="4" s="1"/>
  <c r="M80" i="4"/>
  <c r="AN80" i="4" s="1"/>
  <c r="N80" i="4"/>
  <c r="O80" i="4"/>
  <c r="C53" i="4"/>
  <c r="D53" i="4"/>
  <c r="F53" i="4"/>
  <c r="G53" i="4"/>
  <c r="AT53" i="4" s="1"/>
  <c r="H53" i="4"/>
  <c r="AQ53" i="4" s="1"/>
  <c r="I53" i="4"/>
  <c r="AM53" i="4" s="1"/>
  <c r="J53" i="4"/>
  <c r="AP53" i="4" s="1"/>
  <c r="K53" i="4"/>
  <c r="AU53" i="4" s="1"/>
  <c r="L53" i="4"/>
  <c r="AR53" i="4" s="1"/>
  <c r="M53" i="4"/>
  <c r="AN53" i="4" s="1"/>
  <c r="N53" i="4"/>
  <c r="O53" i="4"/>
  <c r="C54" i="4"/>
  <c r="D54" i="4"/>
  <c r="F54" i="4"/>
  <c r="G54" i="4"/>
  <c r="AT54" i="4" s="1"/>
  <c r="H54" i="4"/>
  <c r="AQ54" i="4" s="1"/>
  <c r="I54" i="4"/>
  <c r="AM54" i="4" s="1"/>
  <c r="J54" i="4"/>
  <c r="AP54" i="4" s="1"/>
  <c r="K54" i="4"/>
  <c r="AU54" i="4" s="1"/>
  <c r="L54" i="4"/>
  <c r="AR54" i="4" s="1"/>
  <c r="M54" i="4"/>
  <c r="AN54" i="4" s="1"/>
  <c r="N54" i="4"/>
  <c r="O54" i="4"/>
  <c r="C55" i="4"/>
  <c r="D55" i="4"/>
  <c r="F55" i="4"/>
  <c r="G55" i="4"/>
  <c r="AT55" i="4" s="1"/>
  <c r="H55" i="4"/>
  <c r="AQ55" i="4" s="1"/>
  <c r="I55" i="4"/>
  <c r="AM55" i="4" s="1"/>
  <c r="J55" i="4"/>
  <c r="AP55" i="4" s="1"/>
  <c r="K55" i="4"/>
  <c r="AU55" i="4" s="1"/>
  <c r="L55" i="4"/>
  <c r="AR55" i="4" s="1"/>
  <c r="M55" i="4"/>
  <c r="AN55" i="4" s="1"/>
  <c r="N55" i="4"/>
  <c r="O55" i="4"/>
  <c r="C56" i="4"/>
  <c r="D56" i="4"/>
  <c r="F56" i="4"/>
  <c r="G56" i="4"/>
  <c r="AT56" i="4" s="1"/>
  <c r="H56" i="4"/>
  <c r="AQ56" i="4" s="1"/>
  <c r="I56" i="4"/>
  <c r="AM56" i="4" s="1"/>
  <c r="J56" i="4"/>
  <c r="AP56" i="4" s="1"/>
  <c r="K56" i="4"/>
  <c r="AU56" i="4" s="1"/>
  <c r="L56" i="4"/>
  <c r="AR56" i="4" s="1"/>
  <c r="M56" i="4"/>
  <c r="AN56" i="4" s="1"/>
  <c r="N56" i="4"/>
  <c r="O56" i="4"/>
  <c r="C57" i="4"/>
  <c r="D57" i="4"/>
  <c r="F57" i="4"/>
  <c r="G57" i="4"/>
  <c r="AT57" i="4" s="1"/>
  <c r="H57" i="4"/>
  <c r="AQ57" i="4" s="1"/>
  <c r="I57" i="4"/>
  <c r="AM57" i="4" s="1"/>
  <c r="J57" i="4"/>
  <c r="AP57" i="4" s="1"/>
  <c r="K57" i="4"/>
  <c r="AU57" i="4" s="1"/>
  <c r="L57" i="4"/>
  <c r="AR57" i="4" s="1"/>
  <c r="M57" i="4"/>
  <c r="AN57" i="4" s="1"/>
  <c r="N57" i="4"/>
  <c r="O57" i="4"/>
  <c r="C58" i="4"/>
  <c r="D58" i="4"/>
  <c r="F58" i="4"/>
  <c r="G58" i="4"/>
  <c r="AT58" i="4" s="1"/>
  <c r="H58" i="4"/>
  <c r="AQ58" i="4" s="1"/>
  <c r="I58" i="4"/>
  <c r="AM58" i="4" s="1"/>
  <c r="J58" i="4"/>
  <c r="AP58" i="4" s="1"/>
  <c r="K58" i="4"/>
  <c r="AU58" i="4" s="1"/>
  <c r="L58" i="4"/>
  <c r="AR58" i="4" s="1"/>
  <c r="M58" i="4"/>
  <c r="AN58" i="4" s="1"/>
  <c r="N58" i="4"/>
  <c r="O58" i="4"/>
  <c r="C59" i="4"/>
  <c r="D59" i="4"/>
  <c r="F59" i="4"/>
  <c r="G59" i="4"/>
  <c r="AT59" i="4" s="1"/>
  <c r="H59" i="4"/>
  <c r="AQ59" i="4" s="1"/>
  <c r="I59" i="4"/>
  <c r="AM59" i="4" s="1"/>
  <c r="J59" i="4"/>
  <c r="AP59" i="4" s="1"/>
  <c r="K59" i="4"/>
  <c r="AU59" i="4" s="1"/>
  <c r="L59" i="4"/>
  <c r="AR59" i="4" s="1"/>
  <c r="M59" i="4"/>
  <c r="AN59" i="4" s="1"/>
  <c r="N59" i="4"/>
  <c r="O59" i="4"/>
  <c r="C60" i="4"/>
  <c r="D60" i="4"/>
  <c r="F60" i="4"/>
  <c r="G60" i="4"/>
  <c r="AT60" i="4" s="1"/>
  <c r="H60" i="4"/>
  <c r="AQ60" i="4" s="1"/>
  <c r="I60" i="4"/>
  <c r="AM60" i="4" s="1"/>
  <c r="J60" i="4"/>
  <c r="AP60" i="4" s="1"/>
  <c r="K60" i="4"/>
  <c r="AU60" i="4" s="1"/>
  <c r="L60" i="4"/>
  <c r="AR60" i="4" s="1"/>
  <c r="M60" i="4"/>
  <c r="AN60" i="4" s="1"/>
  <c r="N60" i="4"/>
  <c r="O60" i="4"/>
  <c r="C61" i="4"/>
  <c r="D61" i="4"/>
  <c r="F61" i="4"/>
  <c r="G61" i="4"/>
  <c r="AT61" i="4" s="1"/>
  <c r="H61" i="4"/>
  <c r="AQ61" i="4" s="1"/>
  <c r="I61" i="4"/>
  <c r="AM61" i="4" s="1"/>
  <c r="J61" i="4"/>
  <c r="AP61" i="4" s="1"/>
  <c r="K61" i="4"/>
  <c r="AU61" i="4" s="1"/>
  <c r="L61" i="4"/>
  <c r="AR61" i="4" s="1"/>
  <c r="M61" i="4"/>
  <c r="AN61" i="4" s="1"/>
  <c r="N61" i="4"/>
  <c r="O61" i="4"/>
  <c r="C62" i="4"/>
  <c r="D62" i="4"/>
  <c r="F62" i="4"/>
  <c r="G62" i="4"/>
  <c r="AT62" i="4" s="1"/>
  <c r="H62" i="4"/>
  <c r="AQ62" i="4" s="1"/>
  <c r="I62" i="4"/>
  <c r="AM62" i="4" s="1"/>
  <c r="J62" i="4"/>
  <c r="AP62" i="4" s="1"/>
  <c r="K62" i="4"/>
  <c r="AU62" i="4" s="1"/>
  <c r="L62" i="4"/>
  <c r="AR62" i="4" s="1"/>
  <c r="M62" i="4"/>
  <c r="AN62" i="4" s="1"/>
  <c r="N62" i="4"/>
  <c r="O62" i="4"/>
  <c r="C63" i="4"/>
  <c r="D63" i="4"/>
  <c r="F63" i="4"/>
  <c r="G63" i="4"/>
  <c r="AT63" i="4" s="1"/>
  <c r="H63" i="4"/>
  <c r="AQ63" i="4" s="1"/>
  <c r="I63" i="4"/>
  <c r="AM63" i="4" s="1"/>
  <c r="J63" i="4"/>
  <c r="AP63" i="4" s="1"/>
  <c r="K63" i="4"/>
  <c r="AU63" i="4" s="1"/>
  <c r="L63" i="4"/>
  <c r="AR63" i="4" s="1"/>
  <c r="M63" i="4"/>
  <c r="AN63" i="4" s="1"/>
  <c r="N63" i="4"/>
  <c r="O63" i="4"/>
  <c r="C64" i="4"/>
  <c r="D64" i="4"/>
  <c r="F64" i="4"/>
  <c r="G64" i="4"/>
  <c r="AT64" i="4" s="1"/>
  <c r="H64" i="4"/>
  <c r="AQ64" i="4" s="1"/>
  <c r="I64" i="4"/>
  <c r="AM64" i="4" s="1"/>
  <c r="J64" i="4"/>
  <c r="AP64" i="4" s="1"/>
  <c r="K64" i="4"/>
  <c r="AU64" i="4" s="1"/>
  <c r="L64" i="4"/>
  <c r="AR64" i="4" s="1"/>
  <c r="M64" i="4"/>
  <c r="AN64" i="4" s="1"/>
  <c r="N64" i="4"/>
  <c r="O64" i="4"/>
  <c r="C65" i="4"/>
  <c r="D65" i="4"/>
  <c r="F65" i="4"/>
  <c r="G65" i="4"/>
  <c r="AT65" i="4" s="1"/>
  <c r="H65" i="4"/>
  <c r="AQ65" i="4" s="1"/>
  <c r="I65" i="4"/>
  <c r="AM65" i="4" s="1"/>
  <c r="J65" i="4"/>
  <c r="AP65" i="4" s="1"/>
  <c r="K65" i="4"/>
  <c r="AU65" i="4" s="1"/>
  <c r="L65" i="4"/>
  <c r="AR65" i="4" s="1"/>
  <c r="M65" i="4"/>
  <c r="AN65" i="4" s="1"/>
  <c r="N65" i="4"/>
  <c r="O65" i="4"/>
  <c r="C66" i="4"/>
  <c r="D66" i="4"/>
  <c r="F66" i="4"/>
  <c r="G66" i="4"/>
  <c r="AT66" i="4" s="1"/>
  <c r="H66" i="4"/>
  <c r="AQ66" i="4" s="1"/>
  <c r="I66" i="4"/>
  <c r="AM66" i="4" s="1"/>
  <c r="J66" i="4"/>
  <c r="AP66" i="4" s="1"/>
  <c r="K66" i="4"/>
  <c r="AU66" i="4" s="1"/>
  <c r="L66" i="4"/>
  <c r="AR66" i="4" s="1"/>
  <c r="M66" i="4"/>
  <c r="AN66" i="4" s="1"/>
  <c r="N66" i="4"/>
  <c r="O66" i="4"/>
  <c r="C67" i="4"/>
  <c r="D67" i="4"/>
  <c r="F67" i="4"/>
  <c r="G67" i="4"/>
  <c r="AT67" i="4" s="1"/>
  <c r="H67" i="4"/>
  <c r="AQ67" i="4" s="1"/>
  <c r="I67" i="4"/>
  <c r="AM67" i="4" s="1"/>
  <c r="J67" i="4"/>
  <c r="AP67" i="4" s="1"/>
  <c r="K67" i="4"/>
  <c r="AU67" i="4" s="1"/>
  <c r="L67" i="4"/>
  <c r="AR67" i="4" s="1"/>
  <c r="M67" i="4"/>
  <c r="AN67" i="4" s="1"/>
  <c r="N67" i="4"/>
  <c r="O67" i="4"/>
  <c r="C68" i="4"/>
  <c r="D68" i="4"/>
  <c r="F68" i="4"/>
  <c r="G68" i="4"/>
  <c r="AT68" i="4" s="1"/>
  <c r="H68" i="4"/>
  <c r="AQ68" i="4" s="1"/>
  <c r="I68" i="4"/>
  <c r="AM68" i="4" s="1"/>
  <c r="J68" i="4"/>
  <c r="AP68" i="4" s="1"/>
  <c r="K68" i="4"/>
  <c r="AU68" i="4" s="1"/>
  <c r="L68" i="4"/>
  <c r="AR68" i="4" s="1"/>
  <c r="M68" i="4"/>
  <c r="AN68" i="4" s="1"/>
  <c r="N68" i="4"/>
  <c r="O68" i="4"/>
  <c r="C69" i="4"/>
  <c r="D69" i="4"/>
  <c r="F69" i="4"/>
  <c r="G69" i="4"/>
  <c r="AT69" i="4" s="1"/>
  <c r="H69" i="4"/>
  <c r="AQ69" i="4" s="1"/>
  <c r="I69" i="4"/>
  <c r="AM69" i="4" s="1"/>
  <c r="J69" i="4"/>
  <c r="AP69" i="4" s="1"/>
  <c r="K69" i="4"/>
  <c r="AU69" i="4" s="1"/>
  <c r="L69" i="4"/>
  <c r="AR69" i="4" s="1"/>
  <c r="M69" i="4"/>
  <c r="AN69" i="4" s="1"/>
  <c r="N69" i="4"/>
  <c r="O69" i="4"/>
  <c r="C70" i="4"/>
  <c r="D70" i="4"/>
  <c r="F70" i="4"/>
  <c r="G70" i="4"/>
  <c r="AT70" i="4" s="1"/>
  <c r="H70" i="4"/>
  <c r="AQ70" i="4" s="1"/>
  <c r="I70" i="4"/>
  <c r="AM70" i="4" s="1"/>
  <c r="J70" i="4"/>
  <c r="AP70" i="4" s="1"/>
  <c r="K70" i="4"/>
  <c r="AU70" i="4" s="1"/>
  <c r="L70" i="4"/>
  <c r="AR70" i="4" s="1"/>
  <c r="M70" i="4"/>
  <c r="AN70" i="4" s="1"/>
  <c r="N70" i="4"/>
  <c r="O70" i="4"/>
  <c r="C71" i="4"/>
  <c r="D71" i="4"/>
  <c r="F71" i="4"/>
  <c r="G71" i="4"/>
  <c r="AT71" i="4" s="1"/>
  <c r="H71" i="4"/>
  <c r="AQ71" i="4" s="1"/>
  <c r="I71" i="4"/>
  <c r="AM71" i="4" s="1"/>
  <c r="J71" i="4"/>
  <c r="AP71" i="4" s="1"/>
  <c r="K71" i="4"/>
  <c r="AU71" i="4" s="1"/>
  <c r="L71" i="4"/>
  <c r="AR71" i="4" s="1"/>
  <c r="M71" i="4"/>
  <c r="AN71" i="4" s="1"/>
  <c r="N71" i="4"/>
  <c r="O71" i="4"/>
  <c r="C72" i="4"/>
  <c r="D72" i="4"/>
  <c r="F72" i="4"/>
  <c r="G72" i="4"/>
  <c r="AT72" i="4" s="1"/>
  <c r="H72" i="4"/>
  <c r="AQ72" i="4" s="1"/>
  <c r="I72" i="4"/>
  <c r="AM72" i="4" s="1"/>
  <c r="J72" i="4"/>
  <c r="AP72" i="4" s="1"/>
  <c r="K72" i="4"/>
  <c r="AU72" i="4" s="1"/>
  <c r="L72" i="4"/>
  <c r="AR72" i="4" s="1"/>
  <c r="M72" i="4"/>
  <c r="AN72" i="4" s="1"/>
  <c r="N72" i="4"/>
  <c r="O72" i="4"/>
  <c r="C73" i="4"/>
  <c r="D73" i="4"/>
  <c r="F73" i="4"/>
  <c r="G73" i="4"/>
  <c r="AT73" i="4" s="1"/>
  <c r="H73" i="4"/>
  <c r="AQ73" i="4" s="1"/>
  <c r="I73" i="4"/>
  <c r="AM73" i="4" s="1"/>
  <c r="J73" i="4"/>
  <c r="AP73" i="4" s="1"/>
  <c r="K73" i="4"/>
  <c r="AU73" i="4" s="1"/>
  <c r="L73" i="4"/>
  <c r="AR73" i="4" s="1"/>
  <c r="M73" i="4"/>
  <c r="AN73" i="4" s="1"/>
  <c r="N73" i="4"/>
  <c r="O73" i="4"/>
  <c r="C30" i="4"/>
  <c r="D30" i="4"/>
  <c r="F30" i="4"/>
  <c r="G30" i="4"/>
  <c r="AT30" i="4" s="1"/>
  <c r="H30" i="4"/>
  <c r="AQ30" i="4" s="1"/>
  <c r="I30" i="4"/>
  <c r="AM30" i="4" s="1"/>
  <c r="J30" i="4"/>
  <c r="AP30" i="4" s="1"/>
  <c r="K30" i="4"/>
  <c r="AU30" i="4" s="1"/>
  <c r="L30" i="4"/>
  <c r="AR30" i="4" s="1"/>
  <c r="M30" i="4"/>
  <c r="AN30" i="4" s="1"/>
  <c r="N30" i="4"/>
  <c r="O30" i="4"/>
  <c r="C31" i="4"/>
  <c r="D31" i="4"/>
  <c r="F31" i="4"/>
  <c r="G31" i="4"/>
  <c r="AT31" i="4" s="1"/>
  <c r="H31" i="4"/>
  <c r="AQ31" i="4" s="1"/>
  <c r="I31" i="4"/>
  <c r="AM31" i="4" s="1"/>
  <c r="J31" i="4"/>
  <c r="AP31" i="4" s="1"/>
  <c r="K31" i="4"/>
  <c r="AU31" i="4" s="1"/>
  <c r="L31" i="4"/>
  <c r="AR31" i="4" s="1"/>
  <c r="M31" i="4"/>
  <c r="AN31" i="4" s="1"/>
  <c r="N31" i="4"/>
  <c r="O31" i="4"/>
  <c r="C32" i="4"/>
  <c r="D32" i="4"/>
  <c r="F32" i="4"/>
  <c r="G32" i="4"/>
  <c r="AT32" i="4" s="1"/>
  <c r="H32" i="4"/>
  <c r="AQ32" i="4" s="1"/>
  <c r="I32" i="4"/>
  <c r="AM32" i="4" s="1"/>
  <c r="J32" i="4"/>
  <c r="AP32" i="4" s="1"/>
  <c r="K32" i="4"/>
  <c r="AU32" i="4" s="1"/>
  <c r="L32" i="4"/>
  <c r="AR32" i="4" s="1"/>
  <c r="M32" i="4"/>
  <c r="AN32" i="4" s="1"/>
  <c r="N32" i="4"/>
  <c r="O32" i="4"/>
  <c r="C33" i="4"/>
  <c r="D33" i="4"/>
  <c r="F33" i="4"/>
  <c r="G33" i="4"/>
  <c r="AT33" i="4" s="1"/>
  <c r="H33" i="4"/>
  <c r="AQ33" i="4" s="1"/>
  <c r="I33" i="4"/>
  <c r="AM33" i="4" s="1"/>
  <c r="J33" i="4"/>
  <c r="AP33" i="4" s="1"/>
  <c r="K33" i="4"/>
  <c r="AU33" i="4" s="1"/>
  <c r="L33" i="4"/>
  <c r="AR33" i="4" s="1"/>
  <c r="M33" i="4"/>
  <c r="AN33" i="4" s="1"/>
  <c r="N33" i="4"/>
  <c r="O33" i="4"/>
  <c r="C34" i="4"/>
  <c r="D34" i="4"/>
  <c r="F34" i="4"/>
  <c r="G34" i="4"/>
  <c r="AT34" i="4" s="1"/>
  <c r="H34" i="4"/>
  <c r="AQ34" i="4" s="1"/>
  <c r="I34" i="4"/>
  <c r="AM34" i="4" s="1"/>
  <c r="J34" i="4"/>
  <c r="AP34" i="4" s="1"/>
  <c r="K34" i="4"/>
  <c r="AU34" i="4" s="1"/>
  <c r="L34" i="4"/>
  <c r="AR34" i="4" s="1"/>
  <c r="M34" i="4"/>
  <c r="AN34" i="4" s="1"/>
  <c r="N34" i="4"/>
  <c r="O34" i="4"/>
  <c r="C35" i="4"/>
  <c r="D35" i="4"/>
  <c r="F35" i="4"/>
  <c r="G35" i="4"/>
  <c r="AT35" i="4" s="1"/>
  <c r="H35" i="4"/>
  <c r="AQ35" i="4" s="1"/>
  <c r="I35" i="4"/>
  <c r="AM35" i="4" s="1"/>
  <c r="J35" i="4"/>
  <c r="AP35" i="4" s="1"/>
  <c r="K35" i="4"/>
  <c r="AU35" i="4" s="1"/>
  <c r="L35" i="4"/>
  <c r="AR35" i="4" s="1"/>
  <c r="M35" i="4"/>
  <c r="AN35" i="4" s="1"/>
  <c r="N35" i="4"/>
  <c r="O35" i="4"/>
  <c r="C36" i="4"/>
  <c r="D36" i="4"/>
  <c r="F36" i="4"/>
  <c r="G36" i="4"/>
  <c r="AT36" i="4" s="1"/>
  <c r="H36" i="4"/>
  <c r="AQ36" i="4" s="1"/>
  <c r="I36" i="4"/>
  <c r="AM36" i="4" s="1"/>
  <c r="J36" i="4"/>
  <c r="AP36" i="4" s="1"/>
  <c r="K36" i="4"/>
  <c r="AU36" i="4" s="1"/>
  <c r="L36" i="4"/>
  <c r="AR36" i="4" s="1"/>
  <c r="M36" i="4"/>
  <c r="AN36" i="4" s="1"/>
  <c r="N36" i="4"/>
  <c r="O36" i="4"/>
  <c r="C37" i="4"/>
  <c r="D37" i="4"/>
  <c r="F37" i="4"/>
  <c r="G37" i="4"/>
  <c r="AT37" i="4" s="1"/>
  <c r="H37" i="4"/>
  <c r="AQ37" i="4" s="1"/>
  <c r="I37" i="4"/>
  <c r="AM37" i="4" s="1"/>
  <c r="J37" i="4"/>
  <c r="AP37" i="4" s="1"/>
  <c r="K37" i="4"/>
  <c r="AU37" i="4" s="1"/>
  <c r="L37" i="4"/>
  <c r="AR37" i="4" s="1"/>
  <c r="M37" i="4"/>
  <c r="AN37" i="4" s="1"/>
  <c r="N37" i="4"/>
  <c r="O37" i="4"/>
  <c r="C38" i="4"/>
  <c r="D38" i="4"/>
  <c r="F38" i="4"/>
  <c r="G38" i="4"/>
  <c r="AT38" i="4" s="1"/>
  <c r="H38" i="4"/>
  <c r="AQ38" i="4" s="1"/>
  <c r="I38" i="4"/>
  <c r="AM38" i="4" s="1"/>
  <c r="J38" i="4"/>
  <c r="AP38" i="4" s="1"/>
  <c r="K38" i="4"/>
  <c r="AU38" i="4" s="1"/>
  <c r="L38" i="4"/>
  <c r="AR38" i="4" s="1"/>
  <c r="M38" i="4"/>
  <c r="AN38" i="4" s="1"/>
  <c r="N38" i="4"/>
  <c r="O38" i="4"/>
  <c r="C39" i="4"/>
  <c r="D39" i="4"/>
  <c r="F39" i="4"/>
  <c r="G39" i="4"/>
  <c r="AT39" i="4" s="1"/>
  <c r="H39" i="4"/>
  <c r="AQ39" i="4" s="1"/>
  <c r="I39" i="4"/>
  <c r="AM39" i="4" s="1"/>
  <c r="J39" i="4"/>
  <c r="AP39" i="4" s="1"/>
  <c r="K39" i="4"/>
  <c r="AU39" i="4" s="1"/>
  <c r="L39" i="4"/>
  <c r="AR39" i="4" s="1"/>
  <c r="M39" i="4"/>
  <c r="AN39" i="4" s="1"/>
  <c r="N39" i="4"/>
  <c r="O39" i="4"/>
  <c r="C40" i="4"/>
  <c r="D40" i="4"/>
  <c r="F40" i="4"/>
  <c r="G40" i="4"/>
  <c r="AT40" i="4" s="1"/>
  <c r="H40" i="4"/>
  <c r="AQ40" i="4" s="1"/>
  <c r="I40" i="4"/>
  <c r="AM40" i="4" s="1"/>
  <c r="J40" i="4"/>
  <c r="AP40" i="4" s="1"/>
  <c r="K40" i="4"/>
  <c r="AU40" i="4" s="1"/>
  <c r="L40" i="4"/>
  <c r="AR40" i="4" s="1"/>
  <c r="M40" i="4"/>
  <c r="AN40" i="4" s="1"/>
  <c r="N40" i="4"/>
  <c r="O40" i="4"/>
  <c r="C41" i="4"/>
  <c r="D41" i="4"/>
  <c r="F41" i="4"/>
  <c r="G41" i="4"/>
  <c r="AT41" i="4" s="1"/>
  <c r="H41" i="4"/>
  <c r="AQ41" i="4" s="1"/>
  <c r="I41" i="4"/>
  <c r="AM41" i="4" s="1"/>
  <c r="J41" i="4"/>
  <c r="AP41" i="4" s="1"/>
  <c r="K41" i="4"/>
  <c r="AU41" i="4" s="1"/>
  <c r="L41" i="4"/>
  <c r="AR41" i="4" s="1"/>
  <c r="M41" i="4"/>
  <c r="AN41" i="4" s="1"/>
  <c r="N41" i="4"/>
  <c r="O41" i="4"/>
  <c r="C42" i="4"/>
  <c r="D42" i="4"/>
  <c r="F42" i="4"/>
  <c r="G42" i="4"/>
  <c r="AT42" i="4" s="1"/>
  <c r="H42" i="4"/>
  <c r="AQ42" i="4" s="1"/>
  <c r="I42" i="4"/>
  <c r="AM42" i="4" s="1"/>
  <c r="J42" i="4"/>
  <c r="AP42" i="4" s="1"/>
  <c r="K42" i="4"/>
  <c r="AU42" i="4" s="1"/>
  <c r="L42" i="4"/>
  <c r="AR42" i="4" s="1"/>
  <c r="M42" i="4"/>
  <c r="AN42" i="4" s="1"/>
  <c r="N42" i="4"/>
  <c r="O42" i="4"/>
  <c r="C43" i="4"/>
  <c r="D43" i="4"/>
  <c r="F43" i="4"/>
  <c r="G43" i="4"/>
  <c r="AT43" i="4" s="1"/>
  <c r="H43" i="4"/>
  <c r="AQ43" i="4" s="1"/>
  <c r="I43" i="4"/>
  <c r="AM43" i="4" s="1"/>
  <c r="J43" i="4"/>
  <c r="AP43" i="4" s="1"/>
  <c r="K43" i="4"/>
  <c r="AU43" i="4" s="1"/>
  <c r="L43" i="4"/>
  <c r="AR43" i="4" s="1"/>
  <c r="M43" i="4"/>
  <c r="AN43" i="4" s="1"/>
  <c r="N43" i="4"/>
  <c r="O43" i="4"/>
  <c r="C44" i="4"/>
  <c r="D44" i="4"/>
  <c r="F44" i="4"/>
  <c r="G44" i="4"/>
  <c r="AT44" i="4" s="1"/>
  <c r="H44" i="4"/>
  <c r="AQ44" i="4" s="1"/>
  <c r="I44" i="4"/>
  <c r="AM44" i="4" s="1"/>
  <c r="J44" i="4"/>
  <c r="AP44" i="4" s="1"/>
  <c r="K44" i="4"/>
  <c r="AU44" i="4" s="1"/>
  <c r="L44" i="4"/>
  <c r="AR44" i="4" s="1"/>
  <c r="M44" i="4"/>
  <c r="AN44" i="4" s="1"/>
  <c r="N44" i="4"/>
  <c r="O44" i="4"/>
  <c r="C45" i="4"/>
  <c r="D45" i="4"/>
  <c r="F45" i="4"/>
  <c r="G45" i="4"/>
  <c r="AT45" i="4" s="1"/>
  <c r="H45" i="4"/>
  <c r="AQ45" i="4" s="1"/>
  <c r="I45" i="4"/>
  <c r="AM45" i="4" s="1"/>
  <c r="J45" i="4"/>
  <c r="AP45" i="4" s="1"/>
  <c r="K45" i="4"/>
  <c r="AU45" i="4" s="1"/>
  <c r="L45" i="4"/>
  <c r="AR45" i="4" s="1"/>
  <c r="M45" i="4"/>
  <c r="AN45" i="4" s="1"/>
  <c r="N45" i="4"/>
  <c r="O45" i="4"/>
  <c r="C46" i="4"/>
  <c r="D46" i="4"/>
  <c r="F46" i="4"/>
  <c r="G46" i="4"/>
  <c r="AT46" i="4" s="1"/>
  <c r="H46" i="4"/>
  <c r="AQ46" i="4" s="1"/>
  <c r="I46" i="4"/>
  <c r="AM46" i="4" s="1"/>
  <c r="J46" i="4"/>
  <c r="AP46" i="4" s="1"/>
  <c r="K46" i="4"/>
  <c r="AU46" i="4" s="1"/>
  <c r="L46" i="4"/>
  <c r="AR46" i="4" s="1"/>
  <c r="M46" i="4"/>
  <c r="AN46" i="4" s="1"/>
  <c r="N46" i="4"/>
  <c r="O46" i="4"/>
  <c r="C47" i="4"/>
  <c r="D47" i="4"/>
  <c r="F47" i="4"/>
  <c r="G47" i="4"/>
  <c r="AT47" i="4" s="1"/>
  <c r="H47" i="4"/>
  <c r="AQ47" i="4" s="1"/>
  <c r="I47" i="4"/>
  <c r="AM47" i="4" s="1"/>
  <c r="J47" i="4"/>
  <c r="AP47" i="4" s="1"/>
  <c r="K47" i="4"/>
  <c r="AU47" i="4" s="1"/>
  <c r="L47" i="4"/>
  <c r="AR47" i="4" s="1"/>
  <c r="M47" i="4"/>
  <c r="AN47" i="4" s="1"/>
  <c r="N47" i="4"/>
  <c r="O47" i="4"/>
  <c r="C48" i="4"/>
  <c r="D48" i="4"/>
  <c r="F48" i="4"/>
  <c r="G48" i="4"/>
  <c r="AT48" i="4" s="1"/>
  <c r="H48" i="4"/>
  <c r="AQ48" i="4" s="1"/>
  <c r="I48" i="4"/>
  <c r="AM48" i="4" s="1"/>
  <c r="J48" i="4"/>
  <c r="AP48" i="4" s="1"/>
  <c r="K48" i="4"/>
  <c r="AU48" i="4" s="1"/>
  <c r="L48" i="4"/>
  <c r="AR48" i="4" s="1"/>
  <c r="M48" i="4"/>
  <c r="AN48" i="4" s="1"/>
  <c r="N48" i="4"/>
  <c r="O48" i="4"/>
  <c r="C49" i="4"/>
  <c r="D49" i="4"/>
  <c r="F49" i="4"/>
  <c r="G49" i="4"/>
  <c r="AT49" i="4" s="1"/>
  <c r="H49" i="4"/>
  <c r="AQ49" i="4" s="1"/>
  <c r="I49" i="4"/>
  <c r="AM49" i="4" s="1"/>
  <c r="J49" i="4"/>
  <c r="AP49" i="4" s="1"/>
  <c r="K49" i="4"/>
  <c r="AU49" i="4" s="1"/>
  <c r="L49" i="4"/>
  <c r="AR49" i="4" s="1"/>
  <c r="M49" i="4"/>
  <c r="AN49" i="4" s="1"/>
  <c r="N49" i="4"/>
  <c r="O49" i="4"/>
  <c r="C50" i="4"/>
  <c r="D50" i="4"/>
  <c r="F50" i="4"/>
  <c r="G50" i="4"/>
  <c r="AT50" i="4" s="1"/>
  <c r="H50" i="4"/>
  <c r="AQ50" i="4" s="1"/>
  <c r="I50" i="4"/>
  <c r="AM50" i="4" s="1"/>
  <c r="J50" i="4"/>
  <c r="AP50" i="4" s="1"/>
  <c r="K50" i="4"/>
  <c r="AU50" i="4" s="1"/>
  <c r="L50" i="4"/>
  <c r="AR50" i="4" s="1"/>
  <c r="M50" i="4"/>
  <c r="AN50" i="4" s="1"/>
  <c r="N50" i="4"/>
  <c r="O50" i="4"/>
  <c r="C51" i="4"/>
  <c r="D51" i="4"/>
  <c r="F51" i="4"/>
  <c r="G51" i="4"/>
  <c r="AT51" i="4" s="1"/>
  <c r="H51" i="4"/>
  <c r="AQ51" i="4" s="1"/>
  <c r="I51" i="4"/>
  <c r="AM51" i="4" s="1"/>
  <c r="J51" i="4"/>
  <c r="AP51" i="4" s="1"/>
  <c r="K51" i="4"/>
  <c r="AU51" i="4" s="1"/>
  <c r="L51" i="4"/>
  <c r="AR51" i="4" s="1"/>
  <c r="M51" i="4"/>
  <c r="AN51" i="4" s="1"/>
  <c r="N51" i="4"/>
  <c r="O51" i="4"/>
  <c r="C52" i="4"/>
  <c r="D52" i="4"/>
  <c r="F52" i="4"/>
  <c r="G52" i="4"/>
  <c r="AT52" i="4" s="1"/>
  <c r="H52" i="4"/>
  <c r="AQ52" i="4" s="1"/>
  <c r="I52" i="4"/>
  <c r="AM52" i="4" s="1"/>
  <c r="J52" i="4"/>
  <c r="AP52" i="4" s="1"/>
  <c r="K52" i="4"/>
  <c r="AU52" i="4" s="1"/>
  <c r="L52" i="4"/>
  <c r="AR52" i="4" s="1"/>
  <c r="M52" i="4"/>
  <c r="AN52" i="4" s="1"/>
  <c r="N52" i="4"/>
  <c r="O52" i="4"/>
  <c r="C5" i="4"/>
  <c r="D5" i="4"/>
  <c r="F5" i="4"/>
  <c r="AO5" i="4" s="1"/>
  <c r="G5" i="4"/>
  <c r="AT5" i="4" s="1"/>
  <c r="H5" i="4"/>
  <c r="AQ5" i="4" s="1"/>
  <c r="I5" i="4"/>
  <c r="AM5" i="4" s="1"/>
  <c r="J5" i="4"/>
  <c r="AP5" i="4" s="1"/>
  <c r="K5" i="4"/>
  <c r="AU5" i="4" s="1"/>
  <c r="L5" i="4"/>
  <c r="AR5" i="4" s="1"/>
  <c r="M5" i="4"/>
  <c r="AN5" i="4" s="1"/>
  <c r="N5" i="4"/>
  <c r="O5" i="4"/>
  <c r="C6" i="4"/>
  <c r="D6" i="4"/>
  <c r="F6" i="4"/>
  <c r="AO6" i="4" s="1"/>
  <c r="G6" i="4"/>
  <c r="AT6" i="4" s="1"/>
  <c r="H6" i="4"/>
  <c r="AQ6" i="4" s="1"/>
  <c r="I6" i="4"/>
  <c r="AM6" i="4" s="1"/>
  <c r="J6" i="4"/>
  <c r="AP6" i="4" s="1"/>
  <c r="K6" i="4"/>
  <c r="AU6" i="4" s="1"/>
  <c r="L6" i="4"/>
  <c r="AR6" i="4" s="1"/>
  <c r="M6" i="4"/>
  <c r="AN6" i="4" s="1"/>
  <c r="N6" i="4"/>
  <c r="O6" i="4"/>
  <c r="C7" i="4"/>
  <c r="D7" i="4"/>
  <c r="F7" i="4"/>
  <c r="AO7" i="4" s="1"/>
  <c r="G7" i="4"/>
  <c r="AT7" i="4" s="1"/>
  <c r="H7" i="4"/>
  <c r="AQ7" i="4" s="1"/>
  <c r="I7" i="4"/>
  <c r="AM7" i="4" s="1"/>
  <c r="J7" i="4"/>
  <c r="AP7" i="4" s="1"/>
  <c r="K7" i="4"/>
  <c r="AU7" i="4" s="1"/>
  <c r="L7" i="4"/>
  <c r="AR7" i="4" s="1"/>
  <c r="M7" i="4"/>
  <c r="AN7" i="4" s="1"/>
  <c r="N7" i="4"/>
  <c r="O7" i="4"/>
  <c r="C8" i="4"/>
  <c r="D8" i="4"/>
  <c r="F8" i="4"/>
  <c r="AO8" i="4" s="1"/>
  <c r="G8" i="4"/>
  <c r="AT8" i="4" s="1"/>
  <c r="H8" i="4"/>
  <c r="AQ8" i="4" s="1"/>
  <c r="I8" i="4"/>
  <c r="AM8" i="4" s="1"/>
  <c r="J8" i="4"/>
  <c r="AP8" i="4" s="1"/>
  <c r="K8" i="4"/>
  <c r="AU8" i="4" s="1"/>
  <c r="L8" i="4"/>
  <c r="AR8" i="4" s="1"/>
  <c r="M8" i="4"/>
  <c r="AN8" i="4" s="1"/>
  <c r="N8" i="4"/>
  <c r="O8" i="4"/>
  <c r="C9" i="4"/>
  <c r="D9" i="4"/>
  <c r="F9" i="4"/>
  <c r="AO9" i="4" s="1"/>
  <c r="G9" i="4"/>
  <c r="AT9" i="4" s="1"/>
  <c r="H9" i="4"/>
  <c r="AQ9" i="4" s="1"/>
  <c r="I9" i="4"/>
  <c r="AM9" i="4" s="1"/>
  <c r="J9" i="4"/>
  <c r="AP9" i="4" s="1"/>
  <c r="K9" i="4"/>
  <c r="AU9" i="4" s="1"/>
  <c r="L9" i="4"/>
  <c r="AR9" i="4" s="1"/>
  <c r="M9" i="4"/>
  <c r="AN9" i="4" s="1"/>
  <c r="N9" i="4"/>
  <c r="O9" i="4"/>
  <c r="C10" i="4"/>
  <c r="D10" i="4"/>
  <c r="F10" i="4"/>
  <c r="AO10" i="4" s="1"/>
  <c r="G10" i="4"/>
  <c r="AT10" i="4" s="1"/>
  <c r="H10" i="4"/>
  <c r="AQ10" i="4" s="1"/>
  <c r="I10" i="4"/>
  <c r="AM10" i="4" s="1"/>
  <c r="J10" i="4"/>
  <c r="AP10" i="4" s="1"/>
  <c r="K10" i="4"/>
  <c r="AU10" i="4" s="1"/>
  <c r="L10" i="4"/>
  <c r="AR10" i="4" s="1"/>
  <c r="M10" i="4"/>
  <c r="AN10" i="4" s="1"/>
  <c r="N10" i="4"/>
  <c r="O10" i="4"/>
  <c r="C11" i="4"/>
  <c r="D11" i="4"/>
  <c r="F11" i="4"/>
  <c r="AO11" i="4" s="1"/>
  <c r="G11" i="4"/>
  <c r="AT11" i="4" s="1"/>
  <c r="H11" i="4"/>
  <c r="AQ11" i="4" s="1"/>
  <c r="I11" i="4"/>
  <c r="AM11" i="4" s="1"/>
  <c r="J11" i="4"/>
  <c r="AP11" i="4" s="1"/>
  <c r="K11" i="4"/>
  <c r="AU11" i="4" s="1"/>
  <c r="L11" i="4"/>
  <c r="AR11" i="4" s="1"/>
  <c r="M11" i="4"/>
  <c r="AN11" i="4" s="1"/>
  <c r="N11" i="4"/>
  <c r="O11" i="4"/>
  <c r="C12" i="4"/>
  <c r="D12" i="4"/>
  <c r="F12" i="4"/>
  <c r="AO12" i="4" s="1"/>
  <c r="G12" i="4"/>
  <c r="AT12" i="4" s="1"/>
  <c r="H12" i="4"/>
  <c r="AQ12" i="4" s="1"/>
  <c r="I12" i="4"/>
  <c r="AM12" i="4" s="1"/>
  <c r="J12" i="4"/>
  <c r="AP12" i="4" s="1"/>
  <c r="K12" i="4"/>
  <c r="AU12" i="4" s="1"/>
  <c r="L12" i="4"/>
  <c r="AR12" i="4" s="1"/>
  <c r="M12" i="4"/>
  <c r="AN12" i="4" s="1"/>
  <c r="N12" i="4"/>
  <c r="O12" i="4"/>
  <c r="C13" i="4"/>
  <c r="D13" i="4"/>
  <c r="F13" i="4"/>
  <c r="G13" i="4"/>
  <c r="AT13" i="4" s="1"/>
  <c r="H13" i="4"/>
  <c r="AQ13" i="4" s="1"/>
  <c r="I13" i="4"/>
  <c r="AM13" i="4" s="1"/>
  <c r="J13" i="4"/>
  <c r="AP13" i="4" s="1"/>
  <c r="K13" i="4"/>
  <c r="AU13" i="4" s="1"/>
  <c r="L13" i="4"/>
  <c r="AR13" i="4" s="1"/>
  <c r="M13" i="4"/>
  <c r="AN13" i="4" s="1"/>
  <c r="N13" i="4"/>
  <c r="O13" i="4"/>
  <c r="C14" i="4"/>
  <c r="D14" i="4"/>
  <c r="F14" i="4"/>
  <c r="G14" i="4"/>
  <c r="AT14" i="4" s="1"/>
  <c r="H14" i="4"/>
  <c r="AQ14" i="4" s="1"/>
  <c r="I14" i="4"/>
  <c r="AM14" i="4" s="1"/>
  <c r="J14" i="4"/>
  <c r="AP14" i="4" s="1"/>
  <c r="K14" i="4"/>
  <c r="AU14" i="4" s="1"/>
  <c r="L14" i="4"/>
  <c r="AR14" i="4" s="1"/>
  <c r="M14" i="4"/>
  <c r="AN14" i="4" s="1"/>
  <c r="N14" i="4"/>
  <c r="O14" i="4"/>
  <c r="C15" i="4"/>
  <c r="D15" i="4"/>
  <c r="F15" i="4"/>
  <c r="G15" i="4"/>
  <c r="AT15" i="4" s="1"/>
  <c r="H15" i="4"/>
  <c r="AQ15" i="4" s="1"/>
  <c r="I15" i="4"/>
  <c r="AM15" i="4" s="1"/>
  <c r="J15" i="4"/>
  <c r="AP15" i="4" s="1"/>
  <c r="K15" i="4"/>
  <c r="AU15" i="4" s="1"/>
  <c r="L15" i="4"/>
  <c r="AR15" i="4" s="1"/>
  <c r="M15" i="4"/>
  <c r="AN15" i="4" s="1"/>
  <c r="N15" i="4"/>
  <c r="O15" i="4"/>
  <c r="C16" i="4"/>
  <c r="D16" i="4"/>
  <c r="F16" i="4"/>
  <c r="G16" i="4"/>
  <c r="AT16" i="4" s="1"/>
  <c r="H16" i="4"/>
  <c r="AQ16" i="4" s="1"/>
  <c r="I16" i="4"/>
  <c r="AM16" i="4" s="1"/>
  <c r="J16" i="4"/>
  <c r="AP16" i="4" s="1"/>
  <c r="K16" i="4"/>
  <c r="AU16" i="4" s="1"/>
  <c r="L16" i="4"/>
  <c r="AR16" i="4" s="1"/>
  <c r="M16" i="4"/>
  <c r="AN16" i="4" s="1"/>
  <c r="N16" i="4"/>
  <c r="O16" i="4"/>
  <c r="C17" i="4"/>
  <c r="D17" i="4"/>
  <c r="F17" i="4"/>
  <c r="G17" i="4"/>
  <c r="AT17" i="4" s="1"/>
  <c r="H17" i="4"/>
  <c r="AQ17" i="4" s="1"/>
  <c r="I17" i="4"/>
  <c r="AM17" i="4" s="1"/>
  <c r="J17" i="4"/>
  <c r="AP17" i="4" s="1"/>
  <c r="K17" i="4"/>
  <c r="AU17" i="4" s="1"/>
  <c r="L17" i="4"/>
  <c r="AR17" i="4" s="1"/>
  <c r="M17" i="4"/>
  <c r="AN17" i="4" s="1"/>
  <c r="N17" i="4"/>
  <c r="O17" i="4"/>
  <c r="C18" i="4"/>
  <c r="D18" i="4"/>
  <c r="F18" i="4"/>
  <c r="G18" i="4"/>
  <c r="AT18" i="4" s="1"/>
  <c r="H18" i="4"/>
  <c r="AQ18" i="4" s="1"/>
  <c r="I18" i="4"/>
  <c r="AM18" i="4" s="1"/>
  <c r="J18" i="4"/>
  <c r="AP18" i="4" s="1"/>
  <c r="K18" i="4"/>
  <c r="AU18" i="4" s="1"/>
  <c r="L18" i="4"/>
  <c r="AR18" i="4" s="1"/>
  <c r="M18" i="4"/>
  <c r="AN18" i="4" s="1"/>
  <c r="N18" i="4"/>
  <c r="O18" i="4"/>
  <c r="C19" i="4"/>
  <c r="D19" i="4"/>
  <c r="F19" i="4"/>
  <c r="G19" i="4"/>
  <c r="AT19" i="4" s="1"/>
  <c r="H19" i="4"/>
  <c r="AQ19" i="4" s="1"/>
  <c r="I19" i="4"/>
  <c r="AM19" i="4" s="1"/>
  <c r="J19" i="4"/>
  <c r="AP19" i="4" s="1"/>
  <c r="K19" i="4"/>
  <c r="AU19" i="4" s="1"/>
  <c r="L19" i="4"/>
  <c r="AR19" i="4" s="1"/>
  <c r="M19" i="4"/>
  <c r="AN19" i="4" s="1"/>
  <c r="N19" i="4"/>
  <c r="O19" i="4"/>
  <c r="C20" i="4"/>
  <c r="D20" i="4"/>
  <c r="F20" i="4"/>
  <c r="G20" i="4"/>
  <c r="AT20" i="4" s="1"/>
  <c r="H20" i="4"/>
  <c r="AQ20" i="4" s="1"/>
  <c r="I20" i="4"/>
  <c r="AM20" i="4" s="1"/>
  <c r="J20" i="4"/>
  <c r="AP20" i="4" s="1"/>
  <c r="K20" i="4"/>
  <c r="AU20" i="4" s="1"/>
  <c r="L20" i="4"/>
  <c r="AR20" i="4" s="1"/>
  <c r="M20" i="4"/>
  <c r="AN20" i="4" s="1"/>
  <c r="N20" i="4"/>
  <c r="O20" i="4"/>
  <c r="C21" i="4"/>
  <c r="D21" i="4"/>
  <c r="F21" i="4"/>
  <c r="G21" i="4"/>
  <c r="AT21" i="4" s="1"/>
  <c r="H21" i="4"/>
  <c r="AQ21" i="4" s="1"/>
  <c r="I21" i="4"/>
  <c r="AM21" i="4" s="1"/>
  <c r="J21" i="4"/>
  <c r="AP21" i="4" s="1"/>
  <c r="K21" i="4"/>
  <c r="AU21" i="4" s="1"/>
  <c r="L21" i="4"/>
  <c r="AR21" i="4" s="1"/>
  <c r="M21" i="4"/>
  <c r="AN21" i="4" s="1"/>
  <c r="N21" i="4"/>
  <c r="O21" i="4"/>
  <c r="C22" i="4"/>
  <c r="D22" i="4"/>
  <c r="F22" i="4"/>
  <c r="G22" i="4"/>
  <c r="AT22" i="4" s="1"/>
  <c r="H22" i="4"/>
  <c r="AQ22" i="4" s="1"/>
  <c r="I22" i="4"/>
  <c r="AM22" i="4" s="1"/>
  <c r="J22" i="4"/>
  <c r="AP22" i="4" s="1"/>
  <c r="K22" i="4"/>
  <c r="AU22" i="4" s="1"/>
  <c r="L22" i="4"/>
  <c r="AR22" i="4" s="1"/>
  <c r="M22" i="4"/>
  <c r="AN22" i="4" s="1"/>
  <c r="N22" i="4"/>
  <c r="O22" i="4"/>
  <c r="C23" i="4"/>
  <c r="D23" i="4"/>
  <c r="F23" i="4"/>
  <c r="G23" i="4"/>
  <c r="AT23" i="4" s="1"/>
  <c r="H23" i="4"/>
  <c r="AQ23" i="4" s="1"/>
  <c r="I23" i="4"/>
  <c r="AM23" i="4" s="1"/>
  <c r="J23" i="4"/>
  <c r="AP23" i="4" s="1"/>
  <c r="K23" i="4"/>
  <c r="AU23" i="4" s="1"/>
  <c r="L23" i="4"/>
  <c r="AR23" i="4" s="1"/>
  <c r="M23" i="4"/>
  <c r="AN23" i="4" s="1"/>
  <c r="N23" i="4"/>
  <c r="O23" i="4"/>
  <c r="C24" i="4"/>
  <c r="D24" i="4"/>
  <c r="F24" i="4"/>
  <c r="G24" i="4"/>
  <c r="AT24" i="4" s="1"/>
  <c r="H24" i="4"/>
  <c r="AQ24" i="4" s="1"/>
  <c r="I24" i="4"/>
  <c r="AM24" i="4" s="1"/>
  <c r="J24" i="4"/>
  <c r="AP24" i="4" s="1"/>
  <c r="K24" i="4"/>
  <c r="AU24" i="4" s="1"/>
  <c r="L24" i="4"/>
  <c r="AR24" i="4" s="1"/>
  <c r="M24" i="4"/>
  <c r="AN24" i="4" s="1"/>
  <c r="N24" i="4"/>
  <c r="O24" i="4"/>
  <c r="C25" i="4"/>
  <c r="D25" i="4"/>
  <c r="F25" i="4"/>
  <c r="G25" i="4"/>
  <c r="AT25" i="4" s="1"/>
  <c r="H25" i="4"/>
  <c r="AQ25" i="4" s="1"/>
  <c r="I25" i="4"/>
  <c r="AM25" i="4" s="1"/>
  <c r="J25" i="4"/>
  <c r="AP25" i="4" s="1"/>
  <c r="K25" i="4"/>
  <c r="AU25" i="4" s="1"/>
  <c r="L25" i="4"/>
  <c r="AR25" i="4" s="1"/>
  <c r="M25" i="4"/>
  <c r="AN25" i="4" s="1"/>
  <c r="N25" i="4"/>
  <c r="O25" i="4"/>
  <c r="C26" i="4"/>
  <c r="D26" i="4"/>
  <c r="F26" i="4"/>
  <c r="G26" i="4"/>
  <c r="AT26" i="4" s="1"/>
  <c r="H26" i="4"/>
  <c r="AQ26" i="4" s="1"/>
  <c r="I26" i="4"/>
  <c r="AM26" i="4" s="1"/>
  <c r="J26" i="4"/>
  <c r="AP26" i="4" s="1"/>
  <c r="K26" i="4"/>
  <c r="AU26" i="4" s="1"/>
  <c r="L26" i="4"/>
  <c r="AR26" i="4" s="1"/>
  <c r="M26" i="4"/>
  <c r="AN26" i="4" s="1"/>
  <c r="N26" i="4"/>
  <c r="O26" i="4"/>
  <c r="C27" i="4"/>
  <c r="D27" i="4"/>
  <c r="F27" i="4"/>
  <c r="G27" i="4"/>
  <c r="AT27" i="4" s="1"/>
  <c r="H27" i="4"/>
  <c r="AQ27" i="4" s="1"/>
  <c r="I27" i="4"/>
  <c r="AM27" i="4" s="1"/>
  <c r="J27" i="4"/>
  <c r="AP27" i="4" s="1"/>
  <c r="K27" i="4"/>
  <c r="AU27" i="4" s="1"/>
  <c r="L27" i="4"/>
  <c r="AR27" i="4" s="1"/>
  <c r="M27" i="4"/>
  <c r="AN27" i="4" s="1"/>
  <c r="N27" i="4"/>
  <c r="O27" i="4"/>
  <c r="C28" i="4"/>
  <c r="D28" i="4"/>
  <c r="F28" i="4"/>
  <c r="G28" i="4"/>
  <c r="AT28" i="4" s="1"/>
  <c r="H28" i="4"/>
  <c r="AQ28" i="4" s="1"/>
  <c r="I28" i="4"/>
  <c r="AM28" i="4" s="1"/>
  <c r="J28" i="4"/>
  <c r="AP28" i="4" s="1"/>
  <c r="K28" i="4"/>
  <c r="AU28" i="4" s="1"/>
  <c r="L28" i="4"/>
  <c r="AR28" i="4" s="1"/>
  <c r="M28" i="4"/>
  <c r="AN28" i="4" s="1"/>
  <c r="N28" i="4"/>
  <c r="O28" i="4"/>
  <c r="C29" i="4"/>
  <c r="D29" i="4"/>
  <c r="F29" i="4"/>
  <c r="G29" i="4"/>
  <c r="AT29" i="4" s="1"/>
  <c r="H29" i="4"/>
  <c r="AQ29" i="4" s="1"/>
  <c r="I29" i="4"/>
  <c r="AM29" i="4" s="1"/>
  <c r="J29" i="4"/>
  <c r="AP29" i="4" s="1"/>
  <c r="K29" i="4"/>
  <c r="AU29" i="4" s="1"/>
  <c r="L29" i="4"/>
  <c r="AR29" i="4" s="1"/>
  <c r="M29" i="4"/>
  <c r="AN29" i="4" s="1"/>
  <c r="N29" i="4"/>
  <c r="O29" i="4"/>
  <c r="AO29" i="4" l="1"/>
  <c r="Z29" i="4"/>
  <c r="AO28" i="4"/>
  <c r="Z28" i="4"/>
  <c r="AO27" i="4"/>
  <c r="Z27" i="4"/>
  <c r="AO23" i="4"/>
  <c r="Z23" i="4"/>
  <c r="AO22" i="4"/>
  <c r="Z22" i="4"/>
  <c r="AO21" i="4"/>
  <c r="Z21" i="4"/>
  <c r="AO20" i="4"/>
  <c r="Z20" i="4"/>
  <c r="AO25" i="4"/>
  <c r="Z25" i="4"/>
  <c r="AO24" i="4"/>
  <c r="Z24" i="4"/>
  <c r="AO18" i="4"/>
  <c r="Z18" i="4"/>
  <c r="AO17" i="4"/>
  <c r="Z17" i="4"/>
  <c r="AO26" i="4"/>
  <c r="Z26" i="4"/>
  <c r="AO19" i="4"/>
  <c r="Z19" i="4"/>
  <c r="AO16" i="4"/>
  <c r="Z16" i="4"/>
  <c r="AO15" i="4"/>
  <c r="Z15" i="4"/>
  <c r="AO14" i="4"/>
  <c r="Z14" i="4"/>
  <c r="AO13" i="4"/>
  <c r="Z13" i="4"/>
  <c r="Z12" i="4"/>
  <c r="Z11" i="4"/>
  <c r="Z10" i="4"/>
  <c r="Z9" i="4"/>
  <c r="Z8" i="4"/>
  <c r="Z7" i="4"/>
  <c r="Z6" i="4"/>
  <c r="Z5" i="4"/>
  <c r="AO52" i="4"/>
  <c r="Z52" i="4"/>
  <c r="AO51" i="4"/>
  <c r="Z51" i="4"/>
  <c r="AO50" i="4"/>
  <c r="Z50" i="4"/>
  <c r="AO49" i="4"/>
  <c r="Z49" i="4"/>
  <c r="AO48" i="4"/>
  <c r="Z48" i="4"/>
  <c r="AO47" i="4"/>
  <c r="Z47" i="4"/>
  <c r="AO46" i="4"/>
  <c r="Z46" i="4"/>
  <c r="AO45" i="4"/>
  <c r="Z45" i="4"/>
  <c r="AO44" i="4"/>
  <c r="Z44" i="4"/>
  <c r="AO43" i="4"/>
  <c r="Z43" i="4"/>
  <c r="AO42" i="4"/>
  <c r="Z42" i="4"/>
  <c r="AO41" i="4"/>
  <c r="Z41" i="4"/>
  <c r="AO40" i="4"/>
  <c r="Z40" i="4"/>
  <c r="AO39" i="4"/>
  <c r="Z39" i="4"/>
  <c r="AO38" i="4"/>
  <c r="Z38" i="4"/>
  <c r="AO37" i="4"/>
  <c r="Z37" i="4"/>
  <c r="AO36" i="4"/>
  <c r="Z36" i="4"/>
  <c r="AO35" i="4"/>
  <c r="Z35" i="4"/>
  <c r="AO34" i="4"/>
  <c r="Z34" i="4"/>
  <c r="AO33" i="4"/>
  <c r="Z33" i="4"/>
  <c r="AO32" i="4"/>
  <c r="Z32" i="4"/>
  <c r="AO31" i="4"/>
  <c r="Z31" i="4"/>
  <c r="AO30" i="4"/>
  <c r="Z30" i="4"/>
  <c r="AO73" i="4"/>
  <c r="Z73" i="4"/>
  <c r="AO72" i="4"/>
  <c r="Z72" i="4"/>
  <c r="AO71" i="4"/>
  <c r="Z71" i="4"/>
  <c r="AO70" i="4"/>
  <c r="Z70" i="4"/>
  <c r="AO69" i="4"/>
  <c r="Z69" i="4"/>
  <c r="AO68" i="4"/>
  <c r="Z68" i="4"/>
  <c r="AO67" i="4"/>
  <c r="Z67" i="4"/>
  <c r="AO66" i="4"/>
  <c r="Z66" i="4"/>
  <c r="AO65" i="4"/>
  <c r="Z65" i="4"/>
  <c r="AO64" i="4"/>
  <c r="Z64" i="4"/>
  <c r="AO63" i="4"/>
  <c r="Z63" i="4"/>
  <c r="AO62" i="4"/>
  <c r="Z62" i="4"/>
  <c r="AO61" i="4"/>
  <c r="Z61" i="4"/>
  <c r="AO60" i="4"/>
  <c r="Z60" i="4"/>
  <c r="AO59" i="4"/>
  <c r="Z59" i="4"/>
  <c r="AO58" i="4"/>
  <c r="Z58" i="4"/>
  <c r="AO57" i="4"/>
  <c r="Z57" i="4"/>
  <c r="AO56" i="4"/>
  <c r="Z56" i="4"/>
  <c r="AO55" i="4"/>
  <c r="Z55" i="4"/>
  <c r="AO54" i="4"/>
  <c r="Z54" i="4"/>
  <c r="AO53" i="4"/>
  <c r="Z53" i="4"/>
  <c r="AO80" i="4"/>
  <c r="Z80" i="4"/>
  <c r="AO79" i="4"/>
  <c r="Z79" i="4"/>
  <c r="AO78" i="4"/>
  <c r="Z78" i="4"/>
  <c r="AO77" i="4"/>
  <c r="Z77" i="4"/>
  <c r="AO76" i="4"/>
  <c r="Z76" i="4"/>
  <c r="AO75" i="4"/>
  <c r="Z75" i="4"/>
  <c r="AO74" i="4"/>
  <c r="Z74" i="4"/>
  <c r="AN87" i="4"/>
  <c r="AM87" i="4"/>
  <c r="D4" i="4" l="1"/>
  <c r="C4" i="4"/>
  <c r="AM84" i="4" l="1"/>
  <c r="AN84" i="4"/>
  <c r="AN83" i="4" l="1"/>
  <c r="AN82" i="4"/>
  <c r="AM83" i="4"/>
  <c r="AM82" i="4"/>
  <c r="AN85" i="4"/>
  <c r="AM81" i="4"/>
  <c r="AN81" i="4"/>
  <c r="AM85" i="4"/>
  <c r="AN88" i="4" l="1"/>
  <c r="AM88" i="4"/>
  <c r="Q88" i="4" l="1"/>
  <c r="R88" i="4"/>
  <c r="S88" i="4"/>
  <c r="T88" i="4"/>
  <c r="U88" i="4"/>
  <c r="C88" i="4"/>
  <c r="F88" i="4"/>
  <c r="G88" i="4"/>
  <c r="AT88" i="4" s="1"/>
  <c r="H88" i="4"/>
  <c r="AQ88" i="4" s="1"/>
  <c r="I88" i="4"/>
  <c r="J88" i="4"/>
  <c r="AP88" i="4" s="1"/>
  <c r="K88" i="4"/>
  <c r="AU88" i="4" s="1"/>
  <c r="L88" i="4"/>
  <c r="AR88" i="4" s="1"/>
  <c r="M88" i="4"/>
  <c r="N88" i="4"/>
  <c r="O88" i="4"/>
  <c r="O4" i="4"/>
  <c r="N4" i="4"/>
  <c r="M4" i="4"/>
  <c r="L4" i="4"/>
  <c r="AR4" i="4" s="1"/>
  <c r="K4" i="4"/>
  <c r="AU4" i="4" s="1"/>
  <c r="J4" i="4"/>
  <c r="AP4" i="4" s="1"/>
  <c r="I4" i="4"/>
  <c r="H4" i="4"/>
  <c r="AQ4" i="4" s="1"/>
  <c r="G4" i="4"/>
  <c r="AT4" i="4" s="1"/>
  <c r="F4" i="4"/>
  <c r="AO4" i="4" s="1"/>
  <c r="AM4" i="4" l="1"/>
  <c r="AM86" i="4" s="1"/>
  <c r="AN4" i="4"/>
  <c r="AN86" i="4" s="1"/>
  <c r="AO88" i="4"/>
  <c r="Z88" i="4"/>
  <c r="Z4" i="4"/>
  <c r="F86" i="4"/>
  <c r="J86" i="4"/>
  <c r="AP86" i="4" s="1"/>
  <c r="N86" i="4"/>
  <c r="H86" i="4"/>
  <c r="AQ86" i="4" s="1"/>
  <c r="L86" i="4"/>
  <c r="AR86" i="4" s="1"/>
  <c r="L87" i="4"/>
  <c r="AR87" i="4" s="1"/>
  <c r="C87" i="4"/>
  <c r="U87" i="4"/>
  <c r="O87" i="4"/>
  <c r="G87" i="4"/>
  <c r="AT87" i="4" s="1"/>
  <c r="T87" i="4"/>
  <c r="N87" i="4"/>
  <c r="J87" i="4"/>
  <c r="AP87" i="4" s="1"/>
  <c r="F87" i="4"/>
  <c r="S87" i="4"/>
  <c r="H87" i="4"/>
  <c r="AQ87" i="4" s="1"/>
  <c r="Q87" i="4"/>
  <c r="I86" i="4"/>
  <c r="M86" i="4"/>
  <c r="K87" i="4"/>
  <c r="AU87" i="4" s="1"/>
  <c r="G86" i="4"/>
  <c r="AT86" i="4" s="1"/>
  <c r="K86" i="4"/>
  <c r="AU86" i="4" s="1"/>
  <c r="O86" i="4"/>
  <c r="M87" i="4"/>
  <c r="I87" i="4"/>
  <c r="R87" i="4"/>
  <c r="AO87" i="4" l="1"/>
  <c r="Z87" i="4"/>
  <c r="AO86" i="4"/>
  <c r="U86" i="4"/>
  <c r="T86" i="4"/>
  <c r="S86" i="4"/>
  <c r="R86" i="4"/>
  <c r="Q86" i="4"/>
  <c r="C86" i="4"/>
  <c r="Z86" i="4" l="1"/>
  <c r="D56" i="3"/>
  <c r="P4" i="4" l="1"/>
  <c r="Y4" i="4" s="1"/>
  <c r="P10" i="4"/>
  <c r="Y10" i="4" s="1"/>
  <c r="P5" i="4"/>
  <c r="Y5" i="4" s="1"/>
  <c r="P6" i="4"/>
  <c r="Y6" i="4" s="1"/>
  <c r="P7" i="4"/>
  <c r="Y7" i="4" s="1"/>
  <c r="P12" i="4"/>
  <c r="Y12" i="4" s="1"/>
  <c r="P8" i="4"/>
  <c r="Y8" i="4" s="1"/>
  <c r="P18" i="4"/>
  <c r="Y18" i="4" s="1"/>
  <c r="P13" i="4"/>
  <c r="Y13" i="4" s="1"/>
  <c r="P11" i="4"/>
  <c r="Y11" i="4" s="1"/>
  <c r="P15" i="4"/>
  <c r="Y15" i="4" s="1"/>
  <c r="P14" i="4"/>
  <c r="Y14" i="4" s="1"/>
  <c r="P20" i="4"/>
  <c r="Y20" i="4" s="1"/>
  <c r="P21" i="4"/>
  <c r="Y21" i="4" s="1"/>
  <c r="P16" i="4"/>
  <c r="Y16" i="4" s="1"/>
  <c r="P17" i="4"/>
  <c r="Y17" i="4" s="1"/>
  <c r="P19" i="4"/>
  <c r="Y19" i="4" s="1"/>
  <c r="P22" i="4"/>
  <c r="Y22" i="4" s="1"/>
  <c r="P68" i="4"/>
  <c r="Y68" i="4" s="1"/>
  <c r="P24" i="4"/>
  <c r="Y24" i="4" s="1"/>
  <c r="P25" i="4"/>
  <c r="Y25" i="4" s="1"/>
  <c r="P27" i="4"/>
  <c r="Y27" i="4" s="1"/>
  <c r="P23" i="4"/>
  <c r="Y23" i="4" s="1"/>
  <c r="P77" i="4"/>
  <c r="Y77" i="4" s="1"/>
  <c r="P28" i="4"/>
  <c r="Y28" i="4" s="1"/>
  <c r="P30" i="4"/>
  <c r="Y30" i="4" s="1"/>
  <c r="P31" i="4"/>
  <c r="Y31" i="4" s="1"/>
  <c r="P73" i="4"/>
  <c r="Y73" i="4" s="1"/>
  <c r="P34" i="4"/>
  <c r="Y34" i="4" s="1"/>
  <c r="P69" i="4"/>
  <c r="Y69" i="4" s="1"/>
  <c r="P37" i="4"/>
  <c r="Y37" i="4" s="1"/>
  <c r="P41" i="4"/>
  <c r="Y41" i="4" s="1"/>
  <c r="P38" i="4"/>
  <c r="Y38" i="4" s="1"/>
  <c r="P48" i="4"/>
  <c r="Y48" i="4" s="1"/>
  <c r="P39" i="4"/>
  <c r="Y39" i="4" s="1"/>
  <c r="P40" i="4"/>
  <c r="Y40" i="4" s="1"/>
  <c r="P42" i="4"/>
  <c r="Y42" i="4" s="1"/>
  <c r="P43" i="4"/>
  <c r="Y43" i="4" s="1"/>
  <c r="P44" i="4"/>
  <c r="Y44" i="4" s="1"/>
  <c r="P45" i="4"/>
  <c r="Y45" i="4" s="1"/>
  <c r="P46" i="4"/>
  <c r="Y46" i="4" s="1"/>
  <c r="P26" i="4"/>
  <c r="Y26" i="4" s="1"/>
  <c r="P62" i="4"/>
  <c r="Y62" i="4" s="1"/>
  <c r="P54" i="4"/>
  <c r="Y54" i="4" s="1"/>
  <c r="P70" i="4"/>
  <c r="Y70" i="4" s="1"/>
  <c r="P49" i="4"/>
  <c r="Y49" i="4" s="1"/>
  <c r="P32" i="4"/>
  <c r="Y32" i="4" s="1"/>
  <c r="P50" i="4"/>
  <c r="Y50" i="4" s="1"/>
  <c r="P51" i="4"/>
  <c r="Y51" i="4" s="1"/>
  <c r="P53" i="4"/>
  <c r="Y53" i="4" s="1"/>
  <c r="P33" i="4"/>
  <c r="Y33" i="4" s="1"/>
  <c r="P52" i="4"/>
  <c r="Y52" i="4" s="1"/>
  <c r="P55" i="4"/>
  <c r="Y55" i="4" s="1"/>
  <c r="P67" i="4"/>
  <c r="Y67" i="4" s="1"/>
  <c r="P56" i="4"/>
  <c r="Y56" i="4" s="1"/>
  <c r="P29" i="4"/>
  <c r="Y29" i="4" s="1"/>
  <c r="P35" i="4"/>
  <c r="Y35" i="4" s="1"/>
  <c r="P57" i="4"/>
  <c r="Y57" i="4" s="1"/>
  <c r="P36" i="4"/>
  <c r="Y36" i="4" s="1"/>
  <c r="P58" i="4"/>
  <c r="Y58" i="4" s="1"/>
  <c r="P59" i="4"/>
  <c r="Y59" i="4" s="1"/>
  <c r="P60" i="4"/>
  <c r="Y60" i="4" s="1"/>
  <c r="P61" i="4"/>
  <c r="Y61" i="4" s="1"/>
  <c r="P63" i="4"/>
  <c r="Y63" i="4" s="1"/>
  <c r="P64" i="4"/>
  <c r="Y64" i="4" s="1"/>
  <c r="P65" i="4"/>
  <c r="Y65" i="4" s="1"/>
  <c r="P47" i="4"/>
  <c r="Y47" i="4" s="1"/>
  <c r="P66" i="4"/>
  <c r="Y66" i="4" s="1"/>
  <c r="P71" i="4"/>
  <c r="Y71" i="4" s="1"/>
  <c r="P72" i="4"/>
  <c r="Y72" i="4" s="1"/>
  <c r="P74" i="4"/>
  <c r="Y74" i="4" s="1"/>
  <c r="P75" i="4"/>
  <c r="Y75" i="4" s="1"/>
  <c r="P76" i="4"/>
  <c r="Y76" i="4" s="1"/>
  <c r="P78" i="4"/>
  <c r="Y78" i="4" s="1"/>
  <c r="P79" i="4"/>
  <c r="Y79" i="4" s="1"/>
  <c r="P80" i="4"/>
  <c r="Y80" i="4" s="1"/>
  <c r="P88" i="4" l="1"/>
  <c r="Y88" i="4" s="1"/>
  <c r="P87" i="4"/>
  <c r="Y87" i="4" s="1"/>
  <c r="P9" i="4"/>
  <c r="Y9" i="4" s="1"/>
  <c r="A1" i="3"/>
  <c r="A1" i="2"/>
  <c r="A1" i="1"/>
  <c r="P86" i="4" l="1"/>
  <c r="Y86" i="4" s="1"/>
  <c r="C52" i="1"/>
  <c r="C40" i="1"/>
  <c r="C42" i="1"/>
  <c r="C45" i="1"/>
  <c r="C51" i="1"/>
  <c r="C11" i="2"/>
  <c r="C8" i="2"/>
  <c r="C33" i="1"/>
  <c r="C55" i="1"/>
  <c r="C35" i="1"/>
  <c r="C10" i="2"/>
  <c r="C39" i="1"/>
  <c r="C43" i="1"/>
  <c r="C47" i="1"/>
  <c r="C37" i="1"/>
  <c r="C49" i="1"/>
  <c r="C60" i="1"/>
  <c r="C12" i="2"/>
  <c r="C61" i="1"/>
  <c r="C16" i="2"/>
  <c r="C13" i="2"/>
  <c r="B9" i="5"/>
  <c r="F34" i="1" l="1"/>
  <c r="G67" i="3" s="1"/>
  <c r="E46" i="1"/>
  <c r="G68" i="3" s="1"/>
  <c r="F16" i="1"/>
  <c r="G65" i="3" s="1"/>
  <c r="E34" i="1"/>
  <c r="E14" i="1"/>
  <c r="F54" i="1"/>
  <c r="F53" i="1"/>
  <c r="D43" i="3"/>
  <c r="F49" i="1"/>
  <c r="F44" i="1"/>
  <c r="F48" i="1"/>
  <c r="F47" i="1"/>
  <c r="E40" i="1"/>
  <c r="E37" i="1"/>
  <c r="F19" i="1"/>
  <c r="E10" i="1"/>
  <c r="E42" i="1"/>
  <c r="E11" i="1"/>
  <c r="E41" i="1"/>
  <c r="E36" i="1"/>
  <c r="F18" i="1"/>
  <c r="E13" i="1"/>
  <c r="E38" i="1"/>
  <c r="E43" i="1"/>
  <c r="E39" i="1"/>
  <c r="E35" i="1"/>
  <c r="F17" i="1"/>
  <c r="E12" i="1"/>
  <c r="F20" i="1"/>
  <c r="D38" i="3"/>
  <c r="D40" i="3"/>
  <c r="D41" i="3"/>
  <c r="D39" i="3"/>
  <c r="F52" i="1"/>
  <c r="F51" i="1"/>
  <c r="F50" i="1"/>
  <c r="D42" i="3"/>
  <c r="E9" i="2" l="1"/>
  <c r="G9" i="2"/>
  <c r="G12" i="3"/>
  <c r="G18" i="3"/>
  <c r="D18" i="3"/>
  <c r="E13" i="2"/>
  <c r="D12" i="3"/>
  <c r="G22" i="3"/>
  <c r="D14" i="3"/>
  <c r="D22" i="3"/>
  <c r="G14" i="3"/>
  <c r="D44" i="3"/>
  <c r="E15" i="2"/>
  <c r="E12" i="2"/>
  <c r="E16" i="2"/>
  <c r="E14" i="2"/>
  <c r="G12" i="2"/>
  <c r="E8" i="2"/>
  <c r="E11" i="2"/>
  <c r="E10" i="2"/>
  <c r="E56" i="1"/>
  <c r="F55" i="1"/>
  <c r="G10" i="2" s="1"/>
  <c r="G69" i="3" l="1"/>
  <c r="I9" i="2"/>
  <c r="J18" i="3"/>
  <c r="G16" i="2"/>
  <c r="G15" i="2"/>
  <c r="I15" i="2" s="1"/>
  <c r="G14" i="2"/>
  <c r="I14" i="2" s="1"/>
  <c r="G8" i="2"/>
  <c r="G11" i="2"/>
  <c r="J14" i="3"/>
  <c r="D26" i="3"/>
  <c r="F56" i="1"/>
  <c r="J12" i="3"/>
  <c r="G26" i="3"/>
  <c r="J22" i="3"/>
  <c r="J23" i="3" l="1"/>
  <c r="D69" i="3"/>
  <c r="I11" i="2" l="1"/>
  <c r="I12" i="2" l="1"/>
  <c r="I8" i="2"/>
  <c r="I16" i="2"/>
  <c r="E62" i="1"/>
  <c r="I10" i="2"/>
  <c r="F61" i="1"/>
  <c r="G13" i="2" s="1"/>
  <c r="F62" i="1" l="1"/>
  <c r="I13" i="2"/>
  <c r="E17" i="2"/>
  <c r="I17" i="2" l="1"/>
  <c r="G17" i="2"/>
</calcChain>
</file>

<file path=xl/sharedStrings.xml><?xml version="1.0" encoding="utf-8"?>
<sst xmlns="http://schemas.openxmlformats.org/spreadsheetml/2006/main" count="1423" uniqueCount="568">
  <si>
    <t>Debit</t>
  </si>
  <si>
    <t>Credit</t>
  </si>
  <si>
    <t>Entry</t>
  </si>
  <si>
    <t>Notes</t>
  </si>
  <si>
    <t>Totals</t>
  </si>
  <si>
    <t>of Resources</t>
  </si>
  <si>
    <t>Deferred Outflows</t>
  </si>
  <si>
    <t>Deferred Inflows</t>
  </si>
  <si>
    <t xml:space="preserve">Difference between actual and </t>
  </si>
  <si>
    <t>expected experience</t>
  </si>
  <si>
    <t>Net difference between projected and</t>
  </si>
  <si>
    <t xml:space="preserve">Contributions subsequent to the </t>
  </si>
  <si>
    <t>measurement date</t>
  </si>
  <si>
    <t>Total</t>
  </si>
  <si>
    <t>Sub</t>
  </si>
  <si>
    <t>Calculated</t>
  </si>
  <si>
    <t>(f)</t>
  </si>
  <si>
    <t>(b1)</t>
  </si>
  <si>
    <t>(b2)</t>
  </si>
  <si>
    <t>Change in proportion and differences</t>
  </si>
  <si>
    <t>between agency's contributions and</t>
  </si>
  <si>
    <t>proportionate share of contributions</t>
  </si>
  <si>
    <t>Rounding</t>
  </si>
  <si>
    <t>Description</t>
  </si>
  <si>
    <t>Difference between expected/actual experience</t>
  </si>
  <si>
    <t>Change in proportion; contributions during measurement period</t>
  </si>
  <si>
    <t>Difference between projected/actual investment earnings</t>
  </si>
  <si>
    <t>1)</t>
  </si>
  <si>
    <t>2)</t>
  </si>
  <si>
    <t>Year ended June 30:</t>
  </si>
  <si>
    <t>Net Deferred</t>
  </si>
  <si>
    <t>3)</t>
  </si>
  <si>
    <t>Deferred Outflow Amount</t>
  </si>
  <si>
    <t>Agency Num</t>
  </si>
  <si>
    <t>Agency Name</t>
  </si>
  <si>
    <t>Total Contributions</t>
  </si>
  <si>
    <t>N C SCHOOL OF SCIENCE &amp; MATHEMATICS</t>
  </si>
  <si>
    <t>APPALACHIAN STATE UNIVERSITY</t>
  </si>
  <si>
    <t>N C SCHOOL OF THE ARTS</t>
  </si>
  <si>
    <t>EAST CAROLINA UNIVERSITY</t>
  </si>
  <si>
    <t>ELIZABETH CITY STATE UNIVERSITY</t>
  </si>
  <si>
    <t>FAYETTEVILLE STATE UNIVERSITY</t>
  </si>
  <si>
    <t>NC A&amp;T UNIVERSITY</t>
  </si>
  <si>
    <t>N C CENTRAL UNIVERSITY</t>
  </si>
  <si>
    <t>UNIVERSITY OF NORTH CAROLINA AT GREENSBORO</t>
  </si>
  <si>
    <t>UNC - PEMBROKE</t>
  </si>
  <si>
    <t>N C STATE UNIVERSITY</t>
  </si>
  <si>
    <t>UNC-CH CB 1260</t>
  </si>
  <si>
    <t>UNC HEALTH CARE SYSTEM</t>
  </si>
  <si>
    <t>WESTERN CAROLINA UNIVERSITY</t>
  </si>
  <si>
    <t>WINSTON-SALEM STATE UNIVERSITY</t>
  </si>
  <si>
    <t>UNIVERSITY OF NORTH CAROLINA AT ASHEVILLE</t>
  </si>
  <si>
    <t>UNIVERSITY OF NORTH CAROLINA AT CHARLOTTE</t>
  </si>
  <si>
    <t>UNIVERSITY OF NORTH CAROLINA AT WILMINGTON</t>
  </si>
  <si>
    <t>ALAMANCE COMMUNITY COLLEGE</t>
  </si>
  <si>
    <t>SOUTH PIEDMONT COMMUNITY COLLEGE</t>
  </si>
  <si>
    <t>BEAUFORT COUNTY COMMUNITY COLLEGE</t>
  </si>
  <si>
    <t>BLADEN COMMUNITY COLLEGE</t>
  </si>
  <si>
    <t>BRUNSWICK COMMUNITY COLLEGE</t>
  </si>
  <si>
    <t>ASHEVILLE-BUNCOMBE TECHNICAL COLLEGE</t>
  </si>
  <si>
    <t>WESTERN PIEDMONT COMM COLLEGE</t>
  </si>
  <si>
    <t>CALDWELL COMMUNITY COLLEGE</t>
  </si>
  <si>
    <t>CARTERET COMMUNITY COLLEGE</t>
  </si>
  <si>
    <t>CATAWBA VALLEY COMMUNITY COLLEGE</t>
  </si>
  <si>
    <t>TRI-COUNTY COMMUNITY COLLEGE</t>
  </si>
  <si>
    <t>CLEVELAND TECHNICAL COLLEGE</t>
  </si>
  <si>
    <t>SOUTHEASTERN COMMUNITY COLLEGE</t>
  </si>
  <si>
    <t>CRAVEN COMMUNITY COLLEGE</t>
  </si>
  <si>
    <t>FAYETTEVILLE TECHNICAL COMMUNITY COLLEGE</t>
  </si>
  <si>
    <t>DAVIDSON COUNTY COMMUNITY COLLEGE</t>
  </si>
  <si>
    <t>JAMES SPRUNT TECHNICAL COLLEGE</t>
  </si>
  <si>
    <t>DURHAM TECHNICAL INSTITUTE</t>
  </si>
  <si>
    <t>EDGECOMBE TECHNICAL COLLEGE</t>
  </si>
  <si>
    <t>FORSYTH TECHNICAL INSTITUTE</t>
  </si>
  <si>
    <t>GASTON COLLEGE</t>
  </si>
  <si>
    <t>GUILFORD TECHNICAL COMMUNITY COLLEGE</t>
  </si>
  <si>
    <t>HALIFAX COMMUNITY COLLEGE</t>
  </si>
  <si>
    <t>HAYWOOD TECHNICAL COLLEGE</t>
  </si>
  <si>
    <t>BLUE RIDGE COMMUNITY COLLEGE</t>
  </si>
  <si>
    <t>ROANOKE-CHOWAN COMMUNITY COLLEGE</t>
  </si>
  <si>
    <t>MITCHELL COMMUNITY COLLEGE</t>
  </si>
  <si>
    <t>SOUTHWESTERN COMMUNITY COLLEGE</t>
  </si>
  <si>
    <t>JOHNSTON TECHNICAL COLLEGE</t>
  </si>
  <si>
    <t>CENTRAL CAROLINA COMMUNITY COLLEGE</t>
  </si>
  <si>
    <t>LENOIR COUNTY COMMUNITY COLLEGE</t>
  </si>
  <si>
    <t>MARTIN COMMUNITY COLLEGE</t>
  </si>
  <si>
    <t>MCDOWELL TECHNICAL COLLEGE</t>
  </si>
  <si>
    <t>CENTRAL PIEDMONT COMMUNITY COLLEGE</t>
  </si>
  <si>
    <t>MAYLAND TECHNICAL COLLEGE</t>
  </si>
  <si>
    <t>MONTGOMERY COMMUNITY COLLEGE</t>
  </si>
  <si>
    <t>SANDHILLS COMMUNITY COLLEGE</t>
  </si>
  <si>
    <t>NASH TECHNICAL COLLEGE</t>
  </si>
  <si>
    <t>CAPE FEAR COMMUNITY COLLEGE</t>
  </si>
  <si>
    <t>COASTAL CAROLINA COMMUNITY COLLEGE</t>
  </si>
  <si>
    <t>PAMLICO COMMUNITY COLLEGE</t>
  </si>
  <si>
    <t>COLLEGE OF THE ALBEMARLE</t>
  </si>
  <si>
    <t>PIEDMONT COMMUNITY COLLEGE</t>
  </si>
  <si>
    <t>PITT COMMUNITY COLLEGE</t>
  </si>
  <si>
    <t>RANDOLPH COMMUNITY COLLEGE</t>
  </si>
  <si>
    <t>RICHMOND TECHNICAL COLLEGE</t>
  </si>
  <si>
    <t>ROBESON COMMUNITY COLLEGE</t>
  </si>
  <si>
    <t>ROCKINGHAM COMMUNITY COLLEGE</t>
  </si>
  <si>
    <t>ROWAN-CABARRUS COMMUNITY COLLEGE</t>
  </si>
  <si>
    <t>ISOTHERMAL COMMUNITY COLLEGE</t>
  </si>
  <si>
    <t>SAMPSON COMMUNITY COLLEGE</t>
  </si>
  <si>
    <t>STANLY COMMUNITY COLLEGE</t>
  </si>
  <si>
    <t>SURRY COMMUNITY COLLEGE</t>
  </si>
  <si>
    <t>VANCE-GRANVILLE COMMUNITY COLLEGE</t>
  </si>
  <si>
    <t>WAKE TECHNICAL COLLEGE</t>
  </si>
  <si>
    <t>WAYNE COMMUNITY COLLEGE</t>
  </si>
  <si>
    <t>WILKES COMMUNITY COLLEGE</t>
  </si>
  <si>
    <t>WILSON COMMUNITY COLLEGE</t>
  </si>
  <si>
    <t>NC HOUSING FINANCE AGENCY</t>
  </si>
  <si>
    <t>Deferred Inflows Of Resources</t>
  </si>
  <si>
    <t>Pension Expense</t>
  </si>
  <si>
    <t>Changes In Proportion And Differences Between Employer Contributions And Proportional Share Of Contributions</t>
  </si>
  <si>
    <t>Differences Between Expected And Actual Experience</t>
  </si>
  <si>
    <t>Net Difference Between Projected And Actual Investment Earnings On Plan Investments</t>
  </si>
  <si>
    <t>Net Amortization Of Deferred Amounts From Changes In Proportion And Differences Between Employer Contributions And Proportional Share Of Contributions</t>
  </si>
  <si>
    <t>Amortization</t>
  </si>
  <si>
    <t>Amortization Rounding Adjustment</t>
  </si>
  <si>
    <t>4)</t>
  </si>
  <si>
    <t>Additions</t>
  </si>
  <si>
    <t>Restatement–net position</t>
  </si>
  <si>
    <t>Number</t>
  </si>
  <si>
    <t>Deferred Outflows Of Resources</t>
  </si>
  <si>
    <t>Changes Of Assumptions</t>
  </si>
  <si>
    <t>TOTAL Recognition of Deferred (Inflows)/Outflows</t>
  </si>
  <si>
    <t>Changes of assumptions</t>
  </si>
  <si>
    <t>d25 above</t>
  </si>
  <si>
    <t>Rounded, if necessary</t>
  </si>
  <si>
    <t>(b1) and (b2)</t>
  </si>
  <si>
    <t>Entity</t>
  </si>
  <si>
    <t>CURRENT FISCAL YEAR ENTRIES</t>
  </si>
  <si>
    <t>After Measurement Date (MANUAL ENTRY)</t>
  </si>
  <si>
    <t>investments (see note below)</t>
  </si>
  <si>
    <t>Choose Your Agency:</t>
  </si>
  <si>
    <t>Account Name</t>
  </si>
  <si>
    <t>Debit (Credit)</t>
  </si>
  <si>
    <t>13th Period</t>
  </si>
  <si>
    <r>
      <t>Deletions</t>
    </r>
    <r>
      <rPr>
        <i/>
        <sz val="10"/>
        <rFont val="Arial"/>
        <family val="2"/>
      </rPr>
      <t xml:space="preserve"> (see Note 1)</t>
    </r>
  </si>
  <si>
    <t xml:space="preserve">Recognized in </t>
  </si>
  <si>
    <t>Amount to be</t>
  </si>
  <si>
    <t>Employer Balances of Deferred Outflows of Resources and Deferred Inflows of</t>
  </si>
  <si>
    <t>Schedule of the Net Amount of the Employer's Balances of Deferred Outflows of</t>
  </si>
  <si>
    <t>Resources and Deferred Inflows of Resources That will be Recognized in</t>
  </si>
  <si>
    <t>Amount of the Employer's Balance of Deferred Outflows of Resources That will be</t>
  </si>
  <si>
    <t>Prior year adjustments</t>
  </si>
  <si>
    <r>
      <t xml:space="preserve">Due within one year </t>
    </r>
    <r>
      <rPr>
        <i/>
        <sz val="10"/>
        <rFont val="Arial"/>
        <family val="2"/>
      </rPr>
      <t>(see Note 2)</t>
    </r>
  </si>
  <si>
    <t>Entry, Net</t>
  </si>
  <si>
    <t>Calculated by OSC</t>
  </si>
  <si>
    <t>See entry #1 above</t>
  </si>
  <si>
    <t>Colleague</t>
  </si>
  <si>
    <t>Entity Type:</t>
  </si>
  <si>
    <t>TOTAL UNC SYSTEM</t>
  </si>
  <si>
    <t>TOTAL COMMUNITY COLLEGES</t>
  </si>
  <si>
    <t>TOTAL OTHER COMPONENT UNITS</t>
  </si>
  <si>
    <t>STATE EDUCATION ASSISTANCE AUTHORITY</t>
  </si>
  <si>
    <t>Component Units</t>
  </si>
  <si>
    <t>Employer Number</t>
  </si>
  <si>
    <t>Employer</t>
  </si>
  <si>
    <t>Employer Name</t>
  </si>
  <si>
    <t>OSA's Audit Report</t>
  </si>
  <si>
    <t>STATE HEALTH PLAN</t>
  </si>
  <si>
    <t>NC STATE PORTS AUTHORITY</t>
  </si>
  <si>
    <t>NC GLOBAL TRANSPARK AUTHORITY</t>
  </si>
  <si>
    <t>Present Value Of Future Salary Allocation</t>
  </si>
  <si>
    <t>Net Deferred Outflow</t>
  </si>
  <si>
    <t>Net Deferred Inflow</t>
  </si>
  <si>
    <t>BEGINNING BALANCES (FORMULAS)</t>
  </si>
  <si>
    <t>Reversal of beginning deferred outflow balance – per actuary</t>
  </si>
  <si>
    <t>Needed for account numbers (NCAS/Colleague). Hidden on Summary Tab (columns Q/R). In Lookup formula, column number on data tab plus 1.</t>
  </si>
  <si>
    <t>&lt;&lt; Click to see a list of agencies (sorted by agency type).</t>
  </si>
  <si>
    <t>(d1), (d2), and (d3)</t>
  </si>
  <si>
    <t>(a1) and (a2)</t>
  </si>
  <si>
    <t>(a1)</t>
  </si>
  <si>
    <t>(a2)</t>
  </si>
  <si>
    <t>(c)</t>
  </si>
  <si>
    <t>(d1)</t>
  </si>
  <si>
    <t>(d2)</t>
  </si>
  <si>
    <t>(d3)</t>
  </si>
  <si>
    <t>(e)</t>
  </si>
  <si>
    <t>Note: This template was developed by the NC Office of the State Controller. If you have</t>
  </si>
  <si>
    <t>Miscellaneous expense (see Note)</t>
  </si>
  <si>
    <t>Miscellaneous income (see Note)</t>
  </si>
  <si>
    <t>Not Needed</t>
  </si>
  <si>
    <t>Total for All Employers</t>
  </si>
  <si>
    <t>Note:</t>
  </si>
  <si>
    <t>GASB 75 Template – DIPNC</t>
  </si>
  <si>
    <t>DIPNC Number:</t>
  </si>
  <si>
    <t>GASB 75 Journal Entries – DIPNC</t>
  </si>
  <si>
    <t>Deferred outflows for OPEB</t>
  </si>
  <si>
    <t>Deferred inflows for OPEB</t>
  </si>
  <si>
    <t>Change in OPEB Amounts (FORMULAS)</t>
  </si>
  <si>
    <t>OPEB expense</t>
  </si>
  <si>
    <t>for OPEB, OPEB expense, and reversal of deferred outflow in entry 1)</t>
  </si>
  <si>
    <t>DIPNC contributions</t>
  </si>
  <si>
    <t xml:space="preserve">(To record OPEB contributions after the measurement date) </t>
  </si>
  <si>
    <t xml:space="preserve">Calculated by multiplying the covered payroll for DIPNC (on an accrual basis) </t>
  </si>
  <si>
    <t>Differences between expected and actual experience with regard to economic and demographic factors in the measurement of the total OPEB liability should be included in collective OPEB expense, beginning in the current measurement period, using a systematic and rational method over a closed period equal to the average of the expected remaining service lives of all employees that are provided with OPEB through the OPEB plan (active employees and inactive employees) determined as of the beginning of the measurement period. The portion not included in collective OPEB expense should be included in collective deferred outflows of resources or deferred inflows of resources related to OPEB. (GASB 75, paragraph 86a)</t>
  </si>
  <si>
    <t>Experience gains represent actual experience that increases the total OPEB liability less than projected or decreases the total OPEB liability greater than projected. These amounts result in decreases in OPEB expense and increases in deferred inflows of resources. (Implementation Guide No. 2017-3, page 181)</t>
  </si>
  <si>
    <t>The difference between projected and actual earnings on OPEB plan investments should be included in collective OPEB expense using a systematic and rational method over a closed five-year period, beginning in the current measurement period. The amount not included in collective OPEB expense should be included in collective deferred outflows of resources or deferred inflows of resources related to OPEB. Collective deferred outflows of resources and deferred inflows of resources arising from differences between projected and actual OPEB plan investment earnings in different measurement periods should be aggregated and included as a net collective deferred outflow of resources related to OPEB or a net collective deferred inflow of resources related to OPEB. (GASB 75, paragraph 86b)</t>
  </si>
  <si>
    <t>Investment returns that are greater than projected decrease OPEB expense and increase deferred inflows of resources.</t>
  </si>
  <si>
    <t>Changes of assumptions about future economic or demographic factors or of other inputs should be included in collective OPEB expense, beginning in the current measurement period, using a systematic and rational method over a closed period equal to the average of the expected remaining service lives of all employees that are provided with OPEB through the OPEB plan (active employees and inactive employees) determined as of the beginning of the measurement period. The portion not included in collective OPEB expense should be included in collective deferred outflows of resources or deferred inflows of resources related to OPEB. (GASB 75, paragraph 86a)</t>
  </si>
  <si>
    <t>If there is a change in the employer’s proportion of the collective net OPEB liability since the prior measurement date, the net effect of that change on the employer’s proportionate shares of the collective net OPEB liability and collective deferred outflows of resources and deferred inflows of resources related to OPEB, determined as of the beginning of the measurement period, should be recognized in the employer’s OPEB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OPEB through the OPEB plan (active employees and inactive employees) determined as of the beginning of the measurement period. The amount not recognized in the employer’s OPEB expense should be reported as a deferred outflow of resources or deferred inflow of resources related to OPEB. (GASB 75, paragraph 64)</t>
  </si>
  <si>
    <t>If the employer's actual contributions exceed its proportionate share of total contributions, the difference increases OPEB expense and results in a deferred outflow of resources. (Implementation Guide No. 2017-3, page 192)</t>
  </si>
  <si>
    <t>Contributions to the OPEB plan from the employer subsequent to the measurement date of the collective net OPEB liability and before the end of the employer’s reporting period should be reported as a deferred outflow of resources related to OPEB. (GASB 75, paragraph 68)</t>
  </si>
  <si>
    <t>Components of collective OPEB expense include—service cost, interest on the total OPEB liability, effect of changes in benefit terms, projected investment income, employee contributions, expensed portions of deferred outflows/inflows of resources related to OPEB, plan administrative expense, and other changes in fiduciary net position. Contributions from employers or nonemployer contributing entities should not be included in OPEB expense. (GASB 75, paragraph 86)</t>
  </si>
  <si>
    <t>For contributions to the OPEB plan other than those to separately finance specific liabilities of an individual employer or nonemployer contributing entity to the OPEB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OPEB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OPEB through the OPEB plan (active employees and inactive employees) determined as of the beginning of the measurement period. The amount not recognized in the employer’s OPEB expense should be reported as a deferred outflow of resources or deferred inflow of resources related to OPEB. (GASB 75, paragraph 65)</t>
  </si>
  <si>
    <t>GASB 75 Disclosures – DIPNC</t>
  </si>
  <si>
    <t>Resources Related to OPEB by Classification:</t>
  </si>
  <si>
    <t>OPEB Expense</t>
  </si>
  <si>
    <t>actual earnings on OPEB plan</t>
  </si>
  <si>
    <r>
      <rPr>
        <i/>
        <u/>
        <sz val="10"/>
        <rFont val="Arial"/>
        <family val="2"/>
      </rPr>
      <t>Note</t>
    </r>
    <r>
      <rPr>
        <i/>
        <sz val="10"/>
        <rFont val="Arial"/>
        <family val="2"/>
      </rPr>
      <t>: Collective deferred outflows of resources and deferred inflows of resources arising from differences between projected and actual OPEB plan investment earnings in different measurement periods should be aggregated and included as a net collective deferred outflow of resources related to OPEB or a net collective deferred inflow of resources related to OPEB. (GASB 75, paragraph 86b and 96h(3))</t>
    </r>
  </si>
  <si>
    <t>Source: GASB 75, paragraph 96h(1) thru (5)</t>
  </si>
  <si>
    <t>OPEB Expense:</t>
  </si>
  <si>
    <t>Note: negative amounts indicate amortization of OPEB deferrals that will decrease</t>
  </si>
  <si>
    <t>OPEB expense.</t>
  </si>
  <si>
    <t>Source: GASB 75, paragraph 96i(1)</t>
  </si>
  <si>
    <t>Included as a Reduction of the Net OPEB Liability in the Fiscal Year Ended</t>
  </si>
  <si>
    <t>Source: GASB 75, paragraph 96i(2)</t>
  </si>
  <si>
    <t>Net OPEB</t>
  </si>
  <si>
    <t xml:space="preserve">Total Contributions </t>
  </si>
  <si>
    <t>Net OPEB asset</t>
  </si>
  <si>
    <t>Beginning net OPEB asset</t>
  </si>
  <si>
    <t>Net OPEB asset–noncurrent</t>
  </si>
  <si>
    <t>Change in the net OPEB asset</t>
  </si>
  <si>
    <t>Change in net OPEB asset recognized immediately</t>
  </si>
  <si>
    <t>(To record changes in the net OPEB asset, deferred outflows/inflows of resources</t>
  </si>
  <si>
    <t>Changes of Assumptions</t>
  </si>
  <si>
    <t>Net OPEB Asset</t>
  </si>
  <si>
    <t>Proportional Share Of OPEB Expense</t>
  </si>
  <si>
    <t>Total Employer OPEB Expense</t>
  </si>
  <si>
    <t>Asset</t>
  </si>
  <si>
    <r>
      <rPr>
        <i/>
        <u/>
        <sz val="10"/>
        <rFont val="Arial"/>
        <family val="2"/>
      </rPr>
      <t>Note 1</t>
    </r>
    <r>
      <rPr>
        <i/>
        <sz val="10"/>
        <rFont val="Arial"/>
        <family val="2"/>
      </rPr>
      <t>: Employers should disclose the net change amount (instead of both additions and deletions) and reference that more information on the net OPEB liability (asset) is available in the separate note on OPEB plans. Since the amount reported is the employer’s proportionate share of the collective net OPEB liability (asset), additions and deletions are not relevant for this disclosure. The collective net OPEB liability (asset) equals the total OPEB liability (asset) for the OPEB plan, net of the plan’s fiduciary net position.</t>
    </r>
  </si>
  <si>
    <r>
      <rPr>
        <i/>
        <u/>
        <sz val="10"/>
        <rFont val="Arial"/>
        <family val="2"/>
      </rPr>
      <t>Note 2</t>
    </r>
    <r>
      <rPr>
        <i/>
        <sz val="10"/>
        <rFont val="Arial"/>
        <family val="2"/>
      </rPr>
      <t>: If the employer reports a net OPEB liability (asset) under Statement 75, the amount of the net OPEB liability (asset) that is “due” within one year is the amount of benefit payments expected to be paid within one year, net of the OPEB plan’s fiduciary net position available to pay that amount. Therefore, there would be no amount that is “due” within one year unless the OPEB plan’s fiduciary net position is less than the amount of benefit payments expected to be paid within one year. (Comprehensive Implementation Guide, 7.22.6)</t>
    </r>
  </si>
  <si>
    <t xml:space="preserve">Changes in Long-term Liabilities (Asset) </t>
  </si>
  <si>
    <t>NOPEBL Rounding Adjustment</t>
  </si>
  <si>
    <t>**check asset/liability account depending on whether it's an asset or liability</t>
  </si>
  <si>
    <t>Thereafter</t>
  </si>
  <si>
    <t>Deferred outflow for OPEB</t>
  </si>
  <si>
    <t>Miscellaneous expense</t>
  </si>
  <si>
    <t>Miscellaneous income</t>
  </si>
  <si>
    <t>Adjustment for PY Contributions (FORMULAS)</t>
  </si>
  <si>
    <t>See Summary tab, Note 1</t>
  </si>
  <si>
    <t>Reporting 2025</t>
  </si>
  <si>
    <t>UNC-SO ONLY</t>
  </si>
  <si>
    <t>Reporting 2026</t>
  </si>
  <si>
    <t>Reporting 2027</t>
  </si>
  <si>
    <t>NOTE:  when copying data from OSA audited schedule spreadsheets, there may be some value errors b/c the - that represent 0 are not coming in.  So rekey where the dashes are in the columns giving the errors.</t>
  </si>
  <si>
    <t>(To adjust for difference in FY2022 contributions per employer/actuary)</t>
  </si>
  <si>
    <t>Reporting 2028</t>
  </si>
  <si>
    <t>6/30/2022 Deferred Outflows of Resources</t>
  </si>
  <si>
    <t>6/30/2022 Deferred Inflows of Resources</t>
  </si>
  <si>
    <t>NORTH CAROLINA EDUCATION LOTTERY</t>
  </si>
  <si>
    <t>DEPARTMENT OF JUSTICE</t>
  </si>
  <si>
    <t>OFFICE OF STATE AUDITOR</t>
  </si>
  <si>
    <t>DEPARTMENT OF NATURAL AND CULTURAL RESOURCES</t>
  </si>
  <si>
    <t>ADMINISTRATIVE OFFICE OF THE COURTS</t>
  </si>
  <si>
    <t>OFFICE OF ADMINISTRATIVE HEARINGS</t>
  </si>
  <si>
    <t>DEPARTMENT OF ADMINISTRATION</t>
  </si>
  <si>
    <t>OFFICE OF STATE BUDGET AND MANAGEMENT</t>
  </si>
  <si>
    <t>DEPARTMENT OF INFORMATION TECHNOLOGY</t>
  </si>
  <si>
    <t>OFFICE OF STATE CONTROLLER</t>
  </si>
  <si>
    <t>NC SCHOOL OF SCIENCE AND MATHEMATICS</t>
  </si>
  <si>
    <t>NC DEPARTMENT OF MILITARY AND VETERANS AFFAIRS</t>
  </si>
  <si>
    <t>DEPARTMENT OF ENVIRONMENTAL QUALITY</t>
  </si>
  <si>
    <t>HOUSING FINANCE AGENCY OF NORTH CAROLINA</t>
  </si>
  <si>
    <t>WILDLIFE RESOURCES COMMISSION</t>
  </si>
  <si>
    <t>STATE BOARD OF ELECTIONS</t>
  </si>
  <si>
    <t>OFFICE OF GOVERNOR</t>
  </si>
  <si>
    <t>OFFICE OF LIEUTENANT GOVERNOR</t>
  </si>
  <si>
    <t>GENERAL ASSEMBLY</t>
  </si>
  <si>
    <t>DEPARTMENT OF HEALTH AND HUMAN SERVICES</t>
  </si>
  <si>
    <t>DEPARTMENT OF COMMERCE</t>
  </si>
  <si>
    <t>DEPARTMENT OF INSURANCE</t>
  </si>
  <si>
    <t>DEPARTMENT OF LABOR</t>
  </si>
  <si>
    <t>DEPARTMENT OF REVENUE</t>
  </si>
  <si>
    <t>DEPARTMENT OF SECRETARY OF STATE</t>
  </si>
  <si>
    <t>DEPARTMENT OF STATE TREASURER (w/o State Health Plan)</t>
  </si>
  <si>
    <t>DEPARTMENT OF STATE TREASURER (State Health Plan Only)</t>
  </si>
  <si>
    <t>DEPARTMENT OF AGRICULTURE AND CONSUMER SERVICES</t>
  </si>
  <si>
    <t>STATE BOARD OF BARBER EXAMINERS</t>
  </si>
  <si>
    <t>NORTH CAROLINA BOARD OF OPTICIANS</t>
  </si>
  <si>
    <t>NC AUCTIONEERS LICENSING BOARD</t>
  </si>
  <si>
    <t>COMMUNITY COLLEGE SYSTEM OFFICE</t>
  </si>
  <si>
    <t>DEPARTMENT OF PUBLIC SAFETY</t>
  </si>
  <si>
    <t>NORTH CAROLINA SCHOOL OF THE ARTS</t>
  </si>
  <si>
    <t>NORTH CAROLINA A&amp;T UNIVERSITY</t>
  </si>
  <si>
    <t>NORTH CAROLINA CENTRAL UNIVERSITY</t>
  </si>
  <si>
    <t>UNIVERSITY OF NORTH CAROLINA AT PEMBROKE</t>
  </si>
  <si>
    <t>NC STATE UNIVERSITY</t>
  </si>
  <si>
    <t>UNC-CHAPEL HILL CB1260</t>
  </si>
  <si>
    <t>UNC-GENERAL ADMINISTRATION (w/o SEAA)</t>
  </si>
  <si>
    <t>UNC-GENERAL ADMINISTRATION (SEAA Only)</t>
  </si>
  <si>
    <t>UNIVERSITY OF NORTH CAROLINA PRESS</t>
  </si>
  <si>
    <t>DEPARTMENT OF PUBLIC INSTRUCTION</t>
  </si>
  <si>
    <t>YANCEY COUNTY SCHOOLS</t>
  </si>
  <si>
    <t>ALAMANCE COUNTY SCHOOLS</t>
  </si>
  <si>
    <t>CLOVER GARDEN CHARTER SCHOOL</t>
  </si>
  <si>
    <t>RIVER MILL ACADEMY CHARTER</t>
  </si>
  <si>
    <t>THE HAWBRIDGE SCHOOL</t>
  </si>
  <si>
    <t>ALEXANDER COUNTY SCHOOLS</t>
  </si>
  <si>
    <t>ALLEGHANY COUNTY SCHOOLS</t>
  </si>
  <si>
    <t>ANSON COUNTY SCHOOLS</t>
  </si>
  <si>
    <t>ASHE COUNTY SCHOOLS</t>
  </si>
  <si>
    <t>AVERY COUNTY SCHOOLS</t>
  </si>
  <si>
    <t>GRANDFATHER ACADEMY</t>
  </si>
  <si>
    <t>BEAUFORT COUNTY SCHOOLS</t>
  </si>
  <si>
    <t>BERTIE COUNTY SCHOOLS</t>
  </si>
  <si>
    <t>BLADEN COUNTY SCHOOLS</t>
  </si>
  <si>
    <t>BRUNSWICK COUNTY SCHOOLS</t>
  </si>
  <si>
    <t>BUNCOMBE COUNTY SCHOOLS</t>
  </si>
  <si>
    <t>FRANCINE DELANY NEW SCHOOL FOR CHILDREN</t>
  </si>
  <si>
    <t>EVERGREEN COMMUNITY CHARTER SCHOOL</t>
  </si>
  <si>
    <t>ASHEVILLE CITY SCHOOLS</t>
  </si>
  <si>
    <t>BURKE COUNTY SCHOOLS</t>
  </si>
  <si>
    <t>WESTERN PIEDMONT COMMUNITY COLLEGE</t>
  </si>
  <si>
    <t>CABARRUS COUNTY SCHOOLS</t>
  </si>
  <si>
    <t>CAROLINA INTERNATIONAL SCHOOL</t>
  </si>
  <si>
    <t>KANNAPOLIS CITY SCHOOLS</t>
  </si>
  <si>
    <t>CALDWELL COUNTY SCHOOLS</t>
  </si>
  <si>
    <t>CAMDEN COUNTY SCHOOLS</t>
  </si>
  <si>
    <t>CARTERET COUNTY SCHOOLS</t>
  </si>
  <si>
    <t>CASWELL COUNTY SCHOOLS</t>
  </si>
  <si>
    <t>CATAWBA COUNTY SCHOOLS</t>
  </si>
  <si>
    <t>HICKORY CITY SCHOOLS</t>
  </si>
  <si>
    <t>NEWTON-CONOVER CITY SCHOOLS</t>
  </si>
  <si>
    <t>CHATHAM COUNTY SCHOOLS</t>
  </si>
  <si>
    <t>CHEROKEE COUNTY SCHOOLS</t>
  </si>
  <si>
    <t>EDENTON-CHOWAN COUNTY SCHOOLS</t>
  </si>
  <si>
    <t>CLAY COUNTY SCHOOLS</t>
  </si>
  <si>
    <t>CLEVELAND COUNTY SCHOOLS</t>
  </si>
  <si>
    <t>CLEVELAND COMMUNITY COLLEGE</t>
  </si>
  <si>
    <t>COLUMBUS COUNTY SCHOOLS</t>
  </si>
  <si>
    <t>WHITEVILLE CITY SCHOOLS</t>
  </si>
  <si>
    <t>NEW BERN CRAVEN COUNTY BOARD OF EDUCATION</t>
  </si>
  <si>
    <t>CUMBERLAND COUNTY SCHOOLS</t>
  </si>
  <si>
    <t>CURRITUCK COUNTY SCHOOLS</t>
  </si>
  <si>
    <t>DARE COUNTY SCHOOLS</t>
  </si>
  <si>
    <t>DAVIDSON COUNTY SCHOOLS</t>
  </si>
  <si>
    <t>INVEST COLLEGIATE CHARTER (DAVIDSON)</t>
  </si>
  <si>
    <t>DISCOVERY CHARTER</t>
  </si>
  <si>
    <t>LEXINGTON CITY SCHOOLS</t>
  </si>
  <si>
    <t>ALAMANCE COMMUNITY SCHOOL</t>
  </si>
  <si>
    <t>THOMASVILLE CITY SCHOOLS</t>
  </si>
  <si>
    <t>DAVIE COUNTY SCHOOLS</t>
  </si>
  <si>
    <t>NORTHEAST REGIONAL SCHOOL FOR BIOTECHNOLOGY</t>
  </si>
  <si>
    <t>CORNERSTONE ACADEMY</t>
  </si>
  <si>
    <t>DUPLIN COUNTY SCHOOLS</t>
  </si>
  <si>
    <t>DURHAM PUBLIC SCHOOLS</t>
  </si>
  <si>
    <t>CENTRAL PARK SCHOOL FOR CHILDREN</t>
  </si>
  <si>
    <t>HEALTHY START ACADEMY</t>
  </si>
  <si>
    <t>VOYAGER ACADEMY</t>
  </si>
  <si>
    <t>BEAR GRASS CHARTER SCHOOL</t>
  </si>
  <si>
    <t>INVEST COLLEGIATE CHARTER (BUNCOMBE)</t>
  </si>
  <si>
    <t>PIONEER SPRINGS COMMUNITY CHARTER</t>
  </si>
  <si>
    <t>EDGECOMBE COUNTY SCHOOLS</t>
  </si>
  <si>
    <t>WINSTON-SALEM-FORSYTH COUNTY SCHOOLS</t>
  </si>
  <si>
    <t>ARTS BASED ELEMENTARY CHARTER</t>
  </si>
  <si>
    <t>FRANKLIN COUNTY SCHOOLS</t>
  </si>
  <si>
    <t>A CHILDS GARDEN CHARTER (AKA CROSS CREEK CHARTER)</t>
  </si>
  <si>
    <t>GASTON COUNTY SCHOOLS</t>
  </si>
  <si>
    <t>GATES COUNTY SCHOOLS</t>
  </si>
  <si>
    <t>GRAHAM COUNTY SCHOOLS</t>
  </si>
  <si>
    <t>GRANVILLE COUNTY SCHOOLS AND OXFORD ORPHANAGE</t>
  </si>
  <si>
    <t>GREENE COUNTY SCHOOLS</t>
  </si>
  <si>
    <t>GUILFORD COUNTY SCHOOLS</t>
  </si>
  <si>
    <t>HALIFAX COUNTY SCHOOLS</t>
  </si>
  <si>
    <t>ROANOKE RAPIDS CITY SCHOOLS</t>
  </si>
  <si>
    <t>WELDON CITY SCHOOLS</t>
  </si>
  <si>
    <t>HARNETT COUNTY SCHOOLS</t>
  </si>
  <si>
    <t>HAYWOOD COUNTY SCHOOLS</t>
  </si>
  <si>
    <t>HENDERSON COUNTY SCHOOLS</t>
  </si>
  <si>
    <t>MOUNTAIN COMMUNITY SCHOOL</t>
  </si>
  <si>
    <t>HERTFORD COUNTY SCHOOLS</t>
  </si>
  <si>
    <t>HOKE COUNTY SCHOOLS</t>
  </si>
  <si>
    <t>HYDE COUNTY SCHOOLS</t>
  </si>
  <si>
    <t>IREDELL-STATESVILLE SCHOOLS</t>
  </si>
  <si>
    <t>AMERICAN RENAISSANCE MIDDLE SCHOOL</t>
  </si>
  <si>
    <t>SUCCESS INSTITUTE</t>
  </si>
  <si>
    <t>MOORESVILLE CITY SCHOOLS</t>
  </si>
  <si>
    <t>JACKSON COUNTY SCHOOLS</t>
  </si>
  <si>
    <t>JOHNSTON COUNTY SCHOOLS</t>
  </si>
  <si>
    <t>NEUSE CHARTER SCHOOL</t>
  </si>
  <si>
    <t>JONES COUNTY SCHOOLS</t>
  </si>
  <si>
    <t>SANFORD-LEE COUNTY BOARD OF EDUCATION</t>
  </si>
  <si>
    <t>LENOIR COUNTY SCHOOLS</t>
  </si>
  <si>
    <t>CHILDRENS VILLAGE ACADEMY</t>
  </si>
  <si>
    <t>LINCOLN COUNTY SCHOOLS</t>
  </si>
  <si>
    <t>MACON COUNTY SCHOOLS</t>
  </si>
  <si>
    <t>MADISON COUNTY SCHOOLS</t>
  </si>
  <si>
    <t>MARTIN COUNTY SCHOOLS</t>
  </si>
  <si>
    <t>MCDOWELL COUNTY SCHOOLS</t>
  </si>
  <si>
    <t>CHARLOTTE-MECKLENBURG COUNTY SCHOOLS</t>
  </si>
  <si>
    <t>COMMUNITY CHARTER SCHOOL</t>
  </si>
  <si>
    <t>COMMUNITY SCHOOL OF DAVIDSON</t>
  </si>
  <si>
    <t>CORVIAN COMMUNITY CHARTER SCHOOL</t>
  </si>
  <si>
    <t>LAKE NORMAN CHARTER SCHOOL</t>
  </si>
  <si>
    <t>SOCRATES ACADEMY</t>
  </si>
  <si>
    <t>PINE LAKE PREP CHARTER</t>
  </si>
  <si>
    <t>CHARLOTTE SECONDARY CHARTER</t>
  </si>
  <si>
    <t>MITCHELL COUNTY SCHOOLS</t>
  </si>
  <si>
    <t>KIPP CHARLOTTE CHARTER</t>
  </si>
  <si>
    <t>MONTGOMERY COUNTY SCHOOLS</t>
  </si>
  <si>
    <t>MOORE COUNTY SCHOOLS</t>
  </si>
  <si>
    <t>ACADEMY OF MOORE COUNTY</t>
  </si>
  <si>
    <t>STARS CHARTER SCHOOL</t>
  </si>
  <si>
    <t>THE NORTH CAROLINA LEADERSHIP ACADEMY</t>
  </si>
  <si>
    <t>FERNLEAF COMMUNITY CHARTER</t>
  </si>
  <si>
    <t>NASH-ROCKY MOUNT SCHOOLS</t>
  </si>
  <si>
    <t>NASH COMMUNITY COLLEGE</t>
  </si>
  <si>
    <t>NEW HANOVER COUNTY SCHOOLS</t>
  </si>
  <si>
    <t>CAPE FEAR CENTER FOR INQUIRY</t>
  </si>
  <si>
    <t>WILMINGTON PREP ACADEMY</t>
  </si>
  <si>
    <t>NORTHAMPTON COUNTY SCHOOLS</t>
  </si>
  <si>
    <t>GASTON COLLEGE PREPARATORY CHARTER</t>
  </si>
  <si>
    <t>ONSLOW COUNTY SCHOOLS</t>
  </si>
  <si>
    <t>ZECA SCHOOL OF THE ARTS AND TECHNOLOGY</t>
  </si>
  <si>
    <t>ORANGE COUNTY SCHOOLS</t>
  </si>
  <si>
    <t>ORANGE CHARTER SCHOOL</t>
  </si>
  <si>
    <t>CHAPEL HILL - CARRBORO CITY SCHOOLS</t>
  </si>
  <si>
    <t>PAMLICO COUNTY SCHOOLS</t>
  </si>
  <si>
    <t>ARAPAHOE CHARTER SCHOOL</t>
  </si>
  <si>
    <t>ELIZABETH CITY AND PASQUOTANK COUNTY SCHOOLS</t>
  </si>
  <si>
    <t>N.E. ACADEMY OF AEROSPACE &amp; ADVANCED TECHNOLOGY</t>
  </si>
  <si>
    <t>PENDER COUNTY SCHOOLS</t>
  </si>
  <si>
    <t>PERQUIMANS COUNTY SCHOOLS</t>
  </si>
  <si>
    <t>PERSON COUNTY SCHOOLS</t>
  </si>
  <si>
    <t>ROXBORO COMMUNITY SCHOOL</t>
  </si>
  <si>
    <t>PITT COUNTY SCHOOLS</t>
  </si>
  <si>
    <t>POLK COUNTY SCHOOLS</t>
  </si>
  <si>
    <t>RANDOLPH COUNTY SCHOOLS</t>
  </si>
  <si>
    <t>UWHARRIE CHARTER ACADEMY</t>
  </si>
  <si>
    <t>ASHEBORO CITY SCHOOLS</t>
  </si>
  <si>
    <t>RICHMOND COUNTY SCHOOLS</t>
  </si>
  <si>
    <t>ROBESON COUNTY SCHOOLS</t>
  </si>
  <si>
    <t>SOUTHEASTERN ACADEMY CHARTER SCHOOL</t>
  </si>
  <si>
    <t>ROCKINGHAM COUNTY SCHOOLS</t>
  </si>
  <si>
    <t>BETHANY COMMUNITY MIDDLE SCHOOL</t>
  </si>
  <si>
    <t>ROWAN-SALISBURY SCHOOL SYSTEM</t>
  </si>
  <si>
    <t>RUTHERFORD COUNTY SCHOOLS</t>
  </si>
  <si>
    <t>SAMPSON COUNTY SCHOOLS</t>
  </si>
  <si>
    <t>CLINTON CITY SCHOOLS</t>
  </si>
  <si>
    <t>SCOTLAND COUNTY SCHOOLS</t>
  </si>
  <si>
    <t>STANLY COUNTY SCHOOLS</t>
  </si>
  <si>
    <t>GRAY STONE DAY SCHOOL</t>
  </si>
  <si>
    <t>STOKES COUNTY SCHOOLS</t>
  </si>
  <si>
    <t>SURRY COUNTY SCHOOLS</t>
  </si>
  <si>
    <t>BRIDGES CHARTER SCHOOLS</t>
  </si>
  <si>
    <t>MILLENNIUM CHARTER ACADEMY</t>
  </si>
  <si>
    <t>MOUNT AIRY CITY SCHOOLS</t>
  </si>
  <si>
    <t>ELKIN CITY SCHOOLS</t>
  </si>
  <si>
    <t>SWAIN COUNTY SCHOOLS</t>
  </si>
  <si>
    <t>MOUNTAIN DISCOVERY CHARTER</t>
  </si>
  <si>
    <t>TRANSYLVANIA COUNTY SCHOOLS</t>
  </si>
  <si>
    <t>BREVARD ACADEMY CHARTER SCHOOL</t>
  </si>
  <si>
    <t>TYRRELL COUNTY SCHOOLS</t>
  </si>
  <si>
    <t>UNION COUNTY SCHOOLS</t>
  </si>
  <si>
    <t>VANCE COUNTY SCHOOLS</t>
  </si>
  <si>
    <t>VANCE CHARTER SCHOOL</t>
  </si>
  <si>
    <t>WAKE COUNTY PUBLIC SCHOOLS SYSTEM</t>
  </si>
  <si>
    <t>ENDEAVOR CHARTER SCHOOL</t>
  </si>
  <si>
    <t>SOUTHERN WAKE ACADEMY</t>
  </si>
  <si>
    <t>EAST WAKE FIRST ACADEMY</t>
  </si>
  <si>
    <t>CASA ESPERANZA MONTESSORI</t>
  </si>
  <si>
    <t>NORTH CAROLINA INNOVATIVE SCHOOL DISTRICT</t>
  </si>
  <si>
    <t>WARREN COUNTY SCHOOLS</t>
  </si>
  <si>
    <t>HALIWA-SAPONI TRIBAL CHARTER</t>
  </si>
  <si>
    <t>WASHINGTON COUNTY SCHOOLS</t>
  </si>
  <si>
    <t>HENDERSON COLLEGIATE CHARTER SCHOOL</t>
  </si>
  <si>
    <t>WATAUGA COUNTY SCHOOLS</t>
  </si>
  <si>
    <t>TWO RIVERS COMMUNITY SCHOOL</t>
  </si>
  <si>
    <t>WAYNE COUNTY SCHOOLS</t>
  </si>
  <si>
    <t>WILKES COUNTY SCHOOLS</t>
  </si>
  <si>
    <t>PINNACLE CLASSICAL ACADEMY</t>
  </si>
  <si>
    <t>WILSON COUNTY SCHOOLS</t>
  </si>
  <si>
    <t>YADKIN COUNTY SCHOOLS</t>
  </si>
  <si>
    <t>HIGHWAY - ADMINISTRATIVE (w/o Global Transpark or Ports Authority)</t>
  </si>
  <si>
    <t>HIGHWAY - ADMINISTRATIVE (Global Transpark Only)</t>
  </si>
  <si>
    <t>HIGHWAY - ADMINISTRATIVE (Ports Authority Only)</t>
  </si>
  <si>
    <t>Net OPEB Liability</t>
  </si>
  <si>
    <t>STATE AUDITOR</t>
  </si>
  <si>
    <t>OFFICE OF ADMINISTRATIVE HEARING</t>
  </si>
  <si>
    <t>OFFICE OF STATE BUDGET &amp; MANAGEMENT</t>
  </si>
  <si>
    <t>INFORMATION TECHNOLOGY SERVICES</t>
  </si>
  <si>
    <t>NC DEPARTMENT OF MILITARY &amp; VETERANS AFFAIRS</t>
  </si>
  <si>
    <t>NC DEPT OF ENVIRONMENTAL QUALITY</t>
  </si>
  <si>
    <t>GOVERNOR'S OFFICE</t>
  </si>
  <si>
    <t>LT GOVERNOR'S OFFICE</t>
  </si>
  <si>
    <t>HEALTH AND HUMAN SVCS</t>
  </si>
  <si>
    <t>INSURANCE DEPARTMENT</t>
  </si>
  <si>
    <t>LABOR DEPARTMENT</t>
  </si>
  <si>
    <t>REVENUE DEPARTMENT</t>
  </si>
  <si>
    <t>SECRETARY OF STATE</t>
  </si>
  <si>
    <t>STATE TREASURER</t>
  </si>
  <si>
    <t>DEPT OF AGRICULTURE &amp; CONSUMER SVCS.</t>
  </si>
  <si>
    <t>BARBER EXAMINERS, STATE BOARD OF</t>
  </si>
  <si>
    <t>N C AUCTIONEERS LICENSING BOARD</t>
  </si>
  <si>
    <t>NC BRD OF EXAMINERS OF PRACTICING PSYCOLOGISTS</t>
  </si>
  <si>
    <t>COMMUNITY COLLEGES ADMINISTRATION</t>
  </si>
  <si>
    <t>UNC-SYSTEM OFFICE</t>
  </si>
  <si>
    <t>F DELANY NEW SCHOOL FOR CHILDREN</t>
  </si>
  <si>
    <t>DAVIDSON-DAVIE COMMUNITY COLLEGE</t>
  </si>
  <si>
    <t>N.E. REGIONAL SCHOOL FOR BIOTECHNOLOGY</t>
  </si>
  <si>
    <t>CENTRAL PARK SCH FOR CHILDREN</t>
  </si>
  <si>
    <t>FORSYTH TECHNICAL COMMUNIITY COLLEGE</t>
  </si>
  <si>
    <t>GRANVILLE COUNTY PUBLIC SCHOOLS</t>
  </si>
  <si>
    <t>AMERICAN RENAISSANCE MID SCHOOL</t>
  </si>
  <si>
    <t>LEE COUNTY BOARD OF EDUCATION</t>
  </si>
  <si>
    <t>NASH COUNTY PUBLIC SCHOOLS</t>
  </si>
  <si>
    <t>CAPE FEAR CTR FOR INQUIRY</t>
  </si>
  <si>
    <t>N.E. ACADEMY OF AEROSPACE &amp; ADV.TECH</t>
  </si>
  <si>
    <t>MTN DISCOVERY CHARTER</t>
  </si>
  <si>
    <t>TWO RIVERS COMM SCHOOL</t>
  </si>
  <si>
    <t>HIGHWAY - ADMINISTRATIVE</t>
  </si>
  <si>
    <t>ENVIRONMENT AND NATURAL RESOURCES</t>
  </si>
  <si>
    <t>HEALTH &amp; HUMAN SVCS</t>
  </si>
  <si>
    <t>STATE TREASURER (w/o State Health Plan)</t>
  </si>
  <si>
    <t>STATE TREASURER (State Health Plan Only)</t>
  </si>
  <si>
    <t>N C STATE BOARD OF EXAMINERS OF PRACTICING PSYCHOL</t>
  </si>
  <si>
    <t>LEE COUNTY SCHOOLS</t>
  </si>
  <si>
    <t>Net OPEB liability-noncurrent</t>
  </si>
  <si>
    <t>Change in the net OPEB liability</t>
  </si>
  <si>
    <t>Change in net OPEB liability</t>
  </si>
  <si>
    <t>Liability</t>
  </si>
  <si>
    <t>6/30/2022 Net OPEB Liability</t>
  </si>
  <si>
    <t>Net change</t>
  </si>
  <si>
    <t>Net change to OPEB asset</t>
  </si>
  <si>
    <t>Net OPEB asset at 6/30/22</t>
  </si>
  <si>
    <t>Net change to OPEB liability</t>
  </si>
  <si>
    <t>Net OPEB liability</t>
  </si>
  <si>
    <t>Beginning net OPEB liability</t>
  </si>
  <si>
    <t xml:space="preserve">NOTE:  for FY2023, there is no beginning net OPEB liability b/c at 6/30/22 it was a net OPEB asset.  This formula </t>
  </si>
  <si>
    <t>will need to be corrected in FY2024</t>
  </si>
  <si>
    <t>2023 Allocation Percentage</t>
  </si>
  <si>
    <t>6/30/2023 Net OPEB Liability</t>
  </si>
  <si>
    <t>6/30/2023 Deferred Outflows of Resources</t>
  </si>
  <si>
    <t>6/30/2023 Deferred Inflows of Resources</t>
  </si>
  <si>
    <t>Reporting 2029</t>
  </si>
  <si>
    <t>DEPARTMENT OF ADULT CORRECTIONS</t>
  </si>
  <si>
    <t xml:space="preserve">                        -  </t>
  </si>
  <si>
    <t>check value from original sheet</t>
  </si>
  <si>
    <t>differnece</t>
  </si>
  <si>
    <t>UNIVERSITY OF NORTH CAROLINA  AT GREENSBORO</t>
  </si>
  <si>
    <t>NC STATE BOARD OF EXAMINERS OF PRACTICING PSYCHOLOGISTS</t>
  </si>
  <si>
    <t>DEPARTMENT OF ADULT CORRECTION</t>
  </si>
  <si>
    <t>chk value from original sheet</t>
  </si>
  <si>
    <t>difference</t>
  </si>
  <si>
    <t>Fiscal Year Ended June 30, 2024</t>
  </si>
  <si>
    <t>Balance July 1, 2023</t>
  </si>
  <si>
    <t>Balance, June 30, 2024</t>
  </si>
  <si>
    <t>Last Year's MANUAL ENTRY - FY2023 Employer Contributions</t>
  </si>
  <si>
    <t>FY2023 employer contributions - per actuary</t>
  </si>
  <si>
    <t>FY2023 employer contributions - per agency/institution</t>
  </si>
  <si>
    <t>Deferred outflows for OPEB (FY2024 Employer Contributions)</t>
  </si>
  <si>
    <t>FY2024 employer contributions – per agency/institution</t>
  </si>
  <si>
    <t>GoTo "Detail" Tab — Enter Employer Contributions (FY2023 &amp; FY2024).</t>
  </si>
  <si>
    <t>OPEB (Including DIPNC)– Financial Audit of Schedules</t>
  </si>
  <si>
    <t>https://files.nc.gov/nc-auditor/documents/2024-03/FIN-2023-3400-OPEB.pdf?VersionId=0zyYx_S_fmDpAWMEa7Hrd9JvwMWSxPQO</t>
  </si>
  <si>
    <t>any questions about this template, please contact Elizabeth John at (919) 707-0690 or</t>
  </si>
  <si>
    <t>elizabeth.john@ncosc.gov</t>
  </si>
  <si>
    <r>
      <rPr>
        <b/>
        <sz val="10"/>
        <rFont val="Arial"/>
        <family val="2"/>
      </rPr>
      <t>(1)  Difference in Contributions Between Employer/Actuary</t>
    </r>
    <r>
      <rPr>
        <sz val="10"/>
        <rFont val="Arial"/>
        <family val="2"/>
      </rPr>
      <t xml:space="preserve"> – The difference between what your entity reported last year as your FY 2023 employer contributions (i.e., as a deferred outflow for OPEB) and the amount reported by the actuary (per this template) should be evaluated for materiality (see "Detail" tab, Entry 1). If this difference is material, the 13th period entry above should be modified. The template assumes the difference is immaterial and adjusts the beginning deferred outflow balance to the actuarial amount with an offset to current year miscellaneous expense (income). However, if the difference is material, the entry should be modified to reflect the offset as a restatement of beginning net position. </t>
    </r>
  </si>
  <si>
    <t>June 30, 2025:</t>
  </si>
  <si>
    <t>by 0.11% (the 2023-24 employer contribution rate for DIPNC)</t>
  </si>
  <si>
    <t>NCFS</t>
  </si>
  <si>
    <t>Net change in OPEB liability</t>
  </si>
  <si>
    <t>Difference in FY2023 contributions per employer/actuary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</si>
</sst>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_);\(#,##0.00\);\—\—\—\ \ \ \ "/>
    <numFmt numFmtId="165" formatCode="\(0\)"/>
    <numFmt numFmtId="166" formatCode="#,##0_);\(#,##0\);\—\—\—\ \ \ \ "/>
    <numFmt numFmtId="167" formatCode="#,##0_);\(#,##0\);\—\ \ \ \ "/>
    <numFmt numFmtId="168" formatCode="_(&quot;$&quot;* #,##0_);_(&quot;$&quot;* \(#,##0\);_(&quot;$&quot;* &quot;—&quot;_);_(@_)"/>
    <numFmt numFmtId="169" formatCode="_(* #,##0_);_(* \(#,##0\);_(* &quot;—&quot;_);_(@_)"/>
    <numFmt numFmtId="170" formatCode="0.00000%"/>
    <numFmt numFmtId="171" formatCode="_(* #,##0_);_(* \(#,##0\);_(* &quot;-&quot;??_);_(@_)"/>
    <numFmt numFmtId="172" formatCode="_(* #,##0_);_(* \(#,##0\);_(* &quot;-&quot;????_);_(@_)"/>
    <numFmt numFmtId="173" formatCode="_(&quot;$&quot;* #,##0_);_(&quot;$&quot;* \(#,##0\);_(&quot;$&quot;* &quot;-&quot;??_);_(@_)"/>
  </numFmts>
  <fonts count="54">
    <font>
      <sz val="10"/>
      <name val="Arial"/>
    </font>
    <font>
      <sz val="11"/>
      <color theme="1"/>
      <name val="Calibri"/>
      <family val="2"/>
      <scheme val="minor"/>
    </font>
    <font>
      <sz val="11"/>
      <color theme="1"/>
      <name val="Calibri"/>
      <family val="2"/>
      <scheme val="minor"/>
    </font>
    <font>
      <b/>
      <u/>
      <sz val="9"/>
      <name val="Arial"/>
      <family val="2"/>
    </font>
    <font>
      <b/>
      <u/>
      <sz val="9"/>
      <name val="Arial Narrow"/>
      <family val="2"/>
    </font>
    <font>
      <sz val="9"/>
      <name val="Arial Narrow"/>
      <family val="2"/>
    </font>
    <font>
      <b/>
      <i/>
      <sz val="9"/>
      <name val="Arial Narrow"/>
      <family val="2"/>
    </font>
    <font>
      <b/>
      <sz val="9"/>
      <name val="Arial Narrow"/>
      <family val="2"/>
    </font>
    <font>
      <b/>
      <i/>
      <u/>
      <sz val="9"/>
      <name val="Arial Narrow"/>
      <family val="2"/>
    </font>
    <font>
      <sz val="9"/>
      <name val="@Batang"/>
      <family val="1"/>
    </font>
    <font>
      <sz val="8"/>
      <name val="Arial"/>
      <family val="2"/>
    </font>
    <font>
      <sz val="12"/>
      <name val="Times New Roman"/>
      <family val="1"/>
    </font>
    <font>
      <sz val="8.25"/>
      <name val="Helv"/>
    </font>
    <font>
      <b/>
      <sz val="10"/>
      <name val="Arial"/>
      <family val="2"/>
    </font>
    <font>
      <sz val="8"/>
      <name val="Arial Narrow"/>
      <family val="2"/>
    </font>
    <font>
      <sz val="10"/>
      <name val="Arial"/>
      <family val="2"/>
    </font>
    <font>
      <u/>
      <sz val="9"/>
      <name val="Arial Narrow"/>
      <family val="2"/>
    </font>
    <font>
      <b/>
      <i/>
      <sz val="9"/>
      <color theme="1"/>
      <name val="Arial Narrow"/>
      <family val="2"/>
    </font>
    <font>
      <sz val="9"/>
      <name val="Arial"/>
      <family val="2"/>
    </font>
    <font>
      <b/>
      <u/>
      <sz val="10"/>
      <name val="Arial"/>
      <family val="2"/>
    </font>
    <font>
      <u/>
      <sz val="10"/>
      <name val="Arial"/>
      <family val="2"/>
    </font>
    <font>
      <i/>
      <sz val="10"/>
      <name val="Arial"/>
      <family val="2"/>
    </font>
    <font>
      <sz val="10"/>
      <color rgb="FF0000FF"/>
      <name val="Arial"/>
      <family val="2"/>
    </font>
    <font>
      <sz val="10"/>
      <name val="Arial"/>
      <family val="2"/>
    </font>
    <font>
      <b/>
      <sz val="11"/>
      <color theme="1"/>
      <name val="Calibri"/>
      <family val="2"/>
      <scheme val="minor"/>
    </font>
    <font>
      <b/>
      <sz val="10"/>
      <color rgb="FF000000"/>
      <name val="Arial"/>
      <family val="2"/>
    </font>
    <font>
      <b/>
      <sz val="11"/>
      <color rgb="FF000000"/>
      <name val="Calibri"/>
      <family val="2"/>
      <scheme val="minor"/>
    </font>
    <font>
      <sz val="11"/>
      <color rgb="FF000000"/>
      <name val="Calibri"/>
      <family val="2"/>
      <scheme val="minor"/>
    </font>
    <font>
      <b/>
      <u/>
      <sz val="9"/>
      <color rgb="FFFF0000"/>
      <name val="Arial Narrow"/>
      <family val="2"/>
    </font>
    <font>
      <i/>
      <u/>
      <sz val="10"/>
      <name val="Arial"/>
      <family val="2"/>
    </font>
    <font>
      <sz val="10"/>
      <color indexed="10"/>
      <name val="Arial"/>
      <family val="2"/>
    </font>
    <font>
      <b/>
      <sz val="10"/>
      <color indexed="10"/>
      <name val="Arial"/>
      <family val="2"/>
    </font>
    <font>
      <b/>
      <sz val="14"/>
      <color rgb="FFFF0000"/>
      <name val="Arial"/>
      <family val="2"/>
    </font>
    <font>
      <b/>
      <sz val="12.5"/>
      <color rgb="FFFF0000"/>
      <name val="Arial"/>
      <family val="2"/>
    </font>
    <font>
      <u/>
      <sz val="10"/>
      <color theme="10"/>
      <name val="Arial"/>
      <family val="2"/>
    </font>
    <font>
      <i/>
      <sz val="9"/>
      <name val="Arial Narrow"/>
      <family val="2"/>
    </font>
    <font>
      <sz val="10"/>
      <color rgb="FFFF0000"/>
      <name val="Arial"/>
      <family val="2"/>
    </font>
    <font>
      <b/>
      <i/>
      <sz val="10"/>
      <name val="Arial"/>
      <family val="2"/>
    </font>
    <font>
      <b/>
      <sz val="9"/>
      <color rgb="FFFF0000"/>
      <name val="Arial Narrow"/>
      <family val="2"/>
    </font>
    <font>
      <b/>
      <sz val="10"/>
      <color rgb="FFFF0000"/>
      <name val="Arial"/>
      <family val="2"/>
    </font>
    <font>
      <sz val="9"/>
      <color indexed="10"/>
      <name val="Arial Narrow"/>
      <family val="2"/>
    </font>
    <font>
      <b/>
      <sz val="10"/>
      <color indexed="10"/>
      <name val="Arial Narrow"/>
      <family val="2"/>
    </font>
    <font>
      <sz val="11"/>
      <name val="Calibri"/>
      <family val="2"/>
      <scheme val="minor"/>
    </font>
    <font>
      <sz val="10"/>
      <color theme="1"/>
      <name val="Arial"/>
      <family val="2"/>
    </font>
    <font>
      <sz val="10"/>
      <color rgb="FF000000"/>
      <name val="Arial"/>
      <family val="2"/>
    </font>
    <font>
      <sz val="9"/>
      <color theme="1"/>
      <name val="Arial Narrow"/>
      <family val="2"/>
    </font>
    <font>
      <sz val="10"/>
      <name val="Arial"/>
      <family val="2"/>
    </font>
    <font>
      <b/>
      <sz val="11"/>
      <name val="Times New Roman"/>
      <family val="1"/>
    </font>
    <font>
      <sz val="11"/>
      <color rgb="FF000000"/>
      <name val="Arial"/>
      <family val="2"/>
    </font>
    <font>
      <sz val="11"/>
      <name val="Arial"/>
      <family val="2"/>
    </font>
    <font>
      <b/>
      <sz val="12"/>
      <name val="Times New Roman"/>
      <family val="1"/>
    </font>
    <font>
      <sz val="11"/>
      <color theme="1"/>
      <name val="Arial"/>
      <family val="2"/>
    </font>
    <font>
      <b/>
      <sz val="11"/>
      <color theme="1"/>
      <name val="Arial"/>
      <family val="2"/>
    </font>
    <font>
      <sz val="11"/>
      <name val="Aptos"/>
      <family val="2"/>
    </font>
  </fonts>
  <fills count="13">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B7FFD8"/>
        <bgColor indexed="64"/>
      </patternFill>
    </fill>
    <fill>
      <patternFill patternType="solid">
        <fgColor theme="9" tint="0.39997558519241921"/>
        <bgColor indexed="64"/>
      </patternFill>
    </fill>
    <fill>
      <patternFill patternType="solid">
        <fgColor indexed="41"/>
        <bgColor indexed="64"/>
      </patternFill>
    </fill>
    <fill>
      <patternFill patternType="solid">
        <fgColor theme="4" tint="0.79998168889431442"/>
        <bgColor theme="4" tint="0.79998168889431442"/>
      </patternFill>
    </fill>
    <fill>
      <patternFill patternType="solid">
        <fgColor theme="6"/>
        <bgColor indexed="64"/>
      </patternFill>
    </fill>
    <fill>
      <patternFill patternType="solid">
        <fgColor theme="9" tint="0.79998168889431442"/>
        <bgColor indexed="64"/>
      </patternFill>
    </fill>
    <fill>
      <patternFill patternType="solid">
        <fgColor theme="9"/>
        <bgColor indexed="64"/>
      </patternFill>
    </fill>
  </fills>
  <borders count="21">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double">
        <color indexed="64"/>
      </top>
      <bottom style="medium">
        <color indexed="64"/>
      </bottom>
      <diagonal/>
    </border>
    <border>
      <left/>
      <right/>
      <top style="thin">
        <color theme="4" tint="0.39997558519241921"/>
      </top>
      <bottom style="thin">
        <color theme="4" tint="0.39997558519241921"/>
      </bottom>
      <diagonal/>
    </border>
  </borders>
  <cellStyleXfs count="22">
    <xf numFmtId="0" fontId="0" fillId="0" borderId="0"/>
    <xf numFmtId="0" fontId="12" fillId="0" borderId="0"/>
    <xf numFmtId="43" fontId="23" fillId="0" borderId="0" applyFont="0" applyFill="0" applyBorder="0" applyAlignment="0" applyProtection="0"/>
    <xf numFmtId="9" fontId="23" fillId="0" borderId="0" applyFont="0" applyFill="0" applyBorder="0" applyAlignment="0" applyProtection="0"/>
    <xf numFmtId="0" fontId="34" fillId="0" borderId="0" applyNumberFormat="0" applyFill="0" applyBorder="0" applyAlignment="0" applyProtection="0"/>
    <xf numFmtId="43" fontId="2" fillId="0" borderId="0" applyFont="0" applyFill="0" applyBorder="0" applyAlignment="0" applyProtection="0"/>
    <xf numFmtId="39" fontId="15" fillId="0" borderId="0"/>
    <xf numFmtId="9" fontId="2" fillId="0" borderId="0" applyFont="0" applyFill="0" applyBorder="0" applyAlignment="0" applyProtection="0"/>
    <xf numFmtId="0" fontId="2" fillId="0" borderId="0"/>
    <xf numFmtId="9" fontId="43" fillId="0" borderId="0" applyFont="0" applyFill="0" applyBorder="0" applyAlignment="0" applyProtection="0"/>
    <xf numFmtId="43" fontId="43" fillId="0" borderId="0" applyFont="0" applyFill="0" applyBorder="0" applyAlignment="0" applyProtection="0"/>
    <xf numFmtId="39" fontId="15" fillId="0" borderId="0"/>
    <xf numFmtId="0" fontId="11" fillId="0" borderId="0" applyFill="0" applyBorder="0" applyAlignment="0" applyProtection="0">
      <alignment horizontal="left"/>
    </xf>
    <xf numFmtId="44" fontId="46"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43" fillId="0" borderId="0" applyFont="0" applyFill="0" applyBorder="0" applyAlignment="0" applyProtection="0"/>
    <xf numFmtId="0" fontId="43" fillId="0" borderId="0"/>
    <xf numFmtId="0" fontId="47" fillId="8" borderId="16" applyNumberFormat="0" applyBorder="0">
      <alignment horizontal="center"/>
    </xf>
    <xf numFmtId="0" fontId="50" fillId="8" borderId="19" applyNumberFormat="0" applyFont="0" applyBorder="0" applyAlignment="0" applyProtection="0">
      <alignment horizontal="center"/>
    </xf>
  </cellStyleXfs>
  <cellXfs count="275">
    <xf numFmtId="0" fontId="0" fillId="0" borderId="0" xfId="0"/>
    <xf numFmtId="0" fontId="13" fillId="0" borderId="0" xfId="0" applyFont="1"/>
    <xf numFmtId="0" fontId="15" fillId="0" borderId="0" xfId="0" applyFont="1"/>
    <xf numFmtId="166" fontId="13" fillId="0" borderId="0" xfId="0" applyNumberFormat="1" applyFont="1" applyAlignment="1">
      <alignment horizontal="center"/>
    </xf>
    <xf numFmtId="168" fontId="15" fillId="0" borderId="0" xfId="0" applyNumberFormat="1" applyFont="1"/>
    <xf numFmtId="169" fontId="15" fillId="0" borderId="0" xfId="0" applyNumberFormat="1" applyFont="1"/>
    <xf numFmtId="0" fontId="15" fillId="0" borderId="0" xfId="0" applyFont="1" applyAlignment="1">
      <alignment horizontal="center"/>
    </xf>
    <xf numFmtId="0" fontId="0" fillId="0" borderId="0" xfId="0" applyAlignment="1">
      <alignment horizontal="center"/>
    </xf>
    <xf numFmtId="37" fontId="0" fillId="0" borderId="0" xfId="0" applyNumberFormat="1"/>
    <xf numFmtId="170" fontId="0" fillId="0" borderId="0" xfId="0" applyNumberFormat="1"/>
    <xf numFmtId="3" fontId="0" fillId="0" borderId="0" xfId="0" applyNumberFormat="1"/>
    <xf numFmtId="0" fontId="15" fillId="0" borderId="3" xfId="0" applyFont="1" applyBorder="1" applyAlignment="1">
      <alignment horizontal="center"/>
    </xf>
    <xf numFmtId="168" fontId="0" fillId="0" borderId="0" xfId="0" applyNumberFormat="1"/>
    <xf numFmtId="169" fontId="0" fillId="0" borderId="0" xfId="0" applyNumberFormat="1"/>
    <xf numFmtId="0" fontId="6" fillId="3" borderId="0" xfId="0" applyFont="1" applyFill="1" applyAlignment="1">
      <alignment horizontal="center"/>
    </xf>
    <xf numFmtId="0" fontId="0" fillId="4" borderId="0" xfId="0" applyFill="1"/>
    <xf numFmtId="0" fontId="4" fillId="4" borderId="0" xfId="0" applyFont="1" applyFill="1" applyAlignment="1">
      <alignment horizontal="center"/>
    </xf>
    <xf numFmtId="0" fontId="5" fillId="4" borderId="0" xfId="0" applyFont="1" applyFill="1" applyAlignment="1">
      <alignment horizontal="center"/>
    </xf>
    <xf numFmtId="0" fontId="6" fillId="4" borderId="0" xfId="0" applyFont="1" applyFill="1" applyAlignment="1">
      <alignment horizontal="center"/>
    </xf>
    <xf numFmtId="0" fontId="7" fillId="4" borderId="0" xfId="0" applyFont="1" applyFill="1" applyAlignment="1">
      <alignment horizontal="center"/>
    </xf>
    <xf numFmtId="0" fontId="11" fillId="4" borderId="0" xfId="1" applyFont="1" applyFill="1" applyAlignment="1">
      <alignment horizontal="left"/>
    </xf>
    <xf numFmtId="0" fontId="11" fillId="4" borderId="0" xfId="1" applyFont="1" applyFill="1"/>
    <xf numFmtId="0" fontId="0" fillId="4" borderId="0" xfId="0" applyFill="1" applyAlignment="1">
      <alignment wrapText="1"/>
    </xf>
    <xf numFmtId="0" fontId="11" fillId="4" borderId="0" xfId="1" applyFont="1" applyFill="1" applyAlignment="1">
      <alignment horizontal="left" wrapText="1"/>
    </xf>
    <xf numFmtId="0" fontId="11" fillId="4" borderId="0" xfId="1" applyFont="1" applyFill="1" applyAlignment="1">
      <alignment wrapText="1"/>
    </xf>
    <xf numFmtId="0" fontId="8" fillId="4" borderId="0" xfId="0" applyFont="1" applyFill="1" applyAlignment="1">
      <alignment horizontal="center"/>
    </xf>
    <xf numFmtId="0" fontId="0" fillId="2" borderId="0" xfId="0" applyFill="1"/>
    <xf numFmtId="0" fontId="4" fillId="2" borderId="0" xfId="0" applyFont="1" applyFill="1" applyAlignment="1">
      <alignment horizontal="center"/>
    </xf>
    <xf numFmtId="164" fontId="4" fillId="2" borderId="0" xfId="0" applyNumberFormat="1" applyFont="1" applyFill="1" applyAlignment="1">
      <alignment horizontal="center"/>
    </xf>
    <xf numFmtId="0" fontId="3" fillId="2" borderId="0" xfId="0" applyFont="1" applyFill="1" applyAlignment="1">
      <alignment horizontal="center"/>
    </xf>
    <xf numFmtId="0" fontId="5" fillId="2" borderId="0" xfId="0" applyFont="1" applyFill="1"/>
    <xf numFmtId="0" fontId="5" fillId="2" borderId="0" xfId="0" applyFont="1" applyFill="1" applyAlignment="1">
      <alignment horizontal="center"/>
    </xf>
    <xf numFmtId="0" fontId="7" fillId="2" borderId="0" xfId="0" applyFont="1" applyFill="1" applyAlignment="1">
      <alignment horizontal="center"/>
    </xf>
    <xf numFmtId="0" fontId="17" fillId="2" borderId="0" xfId="0" applyFont="1" applyFill="1" applyAlignment="1">
      <alignment horizontal="center"/>
    </xf>
    <xf numFmtId="165" fontId="18" fillId="2" borderId="0" xfId="0" applyNumberFormat="1" applyFont="1" applyFill="1" applyAlignment="1">
      <alignment horizontal="center"/>
    </xf>
    <xf numFmtId="167" fontId="5" fillId="2" borderId="0" xfId="0" applyNumberFormat="1" applyFont="1" applyFill="1"/>
    <xf numFmtId="0" fontId="5" fillId="2" borderId="0" xfId="0" applyFont="1" applyFill="1" applyAlignment="1">
      <alignment horizontal="left" indent="2"/>
    </xf>
    <xf numFmtId="0" fontId="7" fillId="2" borderId="0" xfId="0" applyFont="1" applyFill="1"/>
    <xf numFmtId="167" fontId="7" fillId="2" borderId="0" xfId="0" applyNumberFormat="1" applyFont="1" applyFill="1" applyAlignment="1">
      <alignment horizontal="center"/>
    </xf>
    <xf numFmtId="0" fontId="15" fillId="2" borderId="0" xfId="0" applyFont="1" applyFill="1"/>
    <xf numFmtId="0" fontId="16" fillId="2" borderId="0" xfId="0" applyFont="1" applyFill="1" applyAlignment="1">
      <alignment horizontal="center"/>
    </xf>
    <xf numFmtId="167" fontId="5" fillId="2" borderId="0" xfId="0" applyNumberFormat="1" applyFont="1" applyFill="1" applyProtection="1">
      <protection locked="0"/>
    </xf>
    <xf numFmtId="167" fontId="5" fillId="2" borderId="1" xfId="0" applyNumberFormat="1" applyFont="1" applyFill="1" applyBorder="1"/>
    <xf numFmtId="168" fontId="15" fillId="2" borderId="0" xfId="0" applyNumberFormat="1" applyFont="1" applyFill="1"/>
    <xf numFmtId="169" fontId="15" fillId="2" borderId="0" xfId="0" applyNumberFormat="1" applyFont="1" applyFill="1"/>
    <xf numFmtId="170" fontId="25" fillId="0" borderId="0" xfId="3" applyNumberFormat="1" applyFont="1" applyFill="1" applyBorder="1" applyAlignment="1">
      <alignment horizontal="center" wrapText="1"/>
    </xf>
    <xf numFmtId="0" fontId="26" fillId="0" borderId="0" xfId="0" applyFont="1" applyAlignment="1">
      <alignment horizontal="center" wrapText="1"/>
    </xf>
    <xf numFmtId="169" fontId="15" fillId="4" borderId="0" xfId="0" applyNumberFormat="1" applyFont="1" applyFill="1"/>
    <xf numFmtId="0" fontId="28" fillId="2" borderId="0" xfId="0" applyFont="1" applyFill="1" applyAlignment="1">
      <alignment horizontal="center"/>
    </xf>
    <xf numFmtId="167" fontId="5" fillId="4" borderId="12" xfId="0" applyNumberFormat="1" applyFont="1" applyFill="1" applyBorder="1" applyProtection="1">
      <protection locked="0"/>
    </xf>
    <xf numFmtId="42" fontId="0" fillId="4" borderId="0" xfId="0" applyNumberFormat="1" applyFill="1"/>
    <xf numFmtId="0" fontId="13" fillId="4" borderId="0" xfId="0" applyFont="1" applyFill="1"/>
    <xf numFmtId="0" fontId="13" fillId="4" borderId="0" xfId="0" quotePrefix="1" applyFont="1" applyFill="1"/>
    <xf numFmtId="0" fontId="32" fillId="4" borderId="0" xfId="0" applyFont="1" applyFill="1"/>
    <xf numFmtId="0" fontId="32" fillId="4" borderId="0" xfId="0" applyFont="1" applyFill="1" applyAlignment="1">
      <alignment horizontal="center"/>
    </xf>
    <xf numFmtId="0" fontId="13" fillId="4" borderId="0" xfId="0" applyFont="1" applyFill="1" applyAlignment="1">
      <alignment horizontal="left"/>
    </xf>
    <xf numFmtId="0" fontId="31" fillId="4" borderId="0" xfId="0" applyFont="1" applyFill="1" applyAlignment="1">
      <alignment horizontal="left" indent="3"/>
    </xf>
    <xf numFmtId="0" fontId="30" fillId="4" borderId="0" xfId="0" applyFont="1" applyFill="1" applyAlignment="1">
      <alignment horizontal="left" indent="4"/>
    </xf>
    <xf numFmtId="165" fontId="18" fillId="4" borderId="0" xfId="0" applyNumberFormat="1" applyFont="1" applyFill="1" applyAlignment="1">
      <alignment horizontal="center"/>
    </xf>
    <xf numFmtId="0" fontId="9" fillId="4" borderId="0" xfId="0" applyFont="1" applyFill="1"/>
    <xf numFmtId="166" fontId="5" fillId="4" borderId="0" xfId="0" applyNumberFormat="1" applyFont="1" applyFill="1"/>
    <xf numFmtId="0" fontId="5" fillId="4" borderId="0" xfId="0" applyFont="1" applyFill="1" applyAlignment="1">
      <alignment horizontal="center" vertical="top"/>
    </xf>
    <xf numFmtId="0" fontId="0" fillId="4" borderId="0" xfId="0" applyFill="1" applyAlignment="1">
      <alignment vertical="top"/>
    </xf>
    <xf numFmtId="0" fontId="5" fillId="4" borderId="0" xfId="0" applyFont="1" applyFill="1"/>
    <xf numFmtId="0" fontId="5" fillId="4" borderId="0" xfId="0" applyFont="1" applyFill="1" applyAlignment="1">
      <alignment horizontal="left" vertical="top"/>
    </xf>
    <xf numFmtId="0" fontId="5" fillId="4" borderId="0" xfId="0" applyFont="1" applyFill="1" applyAlignment="1">
      <alignment vertical="top"/>
    </xf>
    <xf numFmtId="0" fontId="5" fillId="4" borderId="0" xfId="0" applyFont="1" applyFill="1" applyAlignment="1">
      <alignment vertical="top" wrapText="1"/>
    </xf>
    <xf numFmtId="0" fontId="0" fillId="4" borderId="0" xfId="0" applyFill="1" applyAlignment="1">
      <alignment vertical="top" wrapText="1"/>
    </xf>
    <xf numFmtId="49" fontId="5" fillId="4" borderId="0" xfId="0" quotePrefix="1" applyNumberFormat="1" applyFont="1" applyFill="1" applyAlignment="1">
      <alignment horizontal="center" vertical="top"/>
    </xf>
    <xf numFmtId="0" fontId="5" fillId="4" borderId="0" xfId="0" applyFont="1" applyFill="1" applyAlignment="1">
      <alignment horizontal="left" vertical="top" wrapText="1"/>
    </xf>
    <xf numFmtId="0" fontId="13" fillId="2" borderId="0" xfId="0" quotePrefix="1" applyFont="1" applyFill="1" applyAlignment="1">
      <alignment horizontal="center"/>
    </xf>
    <xf numFmtId="0" fontId="13" fillId="2" borderId="3" xfId="0" quotePrefix="1" applyFont="1" applyFill="1" applyBorder="1" applyAlignment="1">
      <alignment horizontal="center"/>
    </xf>
    <xf numFmtId="169" fontId="15" fillId="2" borderId="3" xfId="0" applyNumberFormat="1" applyFont="1" applyFill="1" applyBorder="1"/>
    <xf numFmtId="168" fontId="15" fillId="2" borderId="2" xfId="0" applyNumberFormat="1" applyFont="1" applyFill="1" applyBorder="1"/>
    <xf numFmtId="0" fontId="13" fillId="4" borderId="0" xfId="0" applyFont="1" applyFill="1" applyAlignment="1">
      <alignment horizontal="center"/>
    </xf>
    <xf numFmtId="166" fontId="13" fillId="4" borderId="3" xfId="0" applyNumberFormat="1" applyFont="1" applyFill="1" applyBorder="1" applyAlignment="1">
      <alignment horizontal="center"/>
    </xf>
    <xf numFmtId="166" fontId="19" fillId="4" borderId="0" xfId="0" applyNumberFormat="1" applyFont="1" applyFill="1" applyAlignment="1">
      <alignment horizontal="center"/>
    </xf>
    <xf numFmtId="166" fontId="13" fillId="4" borderId="0" xfId="0" applyNumberFormat="1" applyFont="1" applyFill="1" applyAlignment="1">
      <alignment horizontal="center"/>
    </xf>
    <xf numFmtId="0" fontId="15" fillId="4" borderId="0" xfId="1" applyFont="1" applyFill="1"/>
    <xf numFmtId="1" fontId="15" fillId="4" borderId="0" xfId="0" applyNumberFormat="1" applyFont="1" applyFill="1" applyAlignment="1">
      <alignment horizontal="center"/>
    </xf>
    <xf numFmtId="168" fontId="15" fillId="4" borderId="0" xfId="0" applyNumberFormat="1" applyFont="1" applyFill="1"/>
    <xf numFmtId="167" fontId="15" fillId="4" borderId="0" xfId="0" applyNumberFormat="1" applyFont="1" applyFill="1"/>
    <xf numFmtId="169" fontId="15" fillId="4" borderId="3" xfId="0" applyNumberFormat="1" applyFont="1" applyFill="1" applyBorder="1"/>
    <xf numFmtId="0" fontId="15" fillId="4" borderId="0" xfId="1" applyFont="1" applyFill="1" applyAlignment="1">
      <alignment horizontal="left" indent="1"/>
    </xf>
    <xf numFmtId="0" fontId="15" fillId="4" borderId="0" xfId="0" applyFont="1" applyFill="1" applyAlignment="1">
      <alignment horizontal="center"/>
    </xf>
    <xf numFmtId="168" fontId="15" fillId="4" borderId="2" xfId="0" applyNumberFormat="1" applyFont="1" applyFill="1" applyBorder="1"/>
    <xf numFmtId="0" fontId="33" fillId="4" borderId="0" xfId="0" applyFont="1" applyFill="1"/>
    <xf numFmtId="0" fontId="22" fillId="4" borderId="12" xfId="0" applyFont="1" applyFill="1" applyBorder="1" applyAlignment="1" applyProtection="1">
      <alignment horizontal="center"/>
      <protection locked="0"/>
    </xf>
    <xf numFmtId="168" fontId="0" fillId="0" borderId="2" xfId="0" applyNumberFormat="1" applyBorder="1"/>
    <xf numFmtId="0" fontId="13" fillId="0" borderId="3" xfId="0" applyFont="1" applyBorder="1"/>
    <xf numFmtId="0" fontId="13" fillId="4" borderId="3" xfId="0" applyFont="1" applyFill="1" applyBorder="1" applyAlignment="1">
      <alignment horizontal="center"/>
    </xf>
    <xf numFmtId="0" fontId="15" fillId="4" borderId="0" xfId="0" applyFont="1" applyFill="1"/>
    <xf numFmtId="0" fontId="15" fillId="4" borderId="5" xfId="0" applyFont="1" applyFill="1" applyBorder="1"/>
    <xf numFmtId="0" fontId="0" fillId="4" borderId="6" xfId="0" applyFill="1" applyBorder="1"/>
    <xf numFmtId="0" fontId="0" fillId="4" borderId="7" xfId="0" applyFill="1" applyBorder="1"/>
    <xf numFmtId="0" fontId="15" fillId="4" borderId="8" xfId="0" applyFont="1" applyFill="1" applyBorder="1"/>
    <xf numFmtId="0" fontId="0" fillId="4" borderId="9" xfId="0" applyFill="1" applyBorder="1"/>
    <xf numFmtId="15" fontId="13" fillId="4" borderId="8" xfId="0" quotePrefix="1" applyNumberFormat="1" applyFont="1" applyFill="1" applyBorder="1"/>
    <xf numFmtId="0" fontId="0" fillId="4" borderId="8" xfId="0" applyFill="1" applyBorder="1"/>
    <xf numFmtId="0" fontId="20" fillId="4" borderId="0" xfId="0" applyFont="1" applyFill="1" applyAlignment="1">
      <alignment horizontal="center"/>
    </xf>
    <xf numFmtId="0" fontId="15" fillId="4" borderId="3" xfId="0" applyFont="1" applyFill="1" applyBorder="1" applyAlignment="1">
      <alignment horizontal="center"/>
    </xf>
    <xf numFmtId="0" fontId="0" fillId="4" borderId="0" xfId="0" applyFill="1" applyAlignment="1">
      <alignment horizontal="center"/>
    </xf>
    <xf numFmtId="42" fontId="15" fillId="4" borderId="0" xfId="0" applyNumberFormat="1" applyFont="1" applyFill="1"/>
    <xf numFmtId="41" fontId="15" fillId="4" borderId="0" xfId="0" applyNumberFormat="1" applyFont="1" applyFill="1"/>
    <xf numFmtId="41" fontId="0" fillId="4" borderId="0" xfId="0" applyNumberFormat="1" applyFill="1"/>
    <xf numFmtId="0" fontId="15" fillId="4" borderId="8" xfId="0" applyFont="1" applyFill="1" applyBorder="1" applyAlignment="1">
      <alignment horizontal="left" indent="2"/>
    </xf>
    <xf numFmtId="42" fontId="0" fillId="4" borderId="2" xfId="0" applyNumberFormat="1" applyFill="1" applyBorder="1"/>
    <xf numFmtId="15" fontId="21" fillId="4" borderId="8" xfId="0" quotePrefix="1" applyNumberFormat="1" applyFont="1" applyFill="1" applyBorder="1"/>
    <xf numFmtId="0" fontId="0" fillId="4" borderId="11" xfId="0" applyFill="1" applyBorder="1"/>
    <xf numFmtId="0" fontId="0" fillId="4" borderId="3" xfId="0" applyFill="1" applyBorder="1"/>
    <xf numFmtId="0" fontId="0" fillId="4" borderId="10" xfId="0" applyFill="1" applyBorder="1"/>
    <xf numFmtId="0" fontId="0" fillId="4" borderId="8" xfId="0" applyFill="1" applyBorder="1" applyAlignment="1">
      <alignment horizontal="left" indent="2"/>
    </xf>
    <xf numFmtId="169" fontId="0" fillId="4" borderId="0" xfId="0" applyNumberFormat="1" applyFill="1"/>
    <xf numFmtId="0" fontId="15" fillId="4" borderId="8" xfId="0" applyFont="1" applyFill="1" applyBorder="1" applyAlignment="1">
      <alignment horizontal="left" indent="3"/>
    </xf>
    <xf numFmtId="168" fontId="0" fillId="4" borderId="2" xfId="0" applyNumberFormat="1" applyFill="1" applyBorder="1"/>
    <xf numFmtId="0" fontId="21" fillId="4" borderId="8" xfId="0" applyFont="1" applyFill="1" applyBorder="1"/>
    <xf numFmtId="0" fontId="15" fillId="4" borderId="11" xfId="0" applyFont="1" applyFill="1" applyBorder="1"/>
    <xf numFmtId="0" fontId="15" fillId="4" borderId="8" xfId="0" quotePrefix="1" applyFont="1" applyFill="1" applyBorder="1"/>
    <xf numFmtId="168" fontId="15" fillId="4" borderId="4" xfId="0" applyNumberFormat="1" applyFont="1" applyFill="1" applyBorder="1"/>
    <xf numFmtId="0" fontId="0" fillId="4" borderId="8" xfId="0" applyFill="1" applyBorder="1" applyAlignment="1">
      <alignment horizontal="center"/>
    </xf>
    <xf numFmtId="168" fontId="0" fillId="4" borderId="0" xfId="0" applyNumberFormat="1" applyFill="1"/>
    <xf numFmtId="168" fontId="0" fillId="4" borderId="3" xfId="0" applyNumberFormat="1" applyFill="1" applyBorder="1"/>
    <xf numFmtId="0" fontId="35" fillId="2" borderId="0" xfId="0" applyFont="1" applyFill="1"/>
    <xf numFmtId="0" fontId="13" fillId="4" borderId="0" xfId="0" quotePrefix="1" applyFont="1" applyFill="1" applyAlignment="1">
      <alignment horizontal="center"/>
    </xf>
    <xf numFmtId="0" fontId="36" fillId="0" borderId="0" xfId="0" applyFont="1"/>
    <xf numFmtId="0" fontId="5" fillId="0" borderId="0" xfId="0" applyFont="1"/>
    <xf numFmtId="167" fontId="5" fillId="4" borderId="0" xfId="0" applyNumberFormat="1" applyFont="1" applyFill="1" applyProtection="1">
      <protection locked="0"/>
    </xf>
    <xf numFmtId="0" fontId="24" fillId="0" borderId="13" xfId="0" applyFont="1" applyBorder="1" applyAlignment="1">
      <alignment horizontal="centerContinuous"/>
    </xf>
    <xf numFmtId="0" fontId="24" fillId="0" borderId="1" xfId="0" applyFont="1" applyBorder="1" applyAlignment="1">
      <alignment horizontal="centerContinuous"/>
    </xf>
    <xf numFmtId="0" fontId="24" fillId="0" borderId="14" xfId="0" applyFont="1" applyBorder="1" applyAlignment="1">
      <alignment horizontal="centerContinuous"/>
    </xf>
    <xf numFmtId="0" fontId="13" fillId="0" borderId="0" xfId="0" applyFont="1" applyAlignment="1">
      <alignment horizontal="center" wrapText="1"/>
    </xf>
    <xf numFmtId="0" fontId="13" fillId="0" borderId="0" xfId="0" applyFont="1" applyAlignment="1">
      <alignment horizontal="center"/>
    </xf>
    <xf numFmtId="0" fontId="19" fillId="4" borderId="0" xfId="0" applyFont="1" applyFill="1"/>
    <xf numFmtId="0" fontId="37" fillId="4" borderId="0" xfId="0" applyFont="1" applyFill="1"/>
    <xf numFmtId="0" fontId="36" fillId="4" borderId="0" xfId="0" applyFont="1" applyFill="1"/>
    <xf numFmtId="0" fontId="38" fillId="5" borderId="0" xfId="0" applyFont="1" applyFill="1"/>
    <xf numFmtId="0" fontId="40" fillId="4" borderId="0" xfId="0" applyFont="1" applyFill="1" applyAlignment="1">
      <alignment horizontal="left"/>
    </xf>
    <xf numFmtId="0" fontId="41" fillId="4" borderId="0" xfId="0" applyFont="1" applyFill="1" applyAlignment="1">
      <alignment horizontal="left" indent="1"/>
    </xf>
    <xf numFmtId="0" fontId="41" fillId="0" borderId="0" xfId="0" applyFont="1" applyAlignment="1">
      <alignment horizontal="left" indent="1"/>
    </xf>
    <xf numFmtId="1" fontId="15" fillId="0" borderId="0" xfId="0" applyNumberFormat="1" applyFont="1" applyAlignment="1">
      <alignment horizontal="center"/>
    </xf>
    <xf numFmtId="0" fontId="19" fillId="4" borderId="0" xfId="1" applyFont="1" applyFill="1"/>
    <xf numFmtId="0" fontId="21" fillId="4" borderId="0" xfId="1" applyFont="1" applyFill="1" applyAlignment="1">
      <alignment horizontal="left"/>
    </xf>
    <xf numFmtId="166" fontId="14" fillId="2" borderId="0" xfId="0" applyNumberFormat="1" applyFont="1" applyFill="1"/>
    <xf numFmtId="166" fontId="38" fillId="2" borderId="0" xfId="0" applyNumberFormat="1" applyFont="1" applyFill="1"/>
    <xf numFmtId="0" fontId="14" fillId="2" borderId="0" xfId="0" applyFont="1" applyFill="1"/>
    <xf numFmtId="166" fontId="14" fillId="2" borderId="0" xfId="0" quotePrefix="1" applyNumberFormat="1" applyFont="1" applyFill="1"/>
    <xf numFmtId="171" fontId="24" fillId="0" borderId="0" xfId="0" applyNumberFormat="1" applyFont="1"/>
    <xf numFmtId="166" fontId="5" fillId="2" borderId="0" xfId="0" applyNumberFormat="1" applyFont="1" applyFill="1"/>
    <xf numFmtId="170" fontId="44" fillId="0" borderId="0" xfId="3" applyNumberFormat="1" applyFont="1" applyFill="1" applyBorder="1"/>
    <xf numFmtId="0" fontId="15" fillId="0" borderId="0" xfId="0" applyFont="1" applyAlignment="1">
      <alignment horizontal="left"/>
    </xf>
    <xf numFmtId="171" fontId="13" fillId="0" borderId="0" xfId="2" applyNumberFormat="1" applyFont="1" applyFill="1" applyBorder="1" applyAlignment="1">
      <alignment horizontal="left"/>
    </xf>
    <xf numFmtId="171" fontId="13" fillId="0" borderId="4" xfId="2" applyNumberFormat="1" applyFont="1" applyFill="1" applyBorder="1"/>
    <xf numFmtId="0" fontId="42" fillId="0" borderId="0" xfId="0" applyFont="1" applyAlignment="1">
      <alignment horizontal="center"/>
    </xf>
    <xf numFmtId="0" fontId="42" fillId="0" borderId="0" xfId="0" applyFont="1" applyAlignment="1">
      <alignment horizontal="left"/>
    </xf>
    <xf numFmtId="171" fontId="42" fillId="0" borderId="0" xfId="0" applyNumberFormat="1" applyFont="1"/>
    <xf numFmtId="0" fontId="0" fillId="0" borderId="8" xfId="0" applyBorder="1"/>
    <xf numFmtId="0" fontId="6" fillId="2" borderId="0" xfId="0" applyFont="1" applyFill="1"/>
    <xf numFmtId="15" fontId="15" fillId="4" borderId="0" xfId="0" quotePrefix="1" applyNumberFormat="1" applyFont="1" applyFill="1" applyAlignment="1">
      <alignment horizontal="center"/>
    </xf>
    <xf numFmtId="0" fontId="39" fillId="0" borderId="0" xfId="0" applyFont="1"/>
    <xf numFmtId="0" fontId="5" fillId="2" borderId="0" xfId="0" applyFont="1" applyFill="1" applyAlignment="1">
      <alignment horizontal="left"/>
    </xf>
    <xf numFmtId="37" fontId="0" fillId="0" borderId="0" xfId="0" applyNumberFormat="1" applyAlignment="1">
      <alignment horizontal="center"/>
    </xf>
    <xf numFmtId="37" fontId="13" fillId="0" borderId="0" xfId="0" applyNumberFormat="1" applyFont="1" applyAlignment="1">
      <alignment horizontal="center"/>
    </xf>
    <xf numFmtId="0" fontId="15" fillId="5" borderId="3" xfId="0" applyFont="1" applyFill="1" applyBorder="1" applyAlignment="1">
      <alignment horizontal="center"/>
    </xf>
    <xf numFmtId="0" fontId="15" fillId="0" borderId="8" xfId="0" applyFont="1" applyBorder="1"/>
    <xf numFmtId="171" fontId="0" fillId="0" borderId="0" xfId="0" applyNumberFormat="1"/>
    <xf numFmtId="0" fontId="39" fillId="4" borderId="0" xfId="0" applyFont="1" applyFill="1" applyAlignment="1">
      <alignment horizontal="left"/>
    </xf>
    <xf numFmtId="171" fontId="0" fillId="0" borderId="0" xfId="2" applyNumberFormat="1" applyFont="1"/>
    <xf numFmtId="0" fontId="45" fillId="2" borderId="0" xfId="0" applyFont="1" applyFill="1" applyAlignment="1">
      <alignment horizontal="left"/>
    </xf>
    <xf numFmtId="0" fontId="38" fillId="2" borderId="0" xfId="0" applyFont="1" applyFill="1"/>
    <xf numFmtId="167" fontId="5" fillId="2" borderId="0" xfId="0" applyNumberFormat="1" applyFont="1" applyFill="1" applyAlignment="1">
      <alignment horizontal="center"/>
    </xf>
    <xf numFmtId="167" fontId="5" fillId="2" borderId="12" xfId="0" applyNumberFormat="1" applyFont="1" applyFill="1" applyBorder="1" applyProtection="1">
      <protection locked="0"/>
    </xf>
    <xf numFmtId="172" fontId="15" fillId="0" borderId="0" xfId="0" applyNumberFormat="1" applyFont="1"/>
    <xf numFmtId="0" fontId="15" fillId="0" borderId="0" xfId="10" applyNumberFormat="1" applyFont="1" applyFill="1" applyBorder="1" applyAlignment="1">
      <alignment horizontal="center"/>
    </xf>
    <xf numFmtId="38" fontId="15" fillId="0" borderId="0" xfId="12" applyNumberFormat="1" applyFont="1" applyFill="1" applyBorder="1" applyAlignment="1">
      <alignment wrapText="1"/>
    </xf>
    <xf numFmtId="170" fontId="15" fillId="0" borderId="0" xfId="9" applyNumberFormat="1" applyFont="1" applyFill="1" applyBorder="1" applyAlignment="1"/>
    <xf numFmtId="172" fontId="42" fillId="0" borderId="0" xfId="0" applyNumberFormat="1" applyFont="1"/>
    <xf numFmtId="171" fontId="42" fillId="0" borderId="0" xfId="2" applyNumberFormat="1" applyFont="1" applyFill="1"/>
    <xf numFmtId="41" fontId="42" fillId="0" borderId="0" xfId="2" applyNumberFormat="1" applyFont="1" applyFill="1"/>
    <xf numFmtId="170" fontId="15" fillId="0" borderId="0" xfId="3" applyNumberFormat="1" applyFont="1" applyFill="1" applyBorder="1"/>
    <xf numFmtId="41" fontId="0" fillId="0" borderId="0" xfId="2" applyNumberFormat="1" applyFont="1" applyFill="1"/>
    <xf numFmtId="0" fontId="0" fillId="0" borderId="0" xfId="0" applyAlignment="1">
      <alignment wrapText="1"/>
    </xf>
    <xf numFmtId="0" fontId="5" fillId="7" borderId="0" xfId="0" applyFont="1" applyFill="1"/>
    <xf numFmtId="0" fontId="5" fillId="7" borderId="0" xfId="0" applyFont="1" applyFill="1" applyAlignment="1">
      <alignment horizontal="center"/>
    </xf>
    <xf numFmtId="167" fontId="5" fillId="7" borderId="0" xfId="0" applyNumberFormat="1" applyFont="1" applyFill="1"/>
    <xf numFmtId="166" fontId="14" fillId="7" borderId="0" xfId="0" applyNumberFormat="1" applyFont="1" applyFill="1"/>
    <xf numFmtId="0" fontId="5" fillId="7" borderId="0" xfId="0" applyFont="1" applyFill="1" applyAlignment="1">
      <alignment horizontal="left" indent="2"/>
    </xf>
    <xf numFmtId="0" fontId="15" fillId="7" borderId="0" xfId="1" applyFont="1" applyFill="1"/>
    <xf numFmtId="1" fontId="15" fillId="7" borderId="0" xfId="0" applyNumberFormat="1" applyFont="1" applyFill="1" applyAlignment="1">
      <alignment horizontal="center"/>
    </xf>
    <xf numFmtId="168" fontId="15" fillId="7" borderId="0" xfId="0" applyNumberFormat="1" applyFont="1" applyFill="1"/>
    <xf numFmtId="167" fontId="15" fillId="7" borderId="0" xfId="0" applyNumberFormat="1" applyFont="1" applyFill="1"/>
    <xf numFmtId="0" fontId="15" fillId="7" borderId="3" xfId="0" applyFont="1" applyFill="1" applyBorder="1" applyAlignment="1">
      <alignment horizontal="center"/>
    </xf>
    <xf numFmtId="0" fontId="15" fillId="4" borderId="9" xfId="0" applyFont="1" applyFill="1" applyBorder="1"/>
    <xf numFmtId="0" fontId="0" fillId="0" borderId="17" xfId="0" applyBorder="1"/>
    <xf numFmtId="0" fontId="43" fillId="0" borderId="0" xfId="14" applyFont="1"/>
    <xf numFmtId="0" fontId="0" fillId="9" borderId="17" xfId="0" applyFill="1" applyBorder="1"/>
    <xf numFmtId="0" fontId="15" fillId="0" borderId="0" xfId="14" applyFont="1" applyAlignment="1">
      <alignment horizontal="center"/>
    </xf>
    <xf numFmtId="0" fontId="15" fillId="0" borderId="0" xfId="14" applyFont="1" applyAlignment="1">
      <alignment horizontal="left"/>
    </xf>
    <xf numFmtId="0" fontId="48" fillId="6" borderId="0" xfId="0" applyFont="1" applyFill="1" applyAlignment="1">
      <alignment horizontal="center"/>
    </xf>
    <xf numFmtId="0" fontId="49" fillId="0" borderId="0" xfId="0" applyFont="1" applyAlignment="1">
      <alignment horizontal="center"/>
    </xf>
    <xf numFmtId="0" fontId="48" fillId="6" borderId="0" xfId="0" applyFont="1" applyFill="1" applyAlignment="1">
      <alignment horizontal="left"/>
    </xf>
    <xf numFmtId="0" fontId="49" fillId="0" borderId="0" xfId="0" applyFont="1" applyAlignment="1">
      <alignment horizontal="left"/>
    </xf>
    <xf numFmtId="0" fontId="51" fillId="0" borderId="0" xfId="21" applyFont="1" applyFill="1" applyBorder="1" applyAlignment="1"/>
    <xf numFmtId="171" fontId="48" fillId="6" borderId="0" xfId="15" applyNumberFormat="1" applyFont="1" applyFill="1" applyAlignment="1">
      <alignment horizontal="center"/>
    </xf>
    <xf numFmtId="171" fontId="49" fillId="0" borderId="0" xfId="15" applyNumberFormat="1" applyFont="1" applyFill="1" applyBorder="1"/>
    <xf numFmtId="171" fontId="48" fillId="6" borderId="3" xfId="15" applyNumberFormat="1" applyFont="1" applyFill="1" applyBorder="1" applyAlignment="1">
      <alignment horizontal="center"/>
    </xf>
    <xf numFmtId="173" fontId="0" fillId="0" borderId="0" xfId="13" applyNumberFormat="1" applyFont="1"/>
    <xf numFmtId="171" fontId="0" fillId="10" borderId="0" xfId="0" applyNumberFormat="1" applyFill="1"/>
    <xf numFmtId="171" fontId="52" fillId="0" borderId="4" xfId="15" applyNumberFormat="1" applyFont="1" applyBorder="1"/>
    <xf numFmtId="0" fontId="0" fillId="11" borderId="0" xfId="0" applyFill="1"/>
    <xf numFmtId="0" fontId="53" fillId="0" borderId="0" xfId="0" applyFont="1" applyAlignment="1">
      <alignment vertical="center"/>
    </xf>
    <xf numFmtId="0" fontId="34" fillId="0" borderId="0" xfId="4" applyAlignment="1">
      <alignment vertical="center"/>
    </xf>
    <xf numFmtId="0" fontId="0" fillId="9" borderId="20" xfId="0" applyFill="1" applyBorder="1"/>
    <xf numFmtId="37" fontId="0" fillId="9" borderId="20" xfId="0" applyNumberFormat="1" applyFill="1" applyBorder="1"/>
    <xf numFmtId="37" fontId="0" fillId="9" borderId="18" xfId="0" applyNumberFormat="1" applyFill="1" applyBorder="1"/>
    <xf numFmtId="0" fontId="0" fillId="0" borderId="20" xfId="0" applyBorder="1"/>
    <xf numFmtId="37" fontId="0" fillId="0" borderId="20" xfId="0" applyNumberFormat="1" applyBorder="1"/>
    <xf numFmtId="37" fontId="0" fillId="0" borderId="18" xfId="0" applyNumberFormat="1" applyBorder="1"/>
    <xf numFmtId="0" fontId="24" fillId="5" borderId="1" xfId="0" applyFont="1" applyFill="1" applyBorder="1" applyAlignment="1">
      <alignment horizontal="centerContinuous"/>
    </xf>
    <xf numFmtId="0" fontId="24" fillId="5" borderId="14" xfId="0" applyFont="1" applyFill="1" applyBorder="1" applyAlignment="1">
      <alignment horizontal="centerContinuous"/>
    </xf>
    <xf numFmtId="0" fontId="49" fillId="12" borderId="0" xfId="0" applyFont="1" applyFill="1" applyAlignment="1">
      <alignment horizontal="center"/>
    </xf>
    <xf numFmtId="0" fontId="49" fillId="12" borderId="0" xfId="0" applyFont="1" applyFill="1" applyAlignment="1">
      <alignment horizontal="left"/>
    </xf>
    <xf numFmtId="171" fontId="49" fillId="12" borderId="0" xfId="15" applyNumberFormat="1" applyFont="1" applyFill="1" applyBorder="1"/>
    <xf numFmtId="0" fontId="0" fillId="12" borderId="0" xfId="0" applyFill="1"/>
    <xf numFmtId="0" fontId="0" fillId="0" borderId="15" xfId="0" applyBorder="1" applyAlignment="1">
      <alignment horizontal="center"/>
    </xf>
    <xf numFmtId="37" fontId="15" fillId="0" borderId="15" xfId="0" applyNumberFormat="1" applyFont="1" applyBorder="1" applyAlignment="1">
      <alignment horizontal="center"/>
    </xf>
    <xf numFmtId="0" fontId="0" fillId="0" borderId="3" xfId="0" applyBorder="1" applyAlignment="1">
      <alignment horizontal="center"/>
    </xf>
    <xf numFmtId="0" fontId="15" fillId="0" borderId="3" xfId="0" applyFont="1" applyBorder="1" applyAlignment="1">
      <alignment horizontal="center" wrapText="1"/>
    </xf>
    <xf numFmtId="0" fontId="15" fillId="0" borderId="3" xfId="0" quotePrefix="1" applyFont="1" applyBorder="1" applyAlignment="1">
      <alignment horizontal="center" wrapText="1"/>
    </xf>
    <xf numFmtId="0" fontId="27" fillId="0" borderId="1" xfId="0" applyFont="1" applyBorder="1" applyAlignment="1">
      <alignment horizontal="center" wrapText="1"/>
    </xf>
    <xf numFmtId="0" fontId="0" fillId="0" borderId="3" xfId="0" applyBorder="1" applyAlignment="1">
      <alignment horizontal="center" wrapText="1"/>
    </xf>
    <xf numFmtId="0" fontId="15" fillId="0" borderId="0" xfId="0" applyFont="1" applyAlignment="1">
      <alignment horizontal="center" wrapText="1"/>
    </xf>
    <xf numFmtId="0" fontId="0" fillId="0" borderId="0" xfId="0" applyAlignment="1">
      <alignment horizontal="center" wrapText="1"/>
    </xf>
    <xf numFmtId="37" fontId="0" fillId="0" borderId="0" xfId="0" applyNumberFormat="1" applyAlignment="1">
      <alignment horizontal="center" wrapText="1"/>
    </xf>
    <xf numFmtId="170" fontId="15" fillId="9" borderId="18" xfId="3" applyNumberFormat="1" applyFont="1" applyFill="1" applyBorder="1"/>
    <xf numFmtId="171" fontId="0" fillId="9" borderId="20" xfId="2" applyNumberFormat="1" applyFont="1" applyFill="1" applyBorder="1"/>
    <xf numFmtId="170" fontId="15" fillId="0" borderId="18" xfId="3" applyNumberFormat="1" applyFont="1" applyBorder="1"/>
    <xf numFmtId="171" fontId="0" fillId="0" borderId="20" xfId="2" applyNumberFormat="1" applyFont="1" applyBorder="1"/>
    <xf numFmtId="0" fontId="44" fillId="9" borderId="17" xfId="0" applyFont="1" applyFill="1" applyBorder="1" applyAlignment="1">
      <alignment horizontal="center"/>
    </xf>
    <xf numFmtId="0" fontId="44" fillId="9" borderId="20" xfId="0" applyFont="1" applyFill="1" applyBorder="1"/>
    <xf numFmtId="0" fontId="44" fillId="0" borderId="17" xfId="0" applyFont="1" applyBorder="1" applyAlignment="1">
      <alignment horizontal="center"/>
    </xf>
    <xf numFmtId="0" fontId="44" fillId="0" borderId="20" xfId="0" applyFont="1" applyBorder="1"/>
    <xf numFmtId="0" fontId="35" fillId="12" borderId="0" xfId="0" applyFont="1" applyFill="1"/>
    <xf numFmtId="0" fontId="34" fillId="0" borderId="0" xfId="4"/>
    <xf numFmtId="0" fontId="0" fillId="0" borderId="0" xfId="0"/>
    <xf numFmtId="0" fontId="21" fillId="4" borderId="0" xfId="0" applyFont="1" applyFill="1" applyAlignment="1">
      <alignment horizontal="left"/>
    </xf>
    <xf numFmtId="0" fontId="39" fillId="5" borderId="0" xfId="0" applyFont="1" applyFill="1" applyAlignment="1">
      <alignment horizontal="center"/>
    </xf>
    <xf numFmtId="0" fontId="5" fillId="4" borderId="0" xfId="0" applyFont="1" applyFill="1" applyAlignment="1">
      <alignment horizontal="left" vertical="top" wrapText="1"/>
    </xf>
    <xf numFmtId="0" fontId="0" fillId="4" borderId="0" xfId="0" applyFill="1" applyAlignment="1">
      <alignment vertical="top" wrapText="1"/>
    </xf>
    <xf numFmtId="0" fontId="5" fillId="4" borderId="0" xfId="0" applyFont="1" applyFill="1" applyAlignment="1">
      <alignment vertical="top" wrapText="1"/>
    </xf>
    <xf numFmtId="0" fontId="16" fillId="4" borderId="0" xfId="0" applyFont="1" applyFill="1" applyAlignment="1">
      <alignment horizontal="left" vertical="center"/>
    </xf>
    <xf numFmtId="0" fontId="0" fillId="4" borderId="0" xfId="0" applyFill="1" applyAlignment="1">
      <alignment vertical="center"/>
    </xf>
    <xf numFmtId="0" fontId="0" fillId="4" borderId="0" xfId="0" applyFill="1" applyAlignment="1">
      <alignment vertical="top"/>
    </xf>
    <xf numFmtId="0" fontId="13" fillId="4" borderId="0" xfId="0" quotePrefix="1" applyFont="1" applyFill="1" applyAlignment="1">
      <alignment horizontal="center"/>
    </xf>
    <xf numFmtId="0" fontId="13" fillId="0" borderId="0" xfId="0" applyFont="1" applyAlignment="1">
      <alignment horizontal="center"/>
    </xf>
    <xf numFmtId="0" fontId="15" fillId="4" borderId="0" xfId="1" applyFont="1" applyFill="1" applyAlignment="1">
      <alignment horizontal="left" wrapText="1"/>
    </xf>
    <xf numFmtId="0" fontId="0" fillId="0" borderId="0" xfId="0" applyAlignment="1">
      <alignment horizontal="left" wrapText="1"/>
    </xf>
    <xf numFmtId="0" fontId="0" fillId="0" borderId="0" xfId="0" applyAlignment="1">
      <alignment horizontal="center"/>
    </xf>
    <xf numFmtId="0" fontId="21" fillId="4" borderId="0" xfId="0" applyFont="1" applyFill="1"/>
    <xf numFmtId="0" fontId="21" fillId="0" borderId="8" xfId="0" quotePrefix="1" applyFont="1" applyBorder="1" applyAlignment="1">
      <alignment horizontal="left" wrapText="1"/>
    </xf>
    <xf numFmtId="0" fontId="21" fillId="0" borderId="0" xfId="0" applyFont="1"/>
    <xf numFmtId="0" fontId="21" fillId="0" borderId="9" xfId="0" applyFont="1" applyBorder="1"/>
    <xf numFmtId="0" fontId="21" fillId="4" borderId="8" xfId="0" applyFont="1" applyFill="1" applyBorder="1" applyAlignment="1">
      <alignment wrapText="1"/>
    </xf>
    <xf numFmtId="0" fontId="21" fillId="4" borderId="0" xfId="0" applyFont="1" applyFill="1" applyAlignment="1">
      <alignment wrapText="1"/>
    </xf>
    <xf numFmtId="0" fontId="21" fillId="4" borderId="9" xfId="0" applyFont="1" applyFill="1" applyBorder="1" applyAlignment="1">
      <alignment wrapText="1"/>
    </xf>
    <xf numFmtId="0" fontId="21" fillId="4" borderId="8" xfId="0" applyFont="1" applyFill="1" applyBorder="1" applyAlignment="1">
      <alignment vertical="top" wrapText="1"/>
    </xf>
    <xf numFmtId="0" fontId="0" fillId="4" borderId="9" xfId="0" applyFill="1" applyBorder="1" applyAlignment="1">
      <alignment vertical="top" wrapText="1"/>
    </xf>
    <xf numFmtId="0" fontId="15" fillId="0" borderId="0" xfId="0" applyFont="1" applyAlignment="1">
      <alignment horizontal="center"/>
    </xf>
    <xf numFmtId="0" fontId="0" fillId="0" borderId="0" xfId="0" applyAlignment="1">
      <alignment vertical="top"/>
    </xf>
    <xf numFmtId="0" fontId="0" fillId="0" borderId="0" xfId="0" applyAlignment="1">
      <alignment wrapText="1"/>
    </xf>
    <xf numFmtId="0" fontId="15" fillId="0" borderId="13" xfId="0" applyFont="1" applyBorder="1" applyAlignment="1">
      <alignment horizontal="center"/>
    </xf>
    <xf numFmtId="0" fontId="15" fillId="0" borderId="1" xfId="0" applyFont="1" applyBorder="1" applyAlignment="1">
      <alignment horizontal="center"/>
    </xf>
    <xf numFmtId="0" fontId="15" fillId="0" borderId="14" xfId="0" applyFont="1" applyBorder="1" applyAlignment="1">
      <alignment horizontal="center"/>
    </xf>
    <xf numFmtId="0" fontId="0" fillId="0" borderId="13" xfId="0" applyBorder="1" applyAlignment="1">
      <alignment horizontal="center"/>
    </xf>
    <xf numFmtId="0" fontId="0" fillId="0" borderId="1" xfId="0" applyBorder="1" applyAlignment="1">
      <alignment horizontal="center"/>
    </xf>
    <xf numFmtId="0" fontId="0" fillId="0" borderId="14" xfId="0" applyBorder="1" applyAlignment="1">
      <alignment horizontal="center"/>
    </xf>
  </cellXfs>
  <cellStyles count="22">
    <cellStyle name="columnheader1" xfId="20" xr:uid="{996FAAB8-5702-4043-83C9-B4945E60C4BA}"/>
    <cellStyle name="Comma" xfId="2" builtinId="3"/>
    <cellStyle name="Comma 2" xfId="10" xr:uid="{5621D770-AEE6-4A97-BF61-68F07F9F2AC9}"/>
    <cellStyle name="Comma 2 2" xfId="18" xr:uid="{1AA11B0C-D8E9-49E2-8181-9110FB649B97}"/>
    <cellStyle name="Comma 3" xfId="5" xr:uid="{00000000-0005-0000-0000-000001000000}"/>
    <cellStyle name="Comma 4" xfId="15" xr:uid="{78C2502D-1677-49BB-9A8F-647C0638A096}"/>
    <cellStyle name="Currency" xfId="13" builtinId="4"/>
    <cellStyle name="Currency 2" xfId="16" xr:uid="{0402F80D-CC42-4C73-9CEA-2456F9BC2B83}"/>
    <cellStyle name="Hyperlink" xfId="4" builtinId="8"/>
    <cellStyle name="Normal" xfId="0" builtinId="0"/>
    <cellStyle name="Normal 2" xfId="12" xr:uid="{9138BD64-8F90-450C-8EBF-8EFB839EFEC3}"/>
    <cellStyle name="Normal 3" xfId="6" xr:uid="{00000000-0005-0000-0000-000004000000}"/>
    <cellStyle name="Normal 3 2" xfId="19" xr:uid="{69D6ED6C-011A-43F9-A07F-B65B920FC860}"/>
    <cellStyle name="Normal 4" xfId="14" xr:uid="{A39852FB-A145-4895-9757-1E829AFBE415}"/>
    <cellStyle name="Normal 5" xfId="8" xr:uid="{00000000-0005-0000-0000-000005000000}"/>
    <cellStyle name="Normal 5 4" xfId="11" xr:uid="{FFFDAF78-A383-470C-B666-A9E8FB01FA06}"/>
    <cellStyle name="Normal_2006gfa x" xfId="1" xr:uid="{00000000-0005-0000-0000-000006000000}"/>
    <cellStyle name="Percent" xfId="3" builtinId="5"/>
    <cellStyle name="Percent 2" xfId="9" xr:uid="{B0D8A075-695C-4D7A-A41A-88DC66B8A916}"/>
    <cellStyle name="Percent 3" xfId="7" xr:uid="{00000000-0005-0000-0000-000008000000}"/>
    <cellStyle name="Percent 4" xfId="17" xr:uid="{FDE924F4-07D1-4573-AC78-27BB91C6CE07}"/>
    <cellStyle name="sectionhead" xfId="21" xr:uid="{8631FE0D-713C-4043-89A2-B17F015F6CE7}"/>
  </cellStyles>
  <dxfs count="1">
    <dxf>
      <font>
        <b/>
        <i val="0"/>
        <color rgb="FFFF0000"/>
      </font>
      <fill>
        <patternFill>
          <bgColor rgb="FFFFFF00"/>
        </patternFill>
      </fill>
    </dxf>
  </dxfs>
  <tableStyles count="0" defaultTableStyle="TableStyleMedium9" defaultPivotStyle="PivotStyleLight16"/>
  <colors>
    <mruColors>
      <color rgb="FFB7FFD8"/>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10</xdr:row>
      <xdr:rowOff>66678</xdr:rowOff>
    </xdr:from>
    <xdr:to>
      <xdr:col>2</xdr:col>
      <xdr:colOff>1</xdr:colOff>
      <xdr:row>29</xdr:row>
      <xdr:rowOff>152401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100" y="1704978"/>
          <a:ext cx="5191126" cy="3162298"/>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50">
              <a:latin typeface="Arial" panose="020B0604020202020204" pitchFamily="34" charset="0"/>
              <a:cs typeface="Arial" panose="020B0604020202020204" pitchFamily="34" charset="0"/>
            </a:rPr>
            <a:t>This</a:t>
          </a:r>
          <a:r>
            <a:rPr lang="en-US" sz="950" baseline="0">
              <a:latin typeface="Arial" panose="020B0604020202020204" pitchFamily="34" charset="0"/>
              <a:cs typeface="Arial" panose="020B0604020202020204" pitchFamily="34" charset="0"/>
            </a:rPr>
            <a:t> template automatically generates the GASB 75 journal entries (13th period) and certain note disclosures (see below) for the following component units that participate in the Disability Income Plan of North Carolina</a:t>
          </a:r>
          <a:r>
            <a:rPr lang="en-US" sz="950" b="1" baseline="0">
              <a:latin typeface="Arial" panose="020B0604020202020204" pitchFamily="34" charset="0"/>
              <a:cs typeface="Arial" panose="020B0604020202020204" pitchFamily="34" charset="0"/>
            </a:rPr>
            <a:t> </a:t>
          </a:r>
          <a:r>
            <a:rPr lang="en-US" sz="950" baseline="0">
              <a:latin typeface="Arial" panose="020B0604020202020204" pitchFamily="34" charset="0"/>
              <a:cs typeface="Arial" panose="020B0604020202020204" pitchFamily="34" charset="0"/>
            </a:rPr>
            <a:t>(DIPNC): </a:t>
          </a:r>
        </a:p>
        <a:p>
          <a:endParaRPr lang="en-US" sz="8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University of North Carolina System (19)</a:t>
          </a: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Community colleges (58)</a:t>
          </a: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N.C. Housing Finance Agency</a:t>
          </a: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State Education Assistance Authority</a:t>
          </a:r>
          <a:endParaRPr lang="en-US" sz="950" baseline="300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State Health Plan</a:t>
          </a:r>
          <a:endParaRPr lang="en-US" sz="950" baseline="300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N.C. State Ports Authority</a:t>
          </a:r>
          <a:endParaRPr lang="en-US" sz="950" baseline="300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N.C. Global TransPark Authority</a:t>
          </a:r>
        </a:p>
        <a:p>
          <a:pPr marL="171450" indent="-171450">
            <a:buFont typeface="Arial" panose="020B0604020202020204" pitchFamily="34" charset="0"/>
            <a:buChar char="•"/>
          </a:pPr>
          <a:endParaRPr lang="en-US" sz="800" baseline="0">
            <a:latin typeface="Arial" panose="020B0604020202020204" pitchFamily="34" charset="0"/>
            <a:cs typeface="Arial" panose="020B0604020202020204" pitchFamily="34" charset="0"/>
          </a:endParaRPr>
        </a:p>
        <a:p>
          <a:pPr marL="0" indent="0">
            <a:buFontTx/>
            <a:buNone/>
          </a:pPr>
          <a:r>
            <a:rPr lang="en-US" sz="950" baseline="0">
              <a:latin typeface="Arial" panose="020B0604020202020204" pitchFamily="34" charset="0"/>
              <a:cs typeface="Arial" panose="020B0604020202020204" pitchFamily="34" charset="0"/>
            </a:rPr>
            <a:t>This template provides note disclosures required by GASB 75, paragraphs 96h(1) thru (5), 96i(1), and 96i(2). It also provides information needed to complete CAFR worksheeet 310.</a:t>
          </a:r>
        </a:p>
        <a:p>
          <a:endParaRPr lang="en-US" sz="950" baseline="0">
            <a:latin typeface="Arial" panose="020B0604020202020204" pitchFamily="34" charset="0"/>
            <a:cs typeface="Arial" panose="020B0604020202020204" pitchFamily="34" charset="0"/>
          </a:endParaRPr>
        </a:p>
        <a:p>
          <a:r>
            <a:rPr lang="en-US" sz="950" baseline="0">
              <a:latin typeface="Arial" panose="020B0604020202020204" pitchFamily="34" charset="0"/>
              <a:cs typeface="Arial" panose="020B0604020202020204" pitchFamily="34" charset="0"/>
            </a:rPr>
            <a:t>The OPEB data in this template was obtained from the Department of State Treasurer. The Office of the State Auditor (OSA) has completed a financial audit of the </a:t>
          </a:r>
          <a:r>
            <a:rPr lang="en-US" sz="950" baseline="0">
              <a:solidFill>
                <a:srgbClr val="FF0000"/>
              </a:solidFill>
              <a:latin typeface="Arial" panose="020B0604020202020204" pitchFamily="34" charset="0"/>
              <a:cs typeface="Arial" panose="020B0604020202020204" pitchFamily="34" charset="0"/>
            </a:rPr>
            <a:t>DIPNC</a:t>
          </a:r>
          <a:r>
            <a:rPr lang="en-US" sz="950" baseline="0">
              <a:latin typeface="Arial" panose="020B0604020202020204" pitchFamily="34" charset="0"/>
              <a:cs typeface="Arial" panose="020B0604020202020204" pitchFamily="34" charset="0"/>
            </a:rPr>
            <a:t> Schedule of Employer Allocations and the </a:t>
          </a:r>
          <a:r>
            <a:rPr lang="en-US" sz="950" baseline="0">
              <a:solidFill>
                <a:srgbClr val="FF0000"/>
              </a:solidFill>
              <a:latin typeface="Arial" panose="020B0604020202020204" pitchFamily="34" charset="0"/>
              <a:cs typeface="Arial" panose="020B0604020202020204" pitchFamily="34" charset="0"/>
            </a:rPr>
            <a:t>DIPNC</a:t>
          </a:r>
          <a:r>
            <a:rPr lang="en-US" sz="950" baseline="0">
              <a:latin typeface="Arial" panose="020B0604020202020204" pitchFamily="34" charset="0"/>
              <a:cs typeface="Arial" panose="020B0604020202020204" pitchFamily="34" charset="0"/>
            </a:rPr>
            <a:t> Schedule of OPEB Amounts by Employer for the year ended June 30, 2023. Component units will report the FY2023 OPEB allocations for DIPNC in their FY2024 financial statements. </a:t>
          </a:r>
          <a:r>
            <a:rPr lang="en-US" sz="950" b="1" u="sng" baseline="0">
              <a:latin typeface="Arial" panose="020B0604020202020204" pitchFamily="34" charset="0"/>
              <a:cs typeface="Arial" panose="020B0604020202020204" pitchFamily="34" charset="0"/>
            </a:rPr>
            <a:t>Each component unit should verify that the OPEB amounts provided by this template agree with the OPEB schedules in OSA's audit report (see link below)</a:t>
          </a:r>
          <a:r>
            <a:rPr lang="en-US" sz="950" b="1" baseline="0">
              <a:latin typeface="Arial" panose="020B0604020202020204" pitchFamily="34" charset="0"/>
              <a:cs typeface="Arial" panose="020B0604020202020204" pitchFamily="34" charset="0"/>
            </a:rPr>
            <a:t>.</a:t>
          </a:r>
        </a:p>
        <a:p>
          <a:endParaRPr lang="en-US" sz="1000" b="1" baseline="0">
            <a:latin typeface="Arial" panose="020B0604020202020204" pitchFamily="34" charset="0"/>
            <a:cs typeface="Arial" panose="020B0604020202020204" pitchFamily="34" charset="0"/>
          </a:endParaRPr>
        </a:p>
        <a:p>
          <a:endParaRPr lang="en-US" sz="900" i="1" baseline="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cc02.safelinks.protection.outlook.com/?url=https%3A%2F%2Ffiles.nc.gov%2Fnc-auditor%2Fdocuments%2F2024-03%2FFIN-2023-3400-OPEB.pdf%3FVersionId%3D0zyYx_S_fmDpAWMEa7Hrd9JvwMWSxPQO&amp;data=05%7C02%7Celizabeth.john%40osc.nc.gov%7Cd4828a5117f1493438fe08dc52482607%7C7a7681dcb9d0449a85c3ecc26cd7ed19%7C0%7C0%7C638475717749553058%7CUnknown%7CTWFpbGZsb3d8eyJWIjoiMC4wLjAwMDAiLCJQIjoiV2luMzIiLCJBTiI6Ik1haWwiLCJXVCI6Mn0%3D%7C0%7C%7C%7C&amp;sdata=Nnao2mudIKL40ldHGWpQNB2iKNNZSysX1K3dHXIHMzY%3D&amp;reserved=0" TargetMode="External"/><Relationship Id="rId1" Type="http://schemas.openxmlformats.org/officeDocument/2006/relationships/hyperlink" Target="mailto:elizabeth.john@ncosc.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9"/>
  <sheetViews>
    <sheetView showGridLines="0" zoomScaleNormal="100" workbookViewId="0">
      <selection activeCell="B5" sqref="B5"/>
    </sheetView>
  </sheetViews>
  <sheetFormatPr defaultRowHeight="13.2"/>
  <cols>
    <col min="1" max="1" width="24.6640625" customWidth="1"/>
    <col min="2" max="2" width="53.6640625" customWidth="1"/>
    <col min="3" max="3" width="46.6640625" customWidth="1"/>
  </cols>
  <sheetData>
    <row r="1" spans="1:4">
      <c r="A1" s="52" t="s">
        <v>188</v>
      </c>
      <c r="B1" s="15"/>
      <c r="C1" s="15"/>
      <c r="D1" s="2"/>
    </row>
    <row r="2" spans="1:4">
      <c r="A2" s="52" t="s">
        <v>158</v>
      </c>
      <c r="B2" s="15"/>
    </row>
    <row r="3" spans="1:4">
      <c r="A3" s="51" t="s">
        <v>549</v>
      </c>
      <c r="B3" s="15"/>
      <c r="C3" s="15"/>
    </row>
    <row r="4" spans="1:4" ht="14.1" customHeight="1">
      <c r="A4" s="51"/>
      <c r="B4" s="15"/>
      <c r="C4" s="54"/>
    </row>
    <row r="5" spans="1:4" ht="13.8">
      <c r="A5" s="55" t="s">
        <v>136</v>
      </c>
      <c r="B5" s="87" t="s">
        <v>82</v>
      </c>
      <c r="C5" s="137" t="s">
        <v>172</v>
      </c>
    </row>
    <row r="6" spans="1:4" ht="12.75" customHeight="1">
      <c r="A6" s="15"/>
      <c r="B6" s="15"/>
      <c r="C6" s="56"/>
    </row>
    <row r="7" spans="1:4" ht="12.75" customHeight="1">
      <c r="A7" s="245" t="s">
        <v>557</v>
      </c>
      <c r="B7" s="245"/>
      <c r="C7" s="138"/>
    </row>
    <row r="8" spans="1:4" ht="12.75" customHeight="1">
      <c r="A8" s="15"/>
      <c r="B8" s="15"/>
      <c r="C8" s="56"/>
    </row>
    <row r="9" spans="1:4">
      <c r="A9" s="15" t="s">
        <v>189</v>
      </c>
      <c r="B9" s="15">
        <f>VLOOKUP(B5,Data!A:B,2,FALSE)</f>
        <v>35105</v>
      </c>
      <c r="C9" s="57"/>
    </row>
    <row r="10" spans="1:4" ht="13.8" hidden="1">
      <c r="A10" s="91" t="s">
        <v>153</v>
      </c>
      <c r="B10" s="15">
        <f>VLOOKUP(B5,Data!A:X,24,FALSE)</f>
        <v>2</v>
      </c>
      <c r="C10" s="136" t="s">
        <v>171</v>
      </c>
    </row>
    <row r="11" spans="1:4">
      <c r="A11" s="15"/>
      <c r="B11" s="15"/>
      <c r="C11" s="134"/>
    </row>
    <row r="12" spans="1:4">
      <c r="A12" s="15"/>
      <c r="B12" s="15"/>
      <c r="C12" s="15"/>
    </row>
    <row r="13" spans="1:4">
      <c r="A13" s="15"/>
      <c r="B13" s="15"/>
      <c r="C13" s="15"/>
    </row>
    <row r="14" spans="1:4">
      <c r="A14" s="15"/>
      <c r="B14" s="15"/>
      <c r="C14" s="15"/>
    </row>
    <row r="15" spans="1:4">
      <c r="A15" s="15"/>
      <c r="B15" s="15"/>
      <c r="C15" s="15"/>
    </row>
    <row r="16" spans="1:4">
      <c r="A16" s="15"/>
      <c r="B16" s="15"/>
      <c r="C16" s="15"/>
    </row>
    <row r="17" spans="1:3">
      <c r="A17" s="15"/>
      <c r="B17" s="15"/>
      <c r="C17" s="15"/>
    </row>
    <row r="18" spans="1:3">
      <c r="A18" s="15"/>
      <c r="B18" s="15"/>
      <c r="C18" s="15"/>
    </row>
    <row r="19" spans="1:3">
      <c r="A19" s="15"/>
      <c r="B19" s="15"/>
      <c r="C19" s="15"/>
    </row>
    <row r="20" spans="1:3">
      <c r="A20" s="15"/>
      <c r="B20" s="15"/>
      <c r="C20" s="15"/>
    </row>
    <row r="21" spans="1:3">
      <c r="A21" s="15"/>
      <c r="B21" s="15"/>
      <c r="C21" s="15"/>
    </row>
    <row r="22" spans="1:3">
      <c r="A22" s="15"/>
      <c r="B22" s="15"/>
      <c r="C22" s="15"/>
    </row>
    <row r="23" spans="1:3">
      <c r="A23" s="15"/>
      <c r="B23" s="15"/>
      <c r="C23" s="15"/>
    </row>
    <row r="24" spans="1:3">
      <c r="A24" s="15"/>
      <c r="B24" s="15"/>
      <c r="C24" s="15"/>
    </row>
    <row r="25" spans="1:3">
      <c r="A25" s="15"/>
      <c r="B25" s="15"/>
      <c r="C25" s="15"/>
    </row>
    <row r="26" spans="1:3">
      <c r="A26" s="15"/>
      <c r="B26" s="15"/>
      <c r="C26" s="15"/>
    </row>
    <row r="27" spans="1:3">
      <c r="A27" s="15"/>
      <c r="B27" s="15"/>
      <c r="C27" s="15"/>
    </row>
    <row r="28" spans="1:3">
      <c r="A28" s="15"/>
      <c r="B28" s="15"/>
      <c r="C28" s="15"/>
    </row>
    <row r="29" spans="1:3">
      <c r="A29" s="15"/>
      <c r="B29" s="15"/>
      <c r="C29" s="15"/>
    </row>
    <row r="30" spans="1:3">
      <c r="A30" s="15"/>
      <c r="B30" s="15"/>
      <c r="C30" s="15"/>
    </row>
    <row r="31" spans="1:3">
      <c r="A31" s="15"/>
      <c r="B31" s="15"/>
      <c r="C31" s="15"/>
    </row>
    <row r="32" spans="1:3" ht="12.75" customHeight="1">
      <c r="A32" s="132" t="s">
        <v>162</v>
      </c>
      <c r="B32" s="15"/>
      <c r="C32" s="15"/>
    </row>
    <row r="33" spans="1:3" ht="14.1" customHeight="1">
      <c r="A33" s="133" t="s">
        <v>558</v>
      </c>
      <c r="B33" s="15"/>
      <c r="C33" s="158"/>
    </row>
    <row r="34" spans="1:3" ht="12.75" customHeight="1">
      <c r="A34" s="209"/>
      <c r="C34" s="124"/>
    </row>
    <row r="35" spans="1:3" ht="15.75" customHeight="1">
      <c r="A35" s="210" t="s">
        <v>559</v>
      </c>
      <c r="B35" s="15"/>
      <c r="C35" s="15"/>
    </row>
    <row r="36" spans="1:3" ht="12" customHeight="1">
      <c r="A36" s="210"/>
      <c r="B36" s="15"/>
      <c r="C36" s="15"/>
    </row>
    <row r="37" spans="1:3" ht="12" customHeight="1">
      <c r="A37" s="244" t="s">
        <v>182</v>
      </c>
      <c r="B37" s="244"/>
      <c r="C37" s="15"/>
    </row>
    <row r="38" spans="1:3" ht="12" customHeight="1">
      <c r="A38" s="244" t="s">
        <v>560</v>
      </c>
      <c r="B38" s="244"/>
      <c r="C38" s="15"/>
    </row>
    <row r="39" spans="1:3">
      <c r="A39" s="242" t="s">
        <v>561</v>
      </c>
      <c r="B39" s="243"/>
      <c r="C39" s="15"/>
    </row>
  </sheetData>
  <mergeCells count="4">
    <mergeCell ref="A39:B39"/>
    <mergeCell ref="A37:B37"/>
    <mergeCell ref="A38:B38"/>
    <mergeCell ref="A7:B7"/>
  </mergeCells>
  <hyperlinks>
    <hyperlink ref="A39" r:id="rId1" xr:uid="{015545DF-DEBF-49BB-A70C-A2BEC8AAD971}"/>
    <hyperlink ref="A35" r:id="rId2" display="https://gcc02.safelinks.protection.outlook.com/?url=https%3A%2F%2Ffiles.nc.gov%2Fnc-auditor%2Fdocuments%2F2024-03%2FFIN-2023-3400-OPEB.pdf%3FVersionId%3D0zyYx_S_fmDpAWMEa7Hrd9JvwMWSxPQO&amp;data=05%7C02%7Celizabeth.john%40osc.nc.gov%7Cd4828a5117f1493438fe08dc52482607%7C7a7681dcb9d0449a85c3ecc26cd7ed19%7C0%7C0%7C638475717749553058%7CUnknown%7CTWFpbGZsb3d8eyJWIjoiMC4wLjAwMDAiLCJQIjoiV2luMzIiLCJBTiI6Ik1haWwiLCJXVCI6Mn0%3D%7C0%7C%7C%7C&amp;sdata=Nnao2mudIKL40ldHGWpQNB2iKNNZSysX1K3dHXIHMzY%3D&amp;reserved=0" xr:uid="{56562BBB-E5FE-41A1-B7AB-6AA3B4BA5446}"/>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Data!$A$4:$A$88</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154"/>
  <sheetViews>
    <sheetView showGridLines="0" topLeftCell="A27" zoomScaleNormal="100" workbookViewId="0">
      <selection activeCell="E47" sqref="E47"/>
    </sheetView>
  </sheetViews>
  <sheetFormatPr defaultColWidth="9.109375" defaultRowHeight="13.2"/>
  <cols>
    <col min="1" max="1" width="4.44140625" style="15" customWidth="1"/>
    <col min="2" max="2" width="50.6640625" style="15" customWidth="1"/>
    <col min="3" max="3" width="7.6640625" style="15" customWidth="1"/>
    <col min="4" max="4" width="3.6640625" style="15" customWidth="1"/>
    <col min="5" max="6" width="9.6640625" style="15" customWidth="1"/>
    <col min="7" max="7" width="40.6640625" style="15" customWidth="1"/>
    <col min="8" max="8" width="16.33203125" style="15" customWidth="1"/>
    <col min="9" max="9" width="14" style="15" customWidth="1"/>
    <col min="10" max="10" width="88.109375" style="15" customWidth="1"/>
    <col min="11" max="16384" width="9.109375" style="15"/>
  </cols>
  <sheetData>
    <row r="1" spans="1:10">
      <c r="A1" s="51" t="str">
        <f>Info!B5</f>
        <v>JOHNSTON TECHNICAL COLLEGE</v>
      </c>
    </row>
    <row r="2" spans="1:10">
      <c r="A2" s="51" t="s">
        <v>190</v>
      </c>
    </row>
    <row r="3" spans="1:10">
      <c r="A3" s="51" t="s">
        <v>549</v>
      </c>
    </row>
    <row r="4" spans="1:10" ht="9.9" customHeight="1">
      <c r="A4" s="51"/>
      <c r="G4" s="54"/>
    </row>
    <row r="5" spans="1:10" ht="12" customHeight="1">
      <c r="A5" s="26"/>
      <c r="B5" s="26"/>
      <c r="C5" s="32" t="str">
        <f>IF(Info!B$10=2,"Colleague","NCFS")</f>
        <v>Colleague</v>
      </c>
      <c r="D5" s="26"/>
      <c r="E5" s="26"/>
      <c r="F5" s="26"/>
      <c r="G5" s="26"/>
      <c r="H5" s="26"/>
      <c r="I5" s="26"/>
    </row>
    <row r="6" spans="1:10" ht="12" customHeight="1">
      <c r="A6" s="27" t="s">
        <v>2</v>
      </c>
      <c r="B6" s="27" t="s">
        <v>137</v>
      </c>
      <c r="C6" s="28" t="s">
        <v>124</v>
      </c>
      <c r="D6" s="28" t="s">
        <v>14</v>
      </c>
      <c r="E6" s="28" t="s">
        <v>0</v>
      </c>
      <c r="F6" s="28" t="s">
        <v>1</v>
      </c>
      <c r="G6" s="28" t="s">
        <v>23</v>
      </c>
      <c r="H6" s="28" t="s">
        <v>3</v>
      </c>
      <c r="I6" s="28" t="s">
        <v>22</v>
      </c>
    </row>
    <row r="7" spans="1:10" ht="3" customHeight="1">
      <c r="A7" s="29"/>
      <c r="B7" s="30"/>
      <c r="C7" s="31"/>
      <c r="D7" s="31"/>
      <c r="E7" s="28"/>
      <c r="F7" s="28"/>
      <c r="G7" s="26"/>
      <c r="H7" s="26"/>
      <c r="I7" s="26"/>
    </row>
    <row r="8" spans="1:10" ht="13.8">
      <c r="A8" s="26"/>
      <c r="B8" s="14" t="s">
        <v>169</v>
      </c>
      <c r="C8" s="31"/>
      <c r="D8" s="31"/>
      <c r="E8" s="32"/>
      <c r="F8" s="32"/>
      <c r="G8" s="30"/>
      <c r="H8" s="30"/>
      <c r="I8" s="26"/>
    </row>
    <row r="9" spans="1:10" ht="3.9" customHeight="1">
      <c r="A9" s="26"/>
      <c r="B9" s="33"/>
      <c r="C9" s="31"/>
      <c r="D9" s="31"/>
      <c r="E9" s="32"/>
      <c r="F9" s="32"/>
      <c r="G9" s="30"/>
      <c r="H9" s="30"/>
      <c r="I9" s="26"/>
    </row>
    <row r="10" spans="1:10" ht="13.5" customHeight="1">
      <c r="A10" s="26"/>
      <c r="B10" s="167" t="s">
        <v>191</v>
      </c>
      <c r="C10" s="31"/>
      <c r="D10" s="31"/>
      <c r="E10" s="35">
        <f>VLOOKUP(Info!B9,Data!B:AU,32,FALSE)</f>
        <v>3231</v>
      </c>
      <c r="F10" s="32"/>
      <c r="G10" s="30" t="s">
        <v>25</v>
      </c>
      <c r="H10" s="30"/>
      <c r="I10" s="26"/>
    </row>
    <row r="11" spans="1:10" ht="13.5" customHeight="1">
      <c r="A11" s="26"/>
      <c r="B11" s="167" t="s">
        <v>191</v>
      </c>
      <c r="C11" s="31"/>
      <c r="D11" s="31"/>
      <c r="E11" s="35">
        <f>VLOOKUP(Info!B9,Data!B:AU,31,FALSE)</f>
        <v>1845</v>
      </c>
      <c r="F11" s="32"/>
      <c r="G11" s="30" t="s">
        <v>128</v>
      </c>
      <c r="H11" s="30"/>
      <c r="I11" s="26"/>
    </row>
    <row r="12" spans="1:10" ht="13.5" customHeight="1">
      <c r="A12" s="26"/>
      <c r="B12" s="167" t="s">
        <v>191</v>
      </c>
      <c r="C12" s="31"/>
      <c r="D12" s="31"/>
      <c r="E12" s="35">
        <f>VLOOKUP(Info!B9,Data!B:AU,30,FALSE)</f>
        <v>30353</v>
      </c>
      <c r="F12" s="32"/>
      <c r="G12" s="30" t="s">
        <v>26</v>
      </c>
      <c r="H12" s="30"/>
      <c r="I12" s="26"/>
    </row>
    <row r="13" spans="1:10" ht="13.8">
      <c r="A13" s="34"/>
      <c r="B13" s="167" t="s">
        <v>191</v>
      </c>
      <c r="C13" s="31"/>
      <c r="D13" s="31"/>
      <c r="E13" s="35">
        <f>VLOOKUP(Info!B9,Data!B:AU,29,FALSE)</f>
        <v>32168</v>
      </c>
      <c r="F13" s="35"/>
      <c r="G13" s="142" t="s">
        <v>24</v>
      </c>
      <c r="H13" s="142"/>
      <c r="I13" s="142"/>
    </row>
    <row r="14" spans="1:10" ht="13.8">
      <c r="A14" s="34"/>
      <c r="B14" s="30" t="s">
        <v>191</v>
      </c>
      <c r="C14" s="31"/>
      <c r="D14" s="31"/>
      <c r="E14" s="35">
        <f>VLOOKUP(Info!B9,Data!B:AU,2,FALSE)+VLOOKUP(Info!B9,Data!B:AU,24,FALSE)</f>
        <v>19094</v>
      </c>
      <c r="F14" s="35"/>
      <c r="G14" s="143" t="s">
        <v>553</v>
      </c>
      <c r="H14" s="142"/>
      <c r="I14" s="142" t="s">
        <v>130</v>
      </c>
    </row>
    <row r="15" spans="1:10" ht="13.8">
      <c r="A15" s="34"/>
      <c r="B15" s="30" t="s">
        <v>223</v>
      </c>
      <c r="C15" s="31"/>
      <c r="D15" s="31"/>
      <c r="F15" s="35"/>
      <c r="G15" s="142" t="s">
        <v>224</v>
      </c>
      <c r="H15" s="142"/>
      <c r="I15" s="142"/>
    </row>
    <row r="16" spans="1:10" ht="13.8">
      <c r="A16" s="34"/>
      <c r="B16" s="185" t="s">
        <v>531</v>
      </c>
      <c r="C16" s="182"/>
      <c r="D16" s="182"/>
      <c r="E16" s="183"/>
      <c r="F16" s="35">
        <f>VLOOKUP(Info!B9,Data!B:AU,28,FALSE)</f>
        <v>28698</v>
      </c>
      <c r="G16" s="184" t="s">
        <v>532</v>
      </c>
      <c r="H16" s="142"/>
      <c r="I16" s="142"/>
      <c r="J16" s="134" t="s">
        <v>533</v>
      </c>
    </row>
    <row r="17" spans="1:10" ht="13.8">
      <c r="A17" s="34"/>
      <c r="B17" s="36" t="s">
        <v>192</v>
      </c>
      <c r="C17" s="31"/>
      <c r="D17" s="31"/>
      <c r="E17" s="35"/>
      <c r="F17" s="35">
        <f>VLOOKUP(Info!B9,Data!B:AU,33,FALSE)</f>
        <v>0</v>
      </c>
      <c r="G17" s="142" t="s">
        <v>24</v>
      </c>
      <c r="H17" s="142"/>
      <c r="I17" s="142"/>
      <c r="J17" s="134" t="s">
        <v>534</v>
      </c>
    </row>
    <row r="18" spans="1:10" ht="13.8">
      <c r="A18" s="34"/>
      <c r="B18" s="36" t="s">
        <v>192</v>
      </c>
      <c r="C18" s="31"/>
      <c r="D18" s="31"/>
      <c r="E18" s="35"/>
      <c r="F18" s="35">
        <f>VLOOKUP(Info!B9,Data!B:AU,34,FALSE)</f>
        <v>0</v>
      </c>
      <c r="G18" s="142" t="s">
        <v>26</v>
      </c>
      <c r="H18" s="142"/>
      <c r="I18" s="142"/>
    </row>
    <row r="19" spans="1:10" ht="13.8">
      <c r="A19" s="34"/>
      <c r="B19" s="36" t="s">
        <v>192</v>
      </c>
      <c r="C19" s="31"/>
      <c r="D19" s="31"/>
      <c r="E19" s="35"/>
      <c r="F19" s="35">
        <f>VLOOKUP(Info!B9,Data!B:AU,35,FALSE)</f>
        <v>5316</v>
      </c>
      <c r="G19" s="142" t="s">
        <v>128</v>
      </c>
      <c r="H19" s="142"/>
      <c r="I19" s="142"/>
    </row>
    <row r="20" spans="1:10" ht="13.8">
      <c r="A20" s="34"/>
      <c r="B20" s="36" t="s">
        <v>192</v>
      </c>
      <c r="C20" s="31"/>
      <c r="D20" s="31"/>
      <c r="E20" s="35"/>
      <c r="F20" s="35">
        <f>VLOOKUP(Info!B9,Data!B:AU,36,FALSE)</f>
        <v>2368</v>
      </c>
      <c r="G20" s="142" t="s">
        <v>25</v>
      </c>
      <c r="H20" s="142"/>
      <c r="I20" s="142"/>
    </row>
    <row r="21" spans="1:10" ht="4.5" customHeight="1">
      <c r="A21" s="34"/>
      <c r="B21" s="159"/>
      <c r="C21" s="31"/>
      <c r="D21" s="31"/>
      <c r="E21" s="41"/>
      <c r="F21" s="35"/>
      <c r="G21" s="143"/>
      <c r="H21" s="142"/>
      <c r="I21" s="26"/>
    </row>
    <row r="22" spans="1:10" ht="13.5" customHeight="1">
      <c r="A22" s="34"/>
      <c r="B22" s="135" t="s">
        <v>552</v>
      </c>
      <c r="C22" s="32"/>
      <c r="D22" s="32"/>
      <c r="E22" s="170">
        <v>0</v>
      </c>
      <c r="F22" s="35"/>
      <c r="G22" s="168" t="s">
        <v>554</v>
      </c>
      <c r="H22" s="26"/>
      <c r="I22" s="26"/>
    </row>
    <row r="23" spans="1:10" ht="13.8">
      <c r="A23" s="34"/>
      <c r="B23" s="14" t="s">
        <v>133</v>
      </c>
      <c r="C23" s="26"/>
      <c r="D23" s="26"/>
      <c r="E23" s="38"/>
      <c r="F23" s="38"/>
      <c r="G23" s="142"/>
      <c r="H23" s="142"/>
      <c r="I23" s="26"/>
    </row>
    <row r="24" spans="1:10" ht="3" customHeight="1">
      <c r="A24" s="34"/>
      <c r="B24" s="14"/>
      <c r="C24" s="26"/>
      <c r="D24" s="26"/>
      <c r="E24" s="38"/>
      <c r="F24" s="38"/>
      <c r="G24" s="142"/>
      <c r="H24" s="142"/>
      <c r="I24" s="26"/>
    </row>
    <row r="25" spans="1:10" ht="13.5" customHeight="1">
      <c r="A25" s="34"/>
      <c r="B25" s="40" t="s">
        <v>243</v>
      </c>
      <c r="C25" s="26"/>
      <c r="D25" s="26"/>
      <c r="E25" s="38"/>
      <c r="F25" s="38"/>
      <c r="G25" s="142"/>
      <c r="H25" s="142"/>
      <c r="I25" s="26"/>
    </row>
    <row r="26" spans="1:10" ht="13.8">
      <c r="A26" s="34"/>
      <c r="B26" s="30" t="s">
        <v>240</v>
      </c>
      <c r="C26" s="31">
        <f>IF(Info!B$10=2,Summary!R10,Summary!Q10)</f>
        <v>124091</v>
      </c>
      <c r="D26" s="26"/>
      <c r="E26" s="169">
        <f>IF(E22=0,0,IF(E22&lt;E14,E14-E22,0))</f>
        <v>0</v>
      </c>
      <c r="F26" s="38"/>
      <c r="G26" s="142" t="s">
        <v>567</v>
      </c>
      <c r="H26" s="142"/>
      <c r="I26" s="26"/>
    </row>
    <row r="27" spans="1:10" ht="13.8">
      <c r="A27" s="34"/>
      <c r="B27" s="30" t="s">
        <v>241</v>
      </c>
      <c r="C27" s="31">
        <f>IF(Info!B$10=2,Summary!R14,Summary!Q14)</f>
        <v>539600</v>
      </c>
      <c r="D27" s="26"/>
      <c r="E27" s="169">
        <f>F28</f>
        <v>0</v>
      </c>
      <c r="F27" s="38"/>
      <c r="G27" s="142" t="s">
        <v>15</v>
      </c>
      <c r="H27" s="142" t="s">
        <v>244</v>
      </c>
      <c r="I27" s="26"/>
    </row>
    <row r="28" spans="1:10" ht="13.8">
      <c r="A28" s="34"/>
      <c r="B28" s="36" t="s">
        <v>240</v>
      </c>
      <c r="C28" s="31">
        <f>IF(Info!B$10=2,Summary!R10,Summary!Q10)</f>
        <v>124091</v>
      </c>
      <c r="D28" s="31"/>
      <c r="E28" s="35"/>
      <c r="F28" s="35">
        <f>IF(E22=0,0,IF(E22&gt;E14, E22-E14,0))</f>
        <v>0</v>
      </c>
      <c r="G28" s="142" t="s">
        <v>567</v>
      </c>
      <c r="H28" s="142"/>
      <c r="I28" s="26"/>
    </row>
    <row r="29" spans="1:10" ht="13.8">
      <c r="A29" s="39"/>
      <c r="B29" s="36" t="s">
        <v>242</v>
      </c>
      <c r="C29" s="31">
        <f>IF(Info!B$10=2,Summary!R15,Summary!Q15)</f>
        <v>493200</v>
      </c>
      <c r="D29" s="27"/>
      <c r="E29" s="35"/>
      <c r="F29" s="35">
        <f>E26</f>
        <v>0</v>
      </c>
      <c r="G29" s="142" t="s">
        <v>15</v>
      </c>
      <c r="H29" s="142" t="s">
        <v>244</v>
      </c>
      <c r="I29" s="26"/>
    </row>
    <row r="30" spans="1:10" ht="13.8">
      <c r="A30" s="39"/>
      <c r="B30" s="36" t="s">
        <v>250</v>
      </c>
      <c r="C30" s="27"/>
      <c r="D30" s="27"/>
      <c r="E30" s="42">
        <f>SUM(E26:E29)</f>
        <v>0</v>
      </c>
      <c r="F30" s="42">
        <f>SUM(F26:F29)</f>
        <v>0</v>
      </c>
      <c r="G30" s="26"/>
      <c r="H30" s="26"/>
      <c r="I30" s="26"/>
    </row>
    <row r="31" spans="1:10" ht="3" customHeight="1">
      <c r="A31" s="39"/>
      <c r="B31" s="36"/>
      <c r="C31" s="27"/>
      <c r="D31" s="27"/>
      <c r="E31" s="35"/>
      <c r="F31" s="35"/>
      <c r="G31" s="26"/>
      <c r="H31" s="26"/>
      <c r="I31" s="26"/>
    </row>
    <row r="32" spans="1:10" ht="13.8">
      <c r="A32" s="39"/>
      <c r="B32" s="40" t="s">
        <v>193</v>
      </c>
      <c r="C32" s="27"/>
      <c r="D32" s="27"/>
      <c r="E32" s="35"/>
      <c r="F32" s="35"/>
      <c r="G32" s="26"/>
      <c r="H32" s="26"/>
      <c r="I32" s="26"/>
    </row>
    <row r="33" spans="1:9" ht="13.8">
      <c r="A33" s="34"/>
      <c r="B33" s="30" t="s">
        <v>225</v>
      </c>
      <c r="C33" s="31">
        <f>IF(Info!B$10=2,Summary!R8,Summary!Q8)</f>
        <v>142090</v>
      </c>
      <c r="D33" s="31"/>
      <c r="E33" s="26"/>
      <c r="F33" s="35"/>
      <c r="G33" s="142" t="s">
        <v>226</v>
      </c>
      <c r="H33" s="142" t="s">
        <v>150</v>
      </c>
      <c r="I33" s="144"/>
    </row>
    <row r="34" spans="1:9" ht="13.8">
      <c r="A34" s="34"/>
      <c r="B34" s="181" t="s">
        <v>522</v>
      </c>
      <c r="C34" s="182">
        <f>IF(Info!B$10=2,Summary!R9,Summary!Q9)</f>
        <v>242081</v>
      </c>
      <c r="D34" s="182"/>
      <c r="E34" s="183">
        <f>IF(VLOOKUP(Info!B9,Data!B:AV,47,FALSE)&lt;0,-VLOOKUP(Info!B9,Data!B:AV,47,FALSE),0)</f>
        <v>0</v>
      </c>
      <c r="F34" s="183">
        <f>IF(VLOOKUP(Info!B9,Data!B:AU,27,FALSE)&gt;0, VLOOKUP(Info!B9,Data!B:AU,27,FALSE),0)</f>
        <v>0</v>
      </c>
      <c r="G34" s="184" t="s">
        <v>523</v>
      </c>
      <c r="H34" s="142" t="s">
        <v>150</v>
      </c>
      <c r="I34" s="144"/>
    </row>
    <row r="35" spans="1:9" ht="13.8">
      <c r="A35" s="34"/>
      <c r="B35" s="30" t="s">
        <v>191</v>
      </c>
      <c r="C35" s="31">
        <f>IF(Info!B$10=2,Summary!R10,Summary!Q10)</f>
        <v>124091</v>
      </c>
      <c r="D35" s="31">
        <v>1</v>
      </c>
      <c r="E35" s="35">
        <f>IF(VLOOKUP(Info!B9,Data!B:AU,40,FALSE)&gt;0, VLOOKUP(Info!B9,Data!B:AU,40,FALSE),0)</f>
        <v>0</v>
      </c>
      <c r="F35" s="35"/>
      <c r="G35" s="142" t="s">
        <v>24</v>
      </c>
      <c r="H35" s="142" t="s">
        <v>131</v>
      </c>
      <c r="I35" s="142"/>
    </row>
    <row r="36" spans="1:9" ht="13.8">
      <c r="A36" s="34">
        <v>2</v>
      </c>
      <c r="B36" s="30" t="s">
        <v>192</v>
      </c>
      <c r="C36" s="31">
        <f>IF(Info!B$10=2,Summary!R11,Summary!Q11)</f>
        <v>242091</v>
      </c>
      <c r="D36" s="31">
        <v>6</v>
      </c>
      <c r="E36" s="35">
        <f>IF(VLOOKUP(Info!B9,Data!B:AU,41,FALSE)&lt;0, -VLOOKUP(Info!B9,Data!B:AU,41,FALSE),0)</f>
        <v>0</v>
      </c>
      <c r="F36" s="35"/>
      <c r="G36" s="142" t="s">
        <v>24</v>
      </c>
      <c r="H36" s="142" t="s">
        <v>131</v>
      </c>
      <c r="I36" s="142"/>
    </row>
    <row r="37" spans="1:9" ht="13.8">
      <c r="A37" s="26"/>
      <c r="B37" s="30" t="s">
        <v>191</v>
      </c>
      <c r="C37" s="31">
        <f>IF(Info!B$10=2,Summary!R10,Summary!Q10)</f>
        <v>124091</v>
      </c>
      <c r="D37" s="31">
        <v>2</v>
      </c>
      <c r="E37" s="35">
        <f>IF(VLOOKUP(Info!B9,Data!B:AU,42,FALSE)&gt;0, VLOOKUP(Info!B9,Data!B:AU,42,FALSE),0)</f>
        <v>0</v>
      </c>
      <c r="F37" s="35"/>
      <c r="G37" s="142" t="s">
        <v>128</v>
      </c>
      <c r="H37" s="142" t="s">
        <v>177</v>
      </c>
      <c r="I37" s="144"/>
    </row>
    <row r="38" spans="1:9" ht="13.8">
      <c r="A38" s="26"/>
      <c r="B38" s="30" t="s">
        <v>192</v>
      </c>
      <c r="C38" s="31">
        <f>IF(Info!B$10=2,Summary!R11,Summary!Q11)</f>
        <v>242091</v>
      </c>
      <c r="D38" s="31">
        <v>7</v>
      </c>
      <c r="E38" s="35">
        <f>IF(VLOOKUP(Info!B9,Data!B:AU,43,FALSE)&lt;0, -VLOOKUP(Info!B9,Data!B:AU,43,FALSE),0)</f>
        <v>1056</v>
      </c>
      <c r="F38" s="35"/>
      <c r="G38" s="142" t="s">
        <v>128</v>
      </c>
      <c r="H38" s="142" t="s">
        <v>177</v>
      </c>
      <c r="I38" s="144"/>
    </row>
    <row r="39" spans="1:9" ht="13.8">
      <c r="A39" s="34"/>
      <c r="B39" s="30" t="s">
        <v>191</v>
      </c>
      <c r="C39" s="31">
        <f>IF(Info!B$10=2,Summary!R10,Summary!Q10)</f>
        <v>124091</v>
      </c>
      <c r="D39" s="31">
        <v>4</v>
      </c>
      <c r="E39" s="35">
        <f>IF(VLOOKUP(Info!B9,Data!B:AU,38,FALSE)&gt;0, VLOOKUP(Info!B9,Data!B:AU,38,FALSE),0)</f>
        <v>312</v>
      </c>
      <c r="F39" s="35"/>
      <c r="G39" s="142" t="s">
        <v>25</v>
      </c>
      <c r="H39" s="142" t="s">
        <v>173</v>
      </c>
      <c r="I39" s="144"/>
    </row>
    <row r="40" spans="1:9" ht="13.8">
      <c r="A40" s="34"/>
      <c r="B40" s="30" t="s">
        <v>192</v>
      </c>
      <c r="C40" s="31">
        <f>IF(Info!B$10=2,Summary!R11,Summary!Q11)</f>
        <v>242091</v>
      </c>
      <c r="D40" s="31">
        <v>9</v>
      </c>
      <c r="E40" s="35">
        <f>IF(VLOOKUP(Info!B9,Data!B:AU,39,FALSE)&lt;0, -VLOOKUP(Info!B9,Data!B:AU,39,FALSE),0)</f>
        <v>409</v>
      </c>
      <c r="F40" s="35"/>
      <c r="G40" s="142" t="s">
        <v>25</v>
      </c>
      <c r="H40" s="142" t="s">
        <v>173</v>
      </c>
      <c r="I40" s="144"/>
    </row>
    <row r="41" spans="1:9" ht="13.8">
      <c r="A41" s="34"/>
      <c r="B41" s="30" t="s">
        <v>191</v>
      </c>
      <c r="C41" s="31">
        <f>IF(Info!B$10=2,Summary!R10,Summary!Q10)</f>
        <v>124091</v>
      </c>
      <c r="D41" s="31">
        <v>3</v>
      </c>
      <c r="E41" s="35">
        <f>IF(VLOOKUP(Info!B9,Data!B:AU,45,FALSE)&gt;0, VLOOKUP(Info!B9,Data!B:AU,45,FALSE),0)</f>
        <v>2242</v>
      </c>
      <c r="F41" s="26"/>
      <c r="G41" s="142" t="s">
        <v>26</v>
      </c>
      <c r="H41" s="142" t="s">
        <v>131</v>
      </c>
      <c r="I41" s="144"/>
    </row>
    <row r="42" spans="1:9" ht="13.8">
      <c r="A42" s="34"/>
      <c r="B42" s="30" t="s">
        <v>192</v>
      </c>
      <c r="C42" s="31">
        <f>IF(Info!B$10=2,Summary!R11,Summary!Q11)</f>
        <v>242091</v>
      </c>
      <c r="D42" s="31">
        <v>8</v>
      </c>
      <c r="E42" s="35">
        <f>IF(VLOOKUP(Info!B9,Data!B:AU,46,FALSE)&lt;0, -VLOOKUP(Info!B9,Data!B:AU,46,FALSE),0)</f>
        <v>0</v>
      </c>
      <c r="F42" s="35"/>
      <c r="G42" s="142" t="s">
        <v>26</v>
      </c>
      <c r="H42" s="142" t="s">
        <v>131</v>
      </c>
      <c r="I42" s="144"/>
    </row>
    <row r="43" spans="1:9" ht="13.8">
      <c r="A43" s="34"/>
      <c r="B43" s="30" t="s">
        <v>194</v>
      </c>
      <c r="C43" s="31">
        <f>IF(Info!B$10=2,Summary!R12,Summary!Q12)</f>
        <v>518251</v>
      </c>
      <c r="D43" s="31"/>
      <c r="E43" s="35">
        <f>IF(VLOOKUP(Info!B9,Data!B:AU,15,FALSE)&gt;0,VLOOKUP(Info!B9,Data!B:AU,15,FALSE),0)</f>
        <v>35479</v>
      </c>
      <c r="F43" s="35"/>
      <c r="G43" s="142" t="s">
        <v>227</v>
      </c>
      <c r="H43" s="145" t="s">
        <v>16</v>
      </c>
      <c r="I43" s="142"/>
    </row>
    <row r="44" spans="1:9" ht="13.8">
      <c r="A44" s="34"/>
      <c r="B44" s="30" t="s">
        <v>194</v>
      </c>
      <c r="C44" s="31">
        <f>IF(Info!B$10=2,Summary!R12,Summary!Q12)</f>
        <v>518251</v>
      </c>
      <c r="D44" s="31"/>
      <c r="E44" s="35"/>
      <c r="F44" s="35">
        <f>IF(VLOOKUP(Info!B9,Data!B:AU,15,FALSE)&lt;0, -VLOOKUP(Info!B9,Data!B:AU,15,FALSE),0)</f>
        <v>0</v>
      </c>
      <c r="G44" s="142" t="s">
        <v>227</v>
      </c>
      <c r="H44" s="145" t="s">
        <v>16</v>
      </c>
      <c r="I44" s="142"/>
    </row>
    <row r="45" spans="1:9" ht="13.8">
      <c r="A45" s="34"/>
      <c r="B45" s="36" t="s">
        <v>225</v>
      </c>
      <c r="C45" s="31">
        <f>IF(Info!B$10=2,Summary!R8,Summary!Q8)</f>
        <v>142090</v>
      </c>
      <c r="D45" s="31"/>
      <c r="F45" s="26"/>
      <c r="G45" s="142" t="s">
        <v>226</v>
      </c>
      <c r="H45" s="142" t="s">
        <v>150</v>
      </c>
      <c r="I45" s="142"/>
    </row>
    <row r="46" spans="1:9" ht="13.8">
      <c r="A46" s="34"/>
      <c r="B46" s="185" t="s">
        <v>522</v>
      </c>
      <c r="C46" s="182">
        <f>IF(Info!B$10=2,Summary!R9,Summary!Q9)</f>
        <v>242081</v>
      </c>
      <c r="D46" s="182"/>
      <c r="E46" s="185">
        <f>IF(VLOOKUP(Info!B9,Data!B:AU,44,FALSE)&lt;0,- VLOOKUP(Info!B9,Data!B:AU,44,FALSE),0)</f>
        <v>3743</v>
      </c>
      <c r="F46" s="183"/>
      <c r="G46" s="184" t="s">
        <v>524</v>
      </c>
      <c r="H46" s="142" t="s">
        <v>150</v>
      </c>
      <c r="I46" s="142"/>
    </row>
    <row r="47" spans="1:9" ht="13.8">
      <c r="A47" s="34"/>
      <c r="B47" s="36" t="s">
        <v>192</v>
      </c>
      <c r="C47" s="31">
        <f>IF(Info!B$10=2,Summary!R11,Summary!Q11)</f>
        <v>242091</v>
      </c>
      <c r="D47" s="31">
        <v>6</v>
      </c>
      <c r="E47" s="41"/>
      <c r="F47" s="35">
        <f>IF(VLOOKUP(Info!B9,Data!B:AU,41,FALSE)&gt;0, VLOOKUP(Info!B9,Data!B:AU,41,FALSE),0)</f>
        <v>13822</v>
      </c>
      <c r="G47" s="142" t="s">
        <v>24</v>
      </c>
      <c r="H47" s="142" t="s">
        <v>174</v>
      </c>
      <c r="I47" s="26"/>
    </row>
    <row r="48" spans="1:9" ht="13.8">
      <c r="A48" s="34"/>
      <c r="B48" s="36" t="s">
        <v>191</v>
      </c>
      <c r="C48" s="31">
        <f>IF(Info!B$10=2,Summary!R10,Summary!Q10)</f>
        <v>124091</v>
      </c>
      <c r="D48" s="31">
        <v>1</v>
      </c>
      <c r="E48" s="41"/>
      <c r="F48" s="35">
        <f>IF(VLOOKUP(Info!B9,Data!B:AU,40,FALSE)&lt;0, -VLOOKUP(Info!B9,Data!B:AU,40,FALSE),0)</f>
        <v>10298</v>
      </c>
      <c r="G48" s="142" t="s">
        <v>24</v>
      </c>
      <c r="H48" s="142" t="s">
        <v>174</v>
      </c>
      <c r="I48" s="26"/>
    </row>
    <row r="49" spans="1:9" ht="13.8">
      <c r="A49" s="34"/>
      <c r="B49" s="36" t="s">
        <v>192</v>
      </c>
      <c r="C49" s="31">
        <f>IF(Info!B$10=2,Summary!R11,Summary!Q11)</f>
        <v>242091</v>
      </c>
      <c r="D49" s="31">
        <v>7</v>
      </c>
      <c r="E49" s="41"/>
      <c r="F49" s="35">
        <f>IF(VLOOKUP(Info!B9,Data!B:AU,43,FALSE)&gt;0, VLOOKUP(Info!B9,Data!B:AU,43,FALSE),0)</f>
        <v>0</v>
      </c>
      <c r="G49" s="142" t="s">
        <v>128</v>
      </c>
      <c r="H49" s="142" t="s">
        <v>177</v>
      </c>
      <c r="I49" s="26"/>
    </row>
    <row r="50" spans="1:9" ht="13.8">
      <c r="A50" s="34"/>
      <c r="B50" s="36" t="s">
        <v>191</v>
      </c>
      <c r="C50" s="31">
        <f>IF(Info!B$10=2,Summary!R10,Summary!Q10)</f>
        <v>124091</v>
      </c>
      <c r="D50" s="31">
        <v>2</v>
      </c>
      <c r="E50" s="41"/>
      <c r="F50" s="35">
        <f>IF(VLOOKUP(Info!B9,Data!B:AS,42,FALSE)&lt;0, -VLOOKUP(Info!B9,Data!B:AS,42,FALSE),0)</f>
        <v>27</v>
      </c>
      <c r="G50" s="142" t="s">
        <v>128</v>
      </c>
      <c r="H50" s="142" t="s">
        <v>177</v>
      </c>
      <c r="I50" s="26"/>
    </row>
    <row r="51" spans="1:9" ht="13.8">
      <c r="A51" s="34"/>
      <c r="B51" s="36" t="s">
        <v>192</v>
      </c>
      <c r="C51" s="31">
        <f>IF(Info!B$10=2,Summary!R11,Summary!Q11)</f>
        <v>242091</v>
      </c>
      <c r="D51" s="31">
        <v>9</v>
      </c>
      <c r="E51" s="41"/>
      <c r="F51" s="35">
        <f>IF(VLOOKUP(Info!B9,Data!B:AS,39,FALSE)&gt;0, VLOOKUP(Info!B9,Data!B:AS,39,FALSE),0)</f>
        <v>0</v>
      </c>
      <c r="G51" s="142" t="s">
        <v>25</v>
      </c>
      <c r="H51" s="142" t="s">
        <v>173</v>
      </c>
      <c r="I51" s="26"/>
    </row>
    <row r="52" spans="1:9" ht="13.8">
      <c r="A52" s="34"/>
      <c r="B52" s="36" t="s">
        <v>191</v>
      </c>
      <c r="C52" s="31">
        <f>IF(Info!B$10=2,Summary!R10,Summary!Q10)</f>
        <v>124091</v>
      </c>
      <c r="D52" s="31">
        <v>4</v>
      </c>
      <c r="E52" s="41"/>
      <c r="F52" s="35">
        <f>IF(VLOOKUP(Info!B9,Data!B:AS,38,FALSE)&lt;0, -VLOOKUP(Info!B9,Data!B:AS,38,FALSE),0)</f>
        <v>0</v>
      </c>
      <c r="G52" s="142" t="s">
        <v>25</v>
      </c>
      <c r="H52" s="142" t="s">
        <v>173</v>
      </c>
      <c r="I52" s="26"/>
    </row>
    <row r="53" spans="1:9" ht="13.8">
      <c r="A53" s="34"/>
      <c r="B53" s="36" t="s">
        <v>192</v>
      </c>
      <c r="C53" s="31">
        <f>IF(Info!B$10=2,Summary!R11,Summary!Q11)</f>
        <v>242091</v>
      </c>
      <c r="D53" s="31">
        <v>8</v>
      </c>
      <c r="E53" s="41"/>
      <c r="F53" s="35">
        <f>IF(VLOOKUP(Info!B9,Data!B:AU,46,FALSE)&gt;0, VLOOKUP(Info!B9,Data!B:AU,46,FALSE),0)</f>
        <v>0</v>
      </c>
      <c r="G53" s="142" t="s">
        <v>26</v>
      </c>
      <c r="H53" s="142" t="s">
        <v>131</v>
      </c>
      <c r="I53" s="26"/>
    </row>
    <row r="54" spans="1:9" ht="13.8">
      <c r="A54" s="34"/>
      <c r="B54" s="36" t="s">
        <v>191</v>
      </c>
      <c r="C54" s="31">
        <f>IF(Info!B$10=2,Summary!R10,Summary!Q10)</f>
        <v>124091</v>
      </c>
      <c r="D54" s="31">
        <v>3</v>
      </c>
      <c r="E54" s="41"/>
      <c r="F54" s="35">
        <f>IF(VLOOKUP(Info!B9,Data!B:AU,45,FALSE)&lt;0, -VLOOKUP(Info!B9,Data!B:AU,45,FALSE),0)</f>
        <v>0</v>
      </c>
      <c r="G54" s="142" t="s">
        <v>26</v>
      </c>
      <c r="H54" s="142" t="s">
        <v>131</v>
      </c>
      <c r="I54" s="26"/>
    </row>
    <row r="55" spans="1:9" ht="13.8">
      <c r="A55" s="34"/>
      <c r="B55" s="36" t="s">
        <v>191</v>
      </c>
      <c r="C55" s="31">
        <f>IF(Info!B$10=2,Summary!R10,Summary!Q10)</f>
        <v>124091</v>
      </c>
      <c r="D55" s="31"/>
      <c r="E55" s="41"/>
      <c r="F55" s="35">
        <f>E14</f>
        <v>19094</v>
      </c>
      <c r="G55" s="142" t="s">
        <v>170</v>
      </c>
      <c r="H55" s="142" t="s">
        <v>151</v>
      </c>
      <c r="I55" s="142" t="s">
        <v>130</v>
      </c>
    </row>
    <row r="56" spans="1:9" ht="13.8">
      <c r="A56" s="34"/>
      <c r="B56" s="30" t="s">
        <v>228</v>
      </c>
      <c r="C56" s="31"/>
      <c r="D56" s="31"/>
      <c r="E56" s="42">
        <f>SUM(E33:E55)</f>
        <v>43241</v>
      </c>
      <c r="F56" s="42">
        <f>SUM(F34:F55)</f>
        <v>43241</v>
      </c>
      <c r="G56" s="26"/>
      <c r="H56" s="26"/>
      <c r="I56" s="26"/>
    </row>
    <row r="57" spans="1:9" ht="13.8">
      <c r="A57" s="34"/>
      <c r="B57" s="30" t="s">
        <v>195</v>
      </c>
      <c r="C57" s="31"/>
      <c r="D57" s="31"/>
      <c r="E57" s="35"/>
      <c r="F57" s="41"/>
      <c r="G57" s="26"/>
      <c r="H57" s="26"/>
      <c r="I57" s="26"/>
    </row>
    <row r="58" spans="1:9" ht="3" customHeight="1">
      <c r="A58" s="34"/>
      <c r="B58" s="37"/>
      <c r="C58" s="31"/>
      <c r="D58" s="31"/>
      <c r="E58" s="35"/>
      <c r="F58" s="41"/>
      <c r="G58" s="26"/>
      <c r="H58" s="26"/>
      <c r="I58" s="26"/>
    </row>
    <row r="59" spans="1:9" ht="13.8">
      <c r="A59" s="34"/>
      <c r="B59" s="48" t="s">
        <v>134</v>
      </c>
      <c r="C59" s="32"/>
      <c r="D59" s="32"/>
      <c r="E59" s="35"/>
      <c r="F59" s="35"/>
      <c r="G59" s="26"/>
      <c r="H59" s="26"/>
      <c r="I59" s="26"/>
    </row>
    <row r="60" spans="1:9" ht="13.8">
      <c r="A60" s="34">
        <v>3</v>
      </c>
      <c r="B60" s="135" t="s">
        <v>555</v>
      </c>
      <c r="C60" s="31">
        <f>IF(Info!B$10=2,Summary!R10,Summary!Q10)</f>
        <v>124091</v>
      </c>
      <c r="D60" s="31">
        <v>5</v>
      </c>
      <c r="E60" s="49">
        <v>0</v>
      </c>
      <c r="F60" s="35"/>
      <c r="G60" s="143" t="s">
        <v>556</v>
      </c>
      <c r="H60" s="144" t="str">
        <f>IF(E60=0,"ERROR – Enter Amount"," ")</f>
        <v>ERROR – Enter Amount</v>
      </c>
      <c r="I60" s="26"/>
    </row>
    <row r="61" spans="1:9" ht="13.8">
      <c r="A61" s="34"/>
      <c r="B61" s="36" t="s">
        <v>196</v>
      </c>
      <c r="C61" s="31">
        <f>IF(Info!B$10=2,Summary!R13,Summary!Q13)</f>
        <v>518200</v>
      </c>
      <c r="D61" s="31"/>
      <c r="E61" s="35"/>
      <c r="F61" s="35">
        <f>E60</f>
        <v>0</v>
      </c>
      <c r="G61" s="142" t="s">
        <v>15</v>
      </c>
      <c r="H61" s="142" t="s">
        <v>181</v>
      </c>
      <c r="I61" s="26"/>
    </row>
    <row r="62" spans="1:9" ht="13.8">
      <c r="A62" s="34"/>
      <c r="B62" s="30" t="s">
        <v>197</v>
      </c>
      <c r="C62" s="31"/>
      <c r="D62" s="31"/>
      <c r="E62" s="42">
        <f>SUM(E60:E61)</f>
        <v>0</v>
      </c>
      <c r="F62" s="42">
        <f>SUM(F60:F61)</f>
        <v>0</v>
      </c>
      <c r="G62" s="26"/>
      <c r="H62" s="26"/>
      <c r="I62" s="26"/>
    </row>
    <row r="63" spans="1:9" ht="12.6" customHeight="1">
      <c r="A63" s="34"/>
      <c r="B63" s="122" t="s">
        <v>198</v>
      </c>
      <c r="C63" s="31"/>
      <c r="D63" s="31"/>
      <c r="E63" s="35"/>
      <c r="F63" s="35"/>
      <c r="G63" s="26"/>
      <c r="H63" s="26"/>
      <c r="I63" s="26"/>
    </row>
    <row r="64" spans="1:9" ht="12.6" customHeight="1">
      <c r="A64" s="34"/>
      <c r="B64" s="241" t="s">
        <v>564</v>
      </c>
      <c r="C64" s="31"/>
      <c r="D64" s="31"/>
      <c r="E64" s="35"/>
      <c r="F64" s="35"/>
      <c r="G64" s="26"/>
      <c r="H64" s="26"/>
      <c r="I64" s="26"/>
    </row>
    <row r="65" spans="1:13" ht="13.8">
      <c r="A65" s="34"/>
      <c r="B65" s="156"/>
      <c r="C65" s="31"/>
      <c r="D65" s="31"/>
      <c r="E65" s="147"/>
      <c r="F65" s="147"/>
      <c r="G65" s="26"/>
      <c r="H65" s="26"/>
      <c r="I65" s="26"/>
    </row>
    <row r="66" spans="1:13" ht="13.8">
      <c r="A66" s="58"/>
      <c r="B66" s="59"/>
      <c r="C66" s="17"/>
      <c r="D66" s="17"/>
      <c r="E66" s="60"/>
      <c r="F66" s="60"/>
    </row>
    <row r="67" spans="1:13" ht="15.9" customHeight="1">
      <c r="A67" s="249" t="s">
        <v>3</v>
      </c>
      <c r="B67" s="250"/>
      <c r="C67" s="17"/>
      <c r="D67" s="17"/>
      <c r="E67" s="60"/>
      <c r="F67" s="60"/>
    </row>
    <row r="68" spans="1:13" ht="54.9" customHeight="1">
      <c r="A68" s="61" t="s">
        <v>175</v>
      </c>
      <c r="B68" s="248" t="s">
        <v>199</v>
      </c>
      <c r="C68" s="248"/>
      <c r="D68" s="248"/>
      <c r="E68" s="248"/>
      <c r="F68" s="248"/>
      <c r="G68" s="248"/>
      <c r="H68" s="62"/>
      <c r="I68" s="67"/>
    </row>
    <row r="69" spans="1:13" ht="6" customHeight="1">
      <c r="A69" s="63"/>
      <c r="B69" s="64"/>
      <c r="C69" s="65"/>
      <c r="D69" s="65"/>
      <c r="E69" s="65"/>
      <c r="F69" s="65"/>
      <c r="G69" s="65"/>
      <c r="H69" s="65"/>
    </row>
    <row r="70" spans="1:13" ht="29.1" customHeight="1">
      <c r="A70" s="61" t="s">
        <v>176</v>
      </c>
      <c r="B70" s="246" t="s">
        <v>200</v>
      </c>
      <c r="C70" s="247"/>
      <c r="D70" s="247"/>
      <c r="E70" s="247"/>
      <c r="F70" s="247"/>
      <c r="G70" s="247"/>
      <c r="H70" s="67"/>
      <c r="I70" s="62"/>
    </row>
    <row r="71" spans="1:13" ht="6" customHeight="1">
      <c r="A71" s="63"/>
      <c r="B71" s="64"/>
      <c r="C71" s="65"/>
      <c r="D71" s="65"/>
      <c r="E71" s="65"/>
      <c r="F71" s="65"/>
      <c r="G71" s="65"/>
      <c r="H71" s="65"/>
    </row>
    <row r="72" spans="1:13" ht="67.2" customHeight="1">
      <c r="A72" s="61" t="s">
        <v>17</v>
      </c>
      <c r="B72" s="248" t="s">
        <v>201</v>
      </c>
      <c r="C72" s="247"/>
      <c r="D72" s="247"/>
      <c r="E72" s="247"/>
      <c r="F72" s="247"/>
      <c r="G72" s="247"/>
      <c r="H72" s="67"/>
      <c r="I72" s="62"/>
    </row>
    <row r="73" spans="1:13" ht="6" customHeight="1">
      <c r="A73" s="63"/>
      <c r="B73" s="62"/>
      <c r="C73" s="62"/>
      <c r="D73" s="62"/>
      <c r="E73" s="62"/>
      <c r="F73" s="62"/>
      <c r="G73" s="62"/>
      <c r="H73" s="62"/>
    </row>
    <row r="74" spans="1:13" ht="15" customHeight="1">
      <c r="A74" s="61" t="s">
        <v>18</v>
      </c>
      <c r="B74" s="246" t="s">
        <v>202</v>
      </c>
      <c r="C74" s="247"/>
      <c r="D74" s="247"/>
      <c r="E74" s="247"/>
      <c r="F74" s="247"/>
      <c r="G74" s="247"/>
      <c r="H74" s="67"/>
      <c r="I74" s="65"/>
    </row>
    <row r="75" spans="1:13" ht="6" customHeight="1">
      <c r="A75" s="63"/>
      <c r="B75" s="65"/>
      <c r="C75" s="62"/>
      <c r="D75" s="62"/>
      <c r="E75" s="62"/>
      <c r="F75" s="62"/>
      <c r="G75" s="62"/>
      <c r="H75" s="62"/>
    </row>
    <row r="76" spans="1:13" ht="54" customHeight="1">
      <c r="A76" s="61" t="s">
        <v>177</v>
      </c>
      <c r="B76" s="248" t="s">
        <v>203</v>
      </c>
      <c r="C76" s="248"/>
      <c r="D76" s="248"/>
      <c r="E76" s="248"/>
      <c r="F76" s="248"/>
      <c r="G76" s="248"/>
      <c r="H76" s="66"/>
    </row>
    <row r="77" spans="1:13" ht="6" customHeight="1">
      <c r="A77" s="63"/>
      <c r="B77" s="62"/>
      <c r="C77" s="62"/>
      <c r="D77" s="62"/>
      <c r="E77" s="62"/>
      <c r="F77" s="62"/>
      <c r="G77" s="62"/>
      <c r="H77" s="62"/>
      <c r="J77" s="20"/>
      <c r="L77" s="21"/>
      <c r="M77" s="21"/>
    </row>
    <row r="78" spans="1:13" ht="81.900000000000006" customHeight="1">
      <c r="A78" s="68" t="s">
        <v>178</v>
      </c>
      <c r="B78" s="248" t="s">
        <v>204</v>
      </c>
      <c r="C78" s="251"/>
      <c r="D78" s="251"/>
      <c r="E78" s="251"/>
      <c r="F78" s="251"/>
      <c r="G78" s="251"/>
      <c r="H78" s="62"/>
      <c r="L78" s="21"/>
      <c r="M78" s="21"/>
    </row>
    <row r="79" spans="1:13" ht="6" customHeight="1">
      <c r="A79" s="63"/>
      <c r="B79" s="62"/>
      <c r="C79" s="62"/>
      <c r="D79" s="62"/>
      <c r="E79" s="62"/>
      <c r="F79" s="62"/>
      <c r="G79" s="62"/>
      <c r="H79" s="62"/>
      <c r="J79" s="20"/>
      <c r="L79" s="21"/>
      <c r="M79" s="21"/>
    </row>
    <row r="80" spans="1:13" ht="95.1" customHeight="1">
      <c r="A80" s="61" t="s">
        <v>179</v>
      </c>
      <c r="B80" s="248" t="s">
        <v>208</v>
      </c>
      <c r="C80" s="247"/>
      <c r="D80" s="247"/>
      <c r="E80" s="247"/>
      <c r="F80" s="247"/>
      <c r="G80" s="247"/>
      <c r="H80" s="67"/>
      <c r="J80" s="20"/>
      <c r="L80" s="21"/>
      <c r="M80" s="21"/>
    </row>
    <row r="81" spans="1:13" ht="6" customHeight="1">
      <c r="A81" s="63"/>
      <c r="B81" s="62"/>
      <c r="C81" s="62"/>
      <c r="D81" s="62"/>
      <c r="E81" s="62"/>
      <c r="F81" s="62"/>
      <c r="G81" s="62"/>
      <c r="H81" s="62"/>
      <c r="J81" s="20"/>
      <c r="L81" s="21"/>
      <c r="M81" s="21"/>
    </row>
    <row r="82" spans="1:13" ht="27" customHeight="1">
      <c r="A82" s="68" t="s">
        <v>180</v>
      </c>
      <c r="B82" s="246" t="s">
        <v>205</v>
      </c>
      <c r="C82" s="247"/>
      <c r="D82" s="247"/>
      <c r="E82" s="247"/>
      <c r="F82" s="247"/>
      <c r="G82" s="247"/>
      <c r="H82" s="67"/>
      <c r="J82" s="20"/>
      <c r="L82" s="21"/>
      <c r="M82" s="21"/>
    </row>
    <row r="83" spans="1:13" ht="6" customHeight="1">
      <c r="A83" s="63"/>
      <c r="B83" s="62"/>
      <c r="C83" s="62"/>
      <c r="D83" s="62"/>
      <c r="E83" s="62"/>
      <c r="F83" s="62"/>
      <c r="G83" s="62"/>
      <c r="H83" s="62"/>
      <c r="J83" s="20"/>
      <c r="L83" s="21"/>
      <c r="M83" s="21"/>
    </row>
    <row r="84" spans="1:13" s="22" customFormat="1" ht="27" customHeight="1">
      <c r="A84" s="68" t="s">
        <v>181</v>
      </c>
      <c r="B84" s="246" t="s">
        <v>206</v>
      </c>
      <c r="C84" s="247"/>
      <c r="D84" s="247"/>
      <c r="E84" s="247"/>
      <c r="F84" s="247"/>
      <c r="G84" s="247"/>
      <c r="H84" s="67"/>
      <c r="J84" s="23"/>
      <c r="L84" s="24"/>
      <c r="M84" s="24"/>
    </row>
    <row r="85" spans="1:13" s="22" customFormat="1" ht="6" customHeight="1">
      <c r="A85" s="68"/>
      <c r="B85" s="69"/>
      <c r="C85" s="67"/>
      <c r="D85" s="67"/>
      <c r="E85" s="67"/>
      <c r="F85" s="67"/>
      <c r="G85" s="67"/>
      <c r="H85" s="67"/>
      <c r="J85" s="23"/>
      <c r="L85" s="24"/>
      <c r="M85" s="24"/>
    </row>
    <row r="86" spans="1:13" ht="42" customHeight="1">
      <c r="A86" s="68" t="s">
        <v>16</v>
      </c>
      <c r="B86" s="246" t="s">
        <v>207</v>
      </c>
      <c r="C86" s="247"/>
      <c r="D86" s="247"/>
      <c r="E86" s="247"/>
      <c r="F86" s="247"/>
      <c r="G86" s="247"/>
      <c r="J86" s="20"/>
      <c r="L86" s="21"/>
      <c r="M86" s="21"/>
    </row>
    <row r="87" spans="1:13" ht="6" customHeight="1">
      <c r="A87" s="68"/>
      <c r="B87" s="69"/>
      <c r="C87" s="67"/>
      <c r="D87" s="67"/>
      <c r="E87" s="67"/>
      <c r="F87" s="67"/>
      <c r="G87" s="67"/>
      <c r="J87" s="20"/>
      <c r="L87" s="21"/>
      <c r="M87" s="21"/>
    </row>
    <row r="88" spans="1:13" ht="30" customHeight="1">
      <c r="A88" s="68"/>
      <c r="B88" s="246"/>
      <c r="C88" s="247"/>
      <c r="D88" s="247"/>
      <c r="E88" s="247"/>
      <c r="F88" s="247"/>
      <c r="G88" s="247"/>
      <c r="J88" s="20"/>
      <c r="L88" s="21"/>
      <c r="M88" s="21"/>
    </row>
    <row r="95" spans="1:13" ht="13.8">
      <c r="C95" s="19"/>
      <c r="D95" s="19"/>
    </row>
    <row r="96" spans="1:13" ht="13.8">
      <c r="C96" s="19"/>
      <c r="D96" s="19"/>
    </row>
    <row r="97" spans="3:4" ht="13.8">
      <c r="C97" s="19"/>
      <c r="D97" s="19"/>
    </row>
    <row r="98" spans="3:4" ht="13.8">
      <c r="C98" s="19"/>
      <c r="D98" s="19"/>
    </row>
    <row r="99" spans="3:4" ht="13.8">
      <c r="C99" s="19"/>
      <c r="D99" s="19"/>
    </row>
    <row r="100" spans="3:4" ht="13.8">
      <c r="C100" s="18"/>
      <c r="D100" s="18"/>
    </row>
    <row r="101" spans="3:4" ht="13.8">
      <c r="C101" s="25"/>
      <c r="D101" s="25"/>
    </row>
    <row r="102" spans="3:4" ht="13.8">
      <c r="C102" s="17"/>
      <c r="D102" s="17"/>
    </row>
    <row r="103" spans="3:4" ht="13.8">
      <c r="C103" s="16"/>
      <c r="D103" s="16"/>
    </row>
    <row r="104" spans="3:4" ht="13.8">
      <c r="C104" s="19"/>
      <c r="D104" s="19"/>
    </row>
    <row r="105" spans="3:4" ht="13.8">
      <c r="C105" s="17"/>
      <c r="D105" s="17"/>
    </row>
    <row r="106" spans="3:4" ht="13.8">
      <c r="C106" s="16"/>
      <c r="D106" s="16"/>
    </row>
    <row r="107" spans="3:4" ht="13.8">
      <c r="C107" s="17"/>
      <c r="D107" s="17"/>
    </row>
    <row r="108" spans="3:4" ht="13.8">
      <c r="C108" s="17"/>
      <c r="D108" s="17"/>
    </row>
    <row r="109" spans="3:4" ht="13.8">
      <c r="C109" s="19"/>
      <c r="D109" s="19"/>
    </row>
    <row r="110" spans="3:4" ht="13.8">
      <c r="C110" s="17"/>
      <c r="D110" s="17"/>
    </row>
    <row r="111" spans="3:4" ht="13.8">
      <c r="C111" s="19"/>
      <c r="D111" s="19"/>
    </row>
    <row r="112" spans="3:4" ht="13.8">
      <c r="C112" s="16"/>
      <c r="D112" s="16"/>
    </row>
    <row r="113" spans="3:4" ht="13.8">
      <c r="C113" s="17"/>
      <c r="D113" s="17"/>
    </row>
    <row r="114" spans="3:4" ht="13.8">
      <c r="C114" s="17"/>
      <c r="D114" s="17"/>
    </row>
    <row r="115" spans="3:4" ht="13.8">
      <c r="C115" s="19"/>
      <c r="D115" s="19"/>
    </row>
    <row r="116" spans="3:4" ht="13.8">
      <c r="C116" s="17"/>
      <c r="D116" s="17"/>
    </row>
    <row r="117" spans="3:4" ht="13.8">
      <c r="C117" s="16"/>
      <c r="D117" s="16"/>
    </row>
    <row r="118" spans="3:4" ht="13.8">
      <c r="C118" s="19"/>
      <c r="D118" s="19"/>
    </row>
    <row r="119" spans="3:4" ht="13.8">
      <c r="C119" s="17"/>
      <c r="D119" s="17"/>
    </row>
    <row r="120" spans="3:4" ht="13.8">
      <c r="C120" s="17"/>
      <c r="D120" s="17"/>
    </row>
    <row r="121" spans="3:4" ht="13.8">
      <c r="C121" s="16"/>
      <c r="D121" s="16"/>
    </row>
    <row r="122" spans="3:4" ht="13.8">
      <c r="C122" s="19"/>
      <c r="D122" s="19"/>
    </row>
    <row r="123" spans="3:4" ht="13.8">
      <c r="C123" s="19"/>
      <c r="D123" s="19"/>
    </row>
    <row r="124" spans="3:4" ht="13.8">
      <c r="C124" s="19"/>
      <c r="D124" s="19"/>
    </row>
    <row r="125" spans="3:4" ht="13.8">
      <c r="C125" s="19"/>
      <c r="D125" s="19"/>
    </row>
    <row r="126" spans="3:4" ht="13.8">
      <c r="C126" s="19"/>
      <c r="D126" s="19"/>
    </row>
    <row r="127" spans="3:4" ht="13.8">
      <c r="C127" s="19"/>
      <c r="D127" s="19"/>
    </row>
    <row r="128" spans="3:4" ht="13.8">
      <c r="C128" s="19"/>
      <c r="D128" s="19"/>
    </row>
    <row r="129" spans="3:4" ht="13.8">
      <c r="C129" s="16"/>
      <c r="D129" s="16"/>
    </row>
    <row r="130" spans="3:4" ht="13.8">
      <c r="C130" s="19"/>
      <c r="D130" s="19"/>
    </row>
    <row r="131" spans="3:4" ht="13.8">
      <c r="C131" s="19"/>
      <c r="D131" s="19"/>
    </row>
    <row r="132" spans="3:4" ht="13.8">
      <c r="C132" s="19"/>
      <c r="D132" s="19"/>
    </row>
    <row r="133" spans="3:4" ht="13.8">
      <c r="C133" s="19"/>
      <c r="D133" s="19"/>
    </row>
    <row r="134" spans="3:4" ht="13.8">
      <c r="C134" s="19"/>
      <c r="D134" s="19"/>
    </row>
    <row r="135" spans="3:4" ht="13.8">
      <c r="C135" s="16"/>
      <c r="D135" s="16"/>
    </row>
    <row r="136" spans="3:4" ht="13.8">
      <c r="C136" s="19"/>
      <c r="D136" s="19"/>
    </row>
    <row r="137" spans="3:4" ht="13.8">
      <c r="C137" s="17"/>
      <c r="D137" s="17"/>
    </row>
    <row r="138" spans="3:4" ht="13.8">
      <c r="C138" s="19"/>
      <c r="D138" s="19"/>
    </row>
    <row r="139" spans="3:4" ht="13.8">
      <c r="C139" s="19"/>
      <c r="D139" s="19"/>
    </row>
    <row r="140" spans="3:4" ht="13.8">
      <c r="C140" s="19"/>
      <c r="D140" s="19"/>
    </row>
    <row r="141" spans="3:4" ht="13.8">
      <c r="C141" s="19"/>
      <c r="D141" s="19"/>
    </row>
    <row r="142" spans="3:4" ht="13.8">
      <c r="C142" s="19"/>
      <c r="D142" s="19"/>
    </row>
    <row r="143" spans="3:4" ht="13.8">
      <c r="C143" s="16"/>
      <c r="D143" s="16"/>
    </row>
    <row r="144" spans="3:4" ht="13.8">
      <c r="C144" s="19"/>
      <c r="D144" s="19"/>
    </row>
    <row r="145" spans="3:4" ht="13.8">
      <c r="C145" s="19"/>
      <c r="D145" s="19"/>
    </row>
    <row r="146" spans="3:4" ht="13.8">
      <c r="C146" s="17"/>
      <c r="D146" s="17"/>
    </row>
    <row r="147" spans="3:4" ht="13.8">
      <c r="C147" s="17"/>
      <c r="D147" s="17"/>
    </row>
    <row r="148" spans="3:4" ht="13.8">
      <c r="C148" s="17"/>
      <c r="D148" s="17"/>
    </row>
    <row r="149" spans="3:4" ht="13.8">
      <c r="C149" s="19"/>
      <c r="D149" s="19"/>
    </row>
    <row r="150" spans="3:4" ht="13.8">
      <c r="C150" s="17"/>
      <c r="D150" s="17"/>
    </row>
    <row r="151" spans="3:4" ht="13.8">
      <c r="C151" s="19"/>
      <c r="D151" s="19"/>
    </row>
    <row r="152" spans="3:4" ht="13.8">
      <c r="C152" s="17"/>
      <c r="D152" s="17"/>
    </row>
    <row r="153" spans="3:4" ht="13.8">
      <c r="C153" s="17"/>
      <c r="D153" s="17"/>
    </row>
    <row r="154" spans="3:4" ht="13.8">
      <c r="C154" s="17"/>
      <c r="D154" s="17"/>
    </row>
  </sheetData>
  <mergeCells count="12">
    <mergeCell ref="A67:B67"/>
    <mergeCell ref="B78:G78"/>
    <mergeCell ref="B72:G72"/>
    <mergeCell ref="B82:G82"/>
    <mergeCell ref="B70:G70"/>
    <mergeCell ref="B68:G68"/>
    <mergeCell ref="B88:G88"/>
    <mergeCell ref="B74:G74"/>
    <mergeCell ref="B86:G86"/>
    <mergeCell ref="B76:G76"/>
    <mergeCell ref="B80:G80"/>
    <mergeCell ref="B84:G84"/>
  </mergeCells>
  <phoneticPr fontId="10" type="noConversion"/>
  <conditionalFormatting sqref="H60">
    <cfRule type="expression" dxfId="0" priority="1">
      <formula>$E$60=0</formula>
    </cfRule>
  </conditionalFormatting>
  <pageMargins left="0.5" right="0.5" top="0.2" bottom="0.2" header="0.5" footer="0.15"/>
  <pageSetup orientation="landscape" r:id="rId1"/>
  <headerFooter alignWithMargins="0"/>
  <rowBreaks count="1" manualBreakCount="1">
    <brk id="66" max="8" man="1"/>
  </rowBreaks>
  <ignoredErrors>
    <ignoredError sqref="C27:C28 C47:C55 C30:C33 C35:C4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31"/>
  <sheetViews>
    <sheetView showGridLines="0" tabSelected="1" workbookViewId="0">
      <selection activeCell="J22" sqref="J22"/>
    </sheetView>
  </sheetViews>
  <sheetFormatPr defaultRowHeight="13.2"/>
  <cols>
    <col min="1" max="1" width="36.6640625" customWidth="1"/>
    <col min="2" max="2" width="1.33203125" customWidth="1"/>
    <col min="3" max="3" width="9.88671875" bestFit="1" customWidth="1"/>
    <col min="4" max="4" width="1.33203125" customWidth="1"/>
    <col min="5" max="5" width="14.6640625" customWidth="1"/>
    <col min="6" max="6" width="1.33203125" customWidth="1"/>
    <col min="7" max="7" width="14.6640625" customWidth="1"/>
    <col min="8" max="8" width="1.33203125" customWidth="1"/>
    <col min="9" max="9" width="14.6640625" customWidth="1"/>
    <col min="10" max="10" width="6.6640625" customWidth="1"/>
    <col min="11" max="11" width="12.6640625" customWidth="1"/>
    <col min="12" max="12" width="1.33203125" customWidth="1"/>
    <col min="13" max="13" width="12.6640625" customWidth="1"/>
    <col min="14" max="14" width="1.33203125" customWidth="1"/>
    <col min="15" max="15" width="12.6640625" customWidth="1"/>
    <col min="16" max="16" width="4.77734375" customWidth="1"/>
    <col min="17" max="18" width="9.109375" hidden="1" customWidth="1"/>
  </cols>
  <sheetData>
    <row r="1" spans="1:21">
      <c r="A1" s="51" t="str">
        <f>Info!B5</f>
        <v>JOHNSTON TECHNICAL COLLEGE</v>
      </c>
      <c r="B1" s="51"/>
      <c r="C1" s="15"/>
      <c r="D1" s="15"/>
      <c r="E1" s="15"/>
      <c r="F1" s="15"/>
      <c r="G1" s="15"/>
      <c r="H1" s="15"/>
      <c r="I1" s="15"/>
      <c r="K1" s="1"/>
    </row>
    <row r="2" spans="1:21" ht="15" customHeight="1">
      <c r="A2" s="52" t="s">
        <v>190</v>
      </c>
      <c r="B2" s="52"/>
      <c r="C2" s="15"/>
      <c r="D2" s="15"/>
      <c r="E2" s="15"/>
      <c r="F2" s="15"/>
      <c r="H2" s="15"/>
      <c r="I2" s="15"/>
    </row>
    <row r="3" spans="1:21" ht="15" customHeight="1">
      <c r="A3" s="51" t="s">
        <v>549</v>
      </c>
      <c r="B3" s="51"/>
      <c r="C3" s="15"/>
      <c r="D3" s="15"/>
      <c r="E3" s="15"/>
      <c r="F3" s="15"/>
      <c r="G3" s="15"/>
      <c r="H3" s="15"/>
    </row>
    <row r="4" spans="1:21" ht="15" customHeight="1">
      <c r="A4" s="51"/>
      <c r="B4" s="51"/>
      <c r="C4" s="15"/>
      <c r="D4" s="15"/>
      <c r="E4" s="15"/>
      <c r="F4" s="15"/>
      <c r="G4" s="86"/>
      <c r="H4" s="15"/>
    </row>
    <row r="5" spans="1:21" ht="15" customHeight="1">
      <c r="A5" s="51"/>
      <c r="B5" s="51"/>
      <c r="C5" s="15"/>
      <c r="D5" s="15"/>
      <c r="E5" s="15"/>
      <c r="F5" s="15"/>
      <c r="G5" s="15"/>
      <c r="H5" s="15"/>
      <c r="I5" s="70" t="s">
        <v>139</v>
      </c>
      <c r="K5" s="252"/>
      <c r="L5" s="252"/>
      <c r="M5" s="252"/>
      <c r="N5" s="252"/>
      <c r="O5" s="252"/>
      <c r="P5" s="123"/>
      <c r="Q5" s="123"/>
      <c r="R5" s="123"/>
      <c r="S5" s="123"/>
      <c r="T5" s="123"/>
      <c r="U5" s="123"/>
    </row>
    <row r="6" spans="1:21" ht="15" customHeight="1">
      <c r="A6" s="15"/>
      <c r="B6" s="15"/>
      <c r="C6" s="77" t="str">
        <f>IF(Info!B$10=2,"Colleague","NCFS")</f>
        <v>Colleague</v>
      </c>
      <c r="D6" s="15"/>
      <c r="E6" s="15"/>
      <c r="F6" s="15"/>
      <c r="G6" s="15"/>
      <c r="H6" s="15"/>
      <c r="I6" s="70" t="s">
        <v>149</v>
      </c>
      <c r="K6" s="253"/>
      <c r="L6" s="253"/>
      <c r="M6" s="253"/>
      <c r="N6" s="253"/>
      <c r="O6" s="253"/>
      <c r="Q6" s="165" t="s">
        <v>238</v>
      </c>
    </row>
    <row r="7" spans="1:21" ht="15" customHeight="1">
      <c r="A7" s="75" t="s">
        <v>137</v>
      </c>
      <c r="B7" s="76"/>
      <c r="C7" s="75" t="s">
        <v>124</v>
      </c>
      <c r="D7" s="77"/>
      <c r="E7" s="75" t="s">
        <v>0</v>
      </c>
      <c r="F7" s="77"/>
      <c r="G7" s="75" t="s">
        <v>1</v>
      </c>
      <c r="H7" s="77"/>
      <c r="I7" s="71" t="s">
        <v>138</v>
      </c>
      <c r="J7" s="3"/>
      <c r="K7" s="74"/>
      <c r="L7" s="74"/>
      <c r="M7" s="74"/>
      <c r="N7" s="74"/>
      <c r="O7" s="74"/>
      <c r="P7" s="74"/>
      <c r="Q7" s="90" t="s">
        <v>565</v>
      </c>
      <c r="R7" s="89" t="s">
        <v>152</v>
      </c>
    </row>
    <row r="8" spans="1:21" ht="15" customHeight="1">
      <c r="A8" s="78" t="s">
        <v>225</v>
      </c>
      <c r="B8" s="78"/>
      <c r="C8" s="79">
        <f>IF(Info!B$10=2,Summary!R8,Summary!Q8)</f>
        <v>142090</v>
      </c>
      <c r="D8" s="79"/>
      <c r="E8" s="80">
        <f>SUMIF(Detail!$C$8:$C$64,$C8,Detail!E$8:E$64)</f>
        <v>0</v>
      </c>
      <c r="F8" s="81"/>
      <c r="G8" s="80">
        <f>SUMIF(Detail!$C$8:$C$64,$C8,Detail!F$8:F$64)</f>
        <v>0</v>
      </c>
      <c r="H8" s="81"/>
      <c r="I8" s="43">
        <f t="shared" ref="I8:I16" si="0">E8-G8</f>
        <v>0</v>
      </c>
      <c r="J8" s="4"/>
      <c r="K8" s="80"/>
      <c r="L8" s="80"/>
      <c r="M8" s="4"/>
      <c r="O8" s="80"/>
      <c r="Q8" s="208">
        <v>12978000</v>
      </c>
      <c r="R8" s="124">
        <v>142090</v>
      </c>
    </row>
    <row r="9" spans="1:21" ht="15" customHeight="1">
      <c r="A9" s="186" t="s">
        <v>522</v>
      </c>
      <c r="B9" s="186"/>
      <c r="C9" s="187">
        <f>IF(Info!B$10=2,Summary!R9,Summary!Q9)</f>
        <v>242081</v>
      </c>
      <c r="D9" s="187"/>
      <c r="E9" s="188">
        <f>SUMIF(Detail!$C$8:$C$64,$C9,Detail!E$8:E$64)</f>
        <v>3743</v>
      </c>
      <c r="F9" s="189"/>
      <c r="G9" s="188">
        <f>SUMIF(Detail!$C$8:$C$64,$C9,Detail!F$8:F$64)</f>
        <v>0</v>
      </c>
      <c r="H9" s="189"/>
      <c r="I9" s="188">
        <f t="shared" si="0"/>
        <v>3743</v>
      </c>
      <c r="J9" s="4"/>
      <c r="K9" s="80"/>
      <c r="L9" s="80"/>
      <c r="M9" s="80"/>
      <c r="O9" s="80"/>
      <c r="Q9" s="208">
        <v>22916000</v>
      </c>
      <c r="R9" s="2">
        <v>242081</v>
      </c>
    </row>
    <row r="10" spans="1:21" ht="15" customHeight="1">
      <c r="A10" s="78" t="s">
        <v>191</v>
      </c>
      <c r="B10" s="78"/>
      <c r="C10" s="79">
        <f>IF(Info!B$10=2,Summary!R10,Summary!Q10)</f>
        <v>124091</v>
      </c>
      <c r="D10" s="79"/>
      <c r="E10" s="47">
        <f>SUMIF(Detail!$C$8:$C$64,$C10,Detail!E$8:E$64)</f>
        <v>2554</v>
      </c>
      <c r="F10" s="81"/>
      <c r="G10" s="47">
        <f>SUMIF(Detail!$C$8:$C$64,$C10,Detail!F$8:F$64)</f>
        <v>29419</v>
      </c>
      <c r="H10" s="81"/>
      <c r="I10" s="44">
        <f t="shared" ref="I10" si="1">E10-G10</f>
        <v>-26865</v>
      </c>
      <c r="J10" s="5"/>
      <c r="K10" s="47"/>
      <c r="L10" s="47"/>
      <c r="M10" s="47"/>
      <c r="O10" s="47"/>
      <c r="Q10" s="208">
        <v>61100009</v>
      </c>
      <c r="R10">
        <v>124091</v>
      </c>
    </row>
    <row r="11" spans="1:21" ht="15" customHeight="1">
      <c r="A11" s="78" t="s">
        <v>192</v>
      </c>
      <c r="B11" s="78"/>
      <c r="C11" s="79">
        <f>IF(Info!B$10=2,Summary!R11,Summary!Q11)</f>
        <v>242091</v>
      </c>
      <c r="D11" s="79"/>
      <c r="E11" s="47">
        <f>SUMIF(Detail!$C$8:$C$64,$C11,Detail!E$8:E$64)</f>
        <v>1465</v>
      </c>
      <c r="F11" s="81"/>
      <c r="G11" s="47">
        <f>SUMIF(Detail!$C$8:$C$64,$C11,Detail!F$8:F$64)</f>
        <v>13822</v>
      </c>
      <c r="H11" s="81"/>
      <c r="I11" s="44">
        <f t="shared" ref="I11" si="2">E11-G11</f>
        <v>-12357</v>
      </c>
      <c r="J11" s="5"/>
      <c r="K11" s="47"/>
      <c r="L11" s="47"/>
      <c r="M11" s="47"/>
      <c r="O11" s="47"/>
      <c r="Q11" s="208">
        <v>71100011</v>
      </c>
      <c r="R11">
        <v>242091</v>
      </c>
    </row>
    <row r="12" spans="1:21" ht="15" customHeight="1">
      <c r="A12" s="78" t="s">
        <v>194</v>
      </c>
      <c r="B12" s="78"/>
      <c r="C12" s="79">
        <f>IF(Info!B$10=2,Summary!R12,Summary!Q12)</f>
        <v>518251</v>
      </c>
      <c r="D12" s="79"/>
      <c r="E12" s="47">
        <f>SUMIF(Detail!$C$8:$C$64,$C12,Detail!E$8:E$64)</f>
        <v>35479</v>
      </c>
      <c r="F12" s="81"/>
      <c r="G12" s="47">
        <f>SUMIF(Detail!$C$29:$C$64,$C12,Detail!F$29:F$64)</f>
        <v>0</v>
      </c>
      <c r="H12" s="81"/>
      <c r="I12" s="44">
        <f t="shared" si="0"/>
        <v>35479</v>
      </c>
      <c r="J12" s="5"/>
      <c r="K12" s="47"/>
      <c r="L12" s="47"/>
      <c r="M12" s="47"/>
      <c r="O12" s="47"/>
      <c r="Q12" s="208">
        <v>51598000</v>
      </c>
      <c r="R12">
        <v>518251</v>
      </c>
    </row>
    <row r="13" spans="1:21" ht="15" customHeight="1">
      <c r="A13" s="78" t="s">
        <v>196</v>
      </c>
      <c r="B13" s="78"/>
      <c r="C13" s="79">
        <f>IF(Info!B$10=2,Summary!R13,Summary!Q13)</f>
        <v>518200</v>
      </c>
      <c r="D13" s="79"/>
      <c r="E13" s="47">
        <f>SUMIF(Detail!$C$8:$C$64,$C13,Detail!E$8:E$64)</f>
        <v>0</v>
      </c>
      <c r="F13" s="81"/>
      <c r="G13" s="47">
        <f>SUMIF(Detail!$C$8:$C$64,$C13,Detail!F$8:F$64)</f>
        <v>0</v>
      </c>
      <c r="H13" s="81"/>
      <c r="I13" s="44">
        <f t="shared" si="0"/>
        <v>0</v>
      </c>
      <c r="J13" s="5"/>
      <c r="K13" s="47"/>
      <c r="L13" s="47"/>
      <c r="M13" s="47"/>
      <c r="O13" s="47"/>
      <c r="Q13" s="208">
        <v>51520000</v>
      </c>
      <c r="R13">
        <v>518200</v>
      </c>
    </row>
    <row r="14" spans="1:21" ht="15" customHeight="1">
      <c r="A14" s="78" t="s">
        <v>183</v>
      </c>
      <c r="B14" s="78"/>
      <c r="C14" s="79">
        <f>IF(Info!B$10=2,Summary!R14,Summary!Q14)</f>
        <v>539600</v>
      </c>
      <c r="D14" s="79"/>
      <c r="E14" s="47">
        <f>SUMIF(Detail!$C$8:$C$64,$C14,Detail!E$8:E$64)</f>
        <v>0</v>
      </c>
      <c r="F14" s="81"/>
      <c r="G14" s="47">
        <f>SUMIF(Detail!$C$8:$C$64,$C14,Detail!F$8:F$64)</f>
        <v>0</v>
      </c>
      <c r="H14" s="81"/>
      <c r="I14" s="44">
        <f t="shared" si="0"/>
        <v>0</v>
      </c>
      <c r="J14" s="5"/>
      <c r="K14" s="47"/>
      <c r="L14" s="47"/>
      <c r="M14" s="47"/>
      <c r="O14" s="47"/>
      <c r="Q14" s="208">
        <v>55900000</v>
      </c>
      <c r="R14">
        <v>539600</v>
      </c>
    </row>
    <row r="15" spans="1:21" ht="15" customHeight="1">
      <c r="A15" s="78" t="s">
        <v>184</v>
      </c>
      <c r="B15" s="78"/>
      <c r="C15" s="139">
        <f>IF(Info!B$10=2,Summary!R15,Summary!Q15)</f>
        <v>493200</v>
      </c>
      <c r="D15" s="79"/>
      <c r="E15" s="47">
        <f>SUMIF(Detail!$C$8:$C$64,$C15,Detail!E$8:E$64)</f>
        <v>0</v>
      </c>
      <c r="F15" s="81"/>
      <c r="G15" s="47">
        <f>SUMIF(Detail!$C$8:$C$64,$C15,Detail!F$8:F$64)</f>
        <v>0</v>
      </c>
      <c r="H15" s="81"/>
      <c r="I15" s="44">
        <f t="shared" si="0"/>
        <v>0</v>
      </c>
      <c r="J15" s="5"/>
      <c r="K15" s="47"/>
      <c r="L15" s="47"/>
      <c r="M15" s="47"/>
      <c r="O15" s="47"/>
      <c r="Q15" s="208">
        <v>47995000</v>
      </c>
      <c r="R15">
        <v>493200</v>
      </c>
    </row>
    <row r="16" spans="1:21" ht="15" customHeight="1">
      <c r="A16" s="78" t="s">
        <v>123</v>
      </c>
      <c r="B16" s="78"/>
      <c r="C16" s="79">
        <f>IF(Info!B$10=2,Summary!R16,Summary!Q16)</f>
        <v>379000</v>
      </c>
      <c r="D16" s="79"/>
      <c r="E16" s="47">
        <f>SUMIF(Detail!$C$8:$C$64,$C16,Detail!E$8:E$64)</f>
        <v>0</v>
      </c>
      <c r="F16" s="81"/>
      <c r="G16" s="47">
        <f>SUMIF(Detail!$C$8:$C$64,$C16,Detail!F$8:F$64)</f>
        <v>0</v>
      </c>
      <c r="H16" s="81"/>
      <c r="I16" s="72">
        <f t="shared" si="0"/>
        <v>0</v>
      </c>
      <c r="J16" s="5"/>
      <c r="K16" s="47"/>
      <c r="L16" s="47"/>
      <c r="M16" s="47"/>
      <c r="N16" s="47"/>
      <c r="O16" s="47"/>
      <c r="P16" s="47"/>
      <c r="Q16" s="208">
        <v>32000100</v>
      </c>
      <c r="R16">
        <v>379000</v>
      </c>
    </row>
    <row r="17" spans="1:16" ht="15" customHeight="1" thickBot="1">
      <c r="A17" s="83" t="s">
        <v>4</v>
      </c>
      <c r="B17" s="83"/>
      <c r="C17" s="84"/>
      <c r="D17" s="84"/>
      <c r="E17" s="85">
        <f>SUM(E8:E16)</f>
        <v>43241</v>
      </c>
      <c r="F17" s="81"/>
      <c r="G17" s="85">
        <f>SUM(G8:G16)</f>
        <v>43241</v>
      </c>
      <c r="H17" s="81"/>
      <c r="I17" s="73">
        <f>SUM(I8:I16)</f>
        <v>0</v>
      </c>
      <c r="J17" s="4"/>
      <c r="K17" s="80"/>
      <c r="L17" s="80"/>
      <c r="M17" s="80"/>
      <c r="N17" s="80"/>
      <c r="O17" s="80"/>
      <c r="P17" s="80"/>
    </row>
    <row r="18" spans="1:16" ht="15" customHeight="1" thickTop="1"/>
    <row r="19" spans="1:16" ht="15" customHeight="1">
      <c r="A19" s="140" t="s">
        <v>187</v>
      </c>
    </row>
    <row r="20" spans="1:16" ht="105" customHeight="1">
      <c r="A20" s="254" t="s">
        <v>562</v>
      </c>
      <c r="B20" s="255"/>
      <c r="C20" s="255"/>
      <c r="D20" s="255"/>
      <c r="E20" s="255"/>
      <c r="F20" s="255"/>
      <c r="G20" s="255"/>
      <c r="H20" s="255"/>
      <c r="I20" s="255"/>
    </row>
    <row r="21" spans="1:16" ht="9.9" customHeight="1"/>
    <row r="28" spans="1:16">
      <c r="A28" s="141"/>
    </row>
    <row r="29" spans="1:16">
      <c r="A29" s="141"/>
    </row>
    <row r="30" spans="1:16">
      <c r="A30" s="141"/>
    </row>
    <row r="31" spans="1:16">
      <c r="A31" s="141"/>
    </row>
  </sheetData>
  <mergeCells count="3">
    <mergeCell ref="K5:O5"/>
    <mergeCell ref="K6:O6"/>
    <mergeCell ref="A20:I20"/>
  </mergeCells>
  <phoneticPr fontId="10" type="noConversion"/>
  <pageMargins left="0.5" right="0.5" top="0.3" bottom="0.35" header="0.5" footer="0.15"/>
  <pageSetup orientation="portrait" r:id="rId1"/>
  <headerFooter>
    <oddFooter>&amp;L&amp;"Arial Narrow,Regular"&amp;9&amp;Z&amp;F&amp;R&amp;"Arial Narrow,Regular"&amp;9&amp;D</oddFooter>
  </headerFooter>
  <ignoredErrors>
    <ignoredError sqref="G1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82"/>
  <sheetViews>
    <sheetView showGridLines="0" topLeftCell="A7" workbookViewId="0">
      <selection activeCell="L74" sqref="L74:P74"/>
    </sheetView>
  </sheetViews>
  <sheetFormatPr defaultRowHeight="13.2"/>
  <cols>
    <col min="1" max="1" width="2.6640625" customWidth="1"/>
    <col min="2" max="2" width="35.6640625" customWidth="1"/>
    <col min="3" max="3" width="4.33203125" hidden="1" customWidth="1"/>
    <col min="4" max="4" width="15.6640625" customWidth="1"/>
    <col min="5" max="5" width="1.33203125" customWidth="1"/>
    <col min="6" max="6" width="4.33203125" hidden="1" customWidth="1"/>
    <col min="7" max="7" width="15.6640625" customWidth="1"/>
    <col min="8" max="8" width="4.6640625" customWidth="1"/>
    <col min="9" max="9" width="1.6640625" customWidth="1"/>
    <col min="10" max="10" width="15.5546875" bestFit="1" customWidth="1"/>
    <col min="11" max="11" width="1.6640625" customWidth="1"/>
    <col min="12" max="12" width="11.88671875" bestFit="1" customWidth="1"/>
    <col min="13" max="13" width="1.33203125" customWidth="1"/>
    <col min="14" max="14" width="15.6640625" customWidth="1"/>
    <col min="15" max="15" width="1.33203125" customWidth="1"/>
    <col min="16" max="16" width="15.6640625" customWidth="1"/>
    <col min="17" max="17" width="1.33203125" customWidth="1"/>
    <col min="18" max="18" width="11.88671875" customWidth="1"/>
    <col min="19" max="19" width="1.33203125" customWidth="1"/>
    <col min="20" max="20" width="11.88671875" customWidth="1"/>
    <col min="21" max="21" width="1.33203125" customWidth="1"/>
    <col min="22" max="22" width="11.88671875" customWidth="1"/>
    <col min="23" max="23" width="1.33203125" customWidth="1"/>
    <col min="24" max="24" width="11.88671875" bestFit="1" customWidth="1"/>
    <col min="25" max="25" width="1.33203125" customWidth="1"/>
    <col min="26" max="26" width="10.33203125" bestFit="1" customWidth="1"/>
  </cols>
  <sheetData>
    <row r="1" spans="1:26">
      <c r="A1" s="1" t="str">
        <f>Info!B5</f>
        <v>JOHNSTON TECHNICAL COLLEGE</v>
      </c>
    </row>
    <row r="2" spans="1:26">
      <c r="A2" s="1" t="s">
        <v>209</v>
      </c>
    </row>
    <row r="3" spans="1:26">
      <c r="A3" s="1" t="s">
        <v>549</v>
      </c>
    </row>
    <row r="4" spans="1:26" ht="17.399999999999999">
      <c r="A4" s="1"/>
      <c r="G4" s="53"/>
    </row>
    <row r="5" spans="1:26" ht="8.1" customHeight="1">
      <c r="A5" s="1"/>
    </row>
    <row r="6" spans="1:26">
      <c r="A6" s="2" t="s">
        <v>27</v>
      </c>
      <c r="B6" s="92" t="s">
        <v>143</v>
      </c>
      <c r="C6" s="93"/>
      <c r="D6" s="93"/>
      <c r="E6" s="93"/>
      <c r="F6" s="93"/>
      <c r="G6" s="93"/>
      <c r="H6" s="94"/>
    </row>
    <row r="7" spans="1:26">
      <c r="A7" s="2"/>
      <c r="B7" s="95" t="s">
        <v>210</v>
      </c>
      <c r="C7" s="15"/>
      <c r="D7" s="15"/>
      <c r="E7" s="15"/>
      <c r="F7" s="15"/>
      <c r="G7" s="15"/>
      <c r="H7" s="96"/>
      <c r="J7" s="6" t="s">
        <v>30</v>
      </c>
      <c r="K7" s="6"/>
    </row>
    <row r="8" spans="1:26">
      <c r="B8" s="97"/>
      <c r="C8" s="15"/>
      <c r="D8" s="15"/>
      <c r="E8" s="15"/>
      <c r="F8" s="15"/>
      <c r="G8" s="15"/>
      <c r="H8" s="96"/>
      <c r="J8" s="6" t="s">
        <v>142</v>
      </c>
      <c r="K8" s="6"/>
      <c r="L8" s="256"/>
      <c r="M8" s="256"/>
      <c r="N8" s="256"/>
    </row>
    <row r="9" spans="1:26">
      <c r="B9" s="98"/>
      <c r="C9" s="91"/>
      <c r="D9" s="84" t="s">
        <v>6</v>
      </c>
      <c r="E9" s="91"/>
      <c r="F9" s="91"/>
      <c r="G9" s="84" t="s">
        <v>7</v>
      </c>
      <c r="H9" s="96"/>
      <c r="J9" s="6" t="s">
        <v>141</v>
      </c>
      <c r="K9" s="6"/>
      <c r="L9" s="256"/>
      <c r="M9" s="256"/>
      <c r="N9" s="256"/>
      <c r="O9" s="256"/>
      <c r="P9" s="256"/>
      <c r="R9" s="256"/>
      <c r="S9" s="256"/>
      <c r="T9" s="256"/>
      <c r="U9" s="256"/>
      <c r="V9" s="256"/>
      <c r="X9" s="256"/>
      <c r="Y9" s="256"/>
      <c r="Z9" s="256"/>
    </row>
    <row r="10" spans="1:26">
      <c r="B10" s="98"/>
      <c r="C10" s="99" t="s">
        <v>14</v>
      </c>
      <c r="D10" s="100" t="s">
        <v>5</v>
      </c>
      <c r="E10" s="84"/>
      <c r="F10" s="100" t="s">
        <v>14</v>
      </c>
      <c r="G10" s="100" t="s">
        <v>5</v>
      </c>
      <c r="H10" s="96"/>
      <c r="J10" s="11" t="s">
        <v>211</v>
      </c>
      <c r="K10" s="6"/>
      <c r="L10" s="7"/>
      <c r="N10" s="7"/>
      <c r="P10" s="7"/>
      <c r="R10" s="7"/>
      <c r="T10" s="7"/>
      <c r="V10" s="7"/>
      <c r="X10" s="7"/>
      <c r="Z10" s="7"/>
    </row>
    <row r="11" spans="1:26">
      <c r="B11" s="95" t="s">
        <v>8</v>
      </c>
      <c r="C11" s="101"/>
      <c r="D11" s="80"/>
      <c r="E11" s="15"/>
      <c r="F11" s="101"/>
      <c r="G11" s="102"/>
      <c r="H11" s="96"/>
      <c r="J11" s="12"/>
      <c r="K11" s="12"/>
    </row>
    <row r="12" spans="1:26">
      <c r="B12" s="95" t="s">
        <v>9</v>
      </c>
      <c r="C12" s="101">
        <v>1</v>
      </c>
      <c r="D12" s="80">
        <f>Detail!E13+SUMIF(Detail!$D$29:$D$64,$C12,Detail!E$29:E$64)-SUMIF(Detail!$D$29:$D$64,$C12,Detail!F$29:F$64)</f>
        <v>21870</v>
      </c>
      <c r="E12" s="15"/>
      <c r="F12" s="101">
        <v>6</v>
      </c>
      <c r="G12" s="80">
        <f>Detail!F17+SUMIF(Detail!$D$29:$D$64,$F12,Detail!F$29:F$64)-SUMIF(Detail!$D$29:$D$64,$F12,Detail!E$29:E$64)</f>
        <v>13822</v>
      </c>
      <c r="H12" s="96"/>
      <c r="J12" s="12">
        <f>D12-G12</f>
        <v>8048</v>
      </c>
      <c r="K12" s="12"/>
      <c r="L12" s="80"/>
      <c r="N12" s="80"/>
      <c r="P12" s="80"/>
      <c r="R12" s="80"/>
      <c r="T12" s="80"/>
      <c r="V12" s="80"/>
      <c r="X12" s="12"/>
      <c r="Z12" s="12"/>
    </row>
    <row r="13" spans="1:26">
      <c r="B13" s="98"/>
      <c r="C13" s="101"/>
      <c r="D13" s="103"/>
      <c r="E13" s="15"/>
      <c r="F13" s="101"/>
      <c r="G13" s="104"/>
      <c r="H13" s="96"/>
      <c r="Z13" s="12"/>
    </row>
    <row r="14" spans="1:26">
      <c r="B14" s="95" t="s">
        <v>128</v>
      </c>
      <c r="C14" s="101">
        <v>2</v>
      </c>
      <c r="D14" s="47">
        <f>Detail!E11+SUMIF(Detail!$D$29:$D$64,$C14,Detail!E$29:E$64)-SUMIF(Detail!$D$29:$D$64,$C14,Detail!F$29:F$64)</f>
        <v>1818</v>
      </c>
      <c r="E14" s="15"/>
      <c r="F14" s="101">
        <v>7</v>
      </c>
      <c r="G14" s="47">
        <f>Detail!F19+SUMIF(Detail!$D$29:$D$64,$F14,Detail!F$29:F$64)-SUMIF(Detail!$D$29:$D$64,$F14,Detail!E$29:E$64)</f>
        <v>4260</v>
      </c>
      <c r="H14" s="96"/>
      <c r="J14" s="47">
        <f>D14-G14</f>
        <v>-2442</v>
      </c>
      <c r="K14" s="47"/>
      <c r="L14" s="47"/>
      <c r="N14" s="47"/>
      <c r="P14" s="47"/>
      <c r="R14" s="47"/>
      <c r="T14" s="47"/>
      <c r="V14" s="47"/>
      <c r="X14" s="13"/>
      <c r="Z14" s="13"/>
    </row>
    <row r="15" spans="1:26">
      <c r="B15" s="98"/>
      <c r="C15" s="101"/>
      <c r="D15" s="103"/>
      <c r="E15" s="15"/>
      <c r="F15" s="101"/>
      <c r="G15" s="104"/>
      <c r="H15" s="96"/>
      <c r="X15" s="13"/>
      <c r="Z15" s="12"/>
    </row>
    <row r="16" spans="1:26" ht="12.75" customHeight="1">
      <c r="B16" s="163" t="s">
        <v>10</v>
      </c>
      <c r="C16" s="101"/>
      <c r="D16" s="47"/>
      <c r="E16" s="15"/>
      <c r="F16" s="101"/>
      <c r="G16" s="47"/>
      <c r="H16" s="96"/>
      <c r="J16" s="13"/>
      <c r="K16" s="13"/>
      <c r="N16" s="266"/>
      <c r="O16" s="266"/>
      <c r="P16" s="266"/>
      <c r="X16" s="13"/>
      <c r="Z16" s="12"/>
    </row>
    <row r="17" spans="2:26">
      <c r="B17" s="163" t="s">
        <v>212</v>
      </c>
      <c r="C17" s="101"/>
      <c r="D17" s="103"/>
      <c r="E17" s="15"/>
      <c r="F17" s="101"/>
      <c r="G17" s="104"/>
      <c r="H17" s="96"/>
      <c r="N17" s="6"/>
      <c r="O17" s="2"/>
      <c r="P17" s="6"/>
      <c r="X17" s="13"/>
      <c r="Z17" s="12"/>
    </row>
    <row r="18" spans="2:26">
      <c r="B18" s="163" t="s">
        <v>135</v>
      </c>
      <c r="C18" s="101">
        <v>3</v>
      </c>
      <c r="D18" s="47">
        <f>Detail!E12+SUMIF(Detail!$D$29:$D$64,$C18,Detail!E$29:E$64)-SUMIF(Detail!$D$29:$D$64,$C18,Detail!F$29:F$64)</f>
        <v>32595</v>
      </c>
      <c r="E18" s="15"/>
      <c r="F18" s="101">
        <v>8</v>
      </c>
      <c r="G18" s="47">
        <f>Detail!F18+SUMIF(Detail!$D$29:$D$64,$F18,Detail!F$29:F$64)-SUMIF(Detail!$D$29:$D$64,$F18,Detail!E$29:E$64)</f>
        <v>0</v>
      </c>
      <c r="H18" s="96"/>
      <c r="J18" s="47">
        <f>D18-G18</f>
        <v>32595</v>
      </c>
      <c r="K18" s="47"/>
      <c r="L18" s="47"/>
      <c r="N18" s="47"/>
      <c r="P18" s="47"/>
      <c r="R18" s="47"/>
      <c r="T18" s="47"/>
      <c r="V18" s="47"/>
      <c r="X18" s="13"/>
      <c r="Z18" s="13"/>
    </row>
    <row r="19" spans="2:26">
      <c r="B19" s="98"/>
      <c r="C19" s="101"/>
      <c r="D19" s="103"/>
      <c r="E19" s="15"/>
      <c r="F19" s="101"/>
      <c r="G19" s="104"/>
      <c r="H19" s="96"/>
      <c r="X19" s="13"/>
      <c r="Z19" s="12"/>
    </row>
    <row r="20" spans="2:26">
      <c r="B20" s="95" t="s">
        <v>19</v>
      </c>
      <c r="C20" s="101"/>
      <c r="D20" s="47"/>
      <c r="E20" s="15"/>
      <c r="F20" s="101"/>
      <c r="G20" s="47"/>
      <c r="H20" s="96"/>
      <c r="J20" s="13"/>
      <c r="K20" s="13"/>
      <c r="X20" s="13"/>
      <c r="Z20" s="12"/>
    </row>
    <row r="21" spans="2:26">
      <c r="B21" s="95" t="s">
        <v>20</v>
      </c>
      <c r="C21" s="101"/>
      <c r="D21" s="103"/>
      <c r="E21" s="15"/>
      <c r="F21" s="101"/>
      <c r="G21" s="104"/>
      <c r="H21" s="96"/>
      <c r="X21" s="13"/>
      <c r="Z21" s="12"/>
    </row>
    <row r="22" spans="2:26">
      <c r="B22" s="95" t="s">
        <v>21</v>
      </c>
      <c r="C22" s="101">
        <v>4</v>
      </c>
      <c r="D22" s="47">
        <f>Detail!E10+SUMIF(Detail!$D$29:$D$64,$C22,Detail!E$29:E$64)-SUMIF(Detail!$D$29:$D$64,$C22,Detail!F$29:F$64)</f>
        <v>3543</v>
      </c>
      <c r="E22" s="15"/>
      <c r="F22" s="101">
        <v>9</v>
      </c>
      <c r="G22" s="47">
        <f>Detail!F20+SUMIF(Detail!$D$29:$D$64,$F22,Detail!F$29:F$64)-SUMIF(Detail!$D$29:$D$64,$F22,Detail!E$29:E$64)</f>
        <v>1959</v>
      </c>
      <c r="H22" s="96"/>
      <c r="J22" s="82">
        <f>D22-G22</f>
        <v>1584</v>
      </c>
      <c r="K22" s="47"/>
      <c r="L22" s="47"/>
      <c r="N22" s="47"/>
      <c r="P22" s="47"/>
      <c r="R22" s="47"/>
      <c r="T22" s="47"/>
      <c r="V22" s="47"/>
      <c r="X22" s="13"/>
      <c r="Z22" s="13"/>
    </row>
    <row r="23" spans="2:26" ht="13.8" thickBot="1">
      <c r="B23" s="95"/>
      <c r="C23" s="101"/>
      <c r="D23" s="103"/>
      <c r="E23" s="15"/>
      <c r="F23" s="101"/>
      <c r="G23" s="104"/>
      <c r="H23" s="96"/>
      <c r="J23" s="88">
        <f>J12+J14+J18+J22</f>
        <v>39785</v>
      </c>
      <c r="K23" s="12"/>
      <c r="X23" s="12"/>
      <c r="Z23" s="12"/>
    </row>
    <row r="24" spans="2:26" ht="13.8" thickTop="1">
      <c r="B24" s="95" t="s">
        <v>11</v>
      </c>
      <c r="C24" s="101"/>
      <c r="D24" s="47"/>
      <c r="E24" s="15"/>
      <c r="F24" s="101"/>
      <c r="G24" s="47"/>
      <c r="H24" s="96"/>
      <c r="J24" s="13"/>
      <c r="K24" s="13"/>
      <c r="X24" s="13"/>
    </row>
    <row r="25" spans="2:26" ht="13.8">
      <c r="B25" s="95" t="s">
        <v>12</v>
      </c>
      <c r="C25" s="101">
        <v>5</v>
      </c>
      <c r="D25" s="47">
        <f>SUMIF(Detail!$D$29:$D$64,$C25,Detail!E$29:E$64)</f>
        <v>0</v>
      </c>
      <c r="E25" s="15"/>
      <c r="F25" s="101"/>
      <c r="G25" s="47">
        <v>0</v>
      </c>
      <c r="H25" s="96"/>
      <c r="J25" s="47"/>
      <c r="K25" s="47"/>
      <c r="L25" s="126"/>
      <c r="N25" s="126"/>
      <c r="P25" s="47"/>
      <c r="R25" s="47"/>
      <c r="T25" s="47"/>
      <c r="V25" s="47"/>
      <c r="X25" s="13"/>
    </row>
    <row r="26" spans="2:26" ht="14.4" customHeight="1" thickBot="1">
      <c r="B26" s="105" t="s">
        <v>13</v>
      </c>
      <c r="C26" s="15"/>
      <c r="D26" s="106">
        <f>SUM(D12:D25)</f>
        <v>59826</v>
      </c>
      <c r="E26" s="15"/>
      <c r="F26" s="15"/>
      <c r="G26" s="106">
        <f>SUM(G12:G25)</f>
        <v>20041</v>
      </c>
      <c r="H26" s="96"/>
      <c r="J26" s="6"/>
      <c r="K26" s="6"/>
      <c r="L26" s="50"/>
      <c r="N26" s="50"/>
      <c r="P26" s="50"/>
      <c r="R26" s="50"/>
      <c r="T26" s="50"/>
      <c r="V26" s="50"/>
    </row>
    <row r="27" spans="2:26" ht="14.4" customHeight="1" thickTop="1">
      <c r="B27" s="105"/>
      <c r="C27" s="15"/>
      <c r="D27" s="50"/>
      <c r="E27" s="15"/>
      <c r="F27" s="15"/>
      <c r="G27" s="50"/>
      <c r="H27" s="96"/>
      <c r="J27" s="50"/>
      <c r="K27" s="50"/>
    </row>
    <row r="28" spans="2:26" ht="63.9" customHeight="1">
      <c r="B28" s="258" t="s">
        <v>213</v>
      </c>
      <c r="C28" s="259"/>
      <c r="D28" s="259"/>
      <c r="E28" s="259"/>
      <c r="F28" s="259"/>
      <c r="G28" s="259"/>
      <c r="H28" s="260"/>
      <c r="J28" s="50"/>
      <c r="K28" s="50"/>
      <c r="L28" s="257"/>
      <c r="M28" s="257"/>
      <c r="N28" s="257"/>
      <c r="O28" s="257"/>
      <c r="P28" s="257"/>
      <c r="Q28" s="257"/>
    </row>
    <row r="29" spans="2:26">
      <c r="B29" s="105"/>
      <c r="C29" s="15"/>
      <c r="D29" s="50"/>
      <c r="E29" s="15"/>
      <c r="F29" s="15"/>
      <c r="G29" s="50"/>
      <c r="H29" s="96"/>
    </row>
    <row r="30" spans="2:26">
      <c r="B30" s="107" t="s">
        <v>214</v>
      </c>
      <c r="C30" s="15"/>
      <c r="D30" s="50"/>
      <c r="E30" s="15"/>
      <c r="F30" s="15"/>
      <c r="G30" s="50"/>
      <c r="H30" s="96"/>
    </row>
    <row r="31" spans="2:26" ht="12.75" customHeight="1">
      <c r="B31" s="108"/>
      <c r="C31" s="109"/>
      <c r="D31" s="109"/>
      <c r="E31" s="109"/>
      <c r="F31" s="109"/>
      <c r="G31" s="109"/>
      <c r="H31" s="110"/>
    </row>
    <row r="32" spans="2:26" ht="15.75" customHeight="1">
      <c r="B32" s="2"/>
    </row>
    <row r="33" spans="1:16">
      <c r="A33" s="2" t="s">
        <v>28</v>
      </c>
      <c r="B33" s="92" t="s">
        <v>144</v>
      </c>
      <c r="C33" s="93"/>
      <c r="D33" s="93"/>
      <c r="E33" s="93"/>
      <c r="F33" s="93"/>
      <c r="G33" s="93"/>
      <c r="H33" s="94"/>
    </row>
    <row r="34" spans="1:16">
      <c r="A34" s="2"/>
      <c r="B34" s="95" t="s">
        <v>145</v>
      </c>
      <c r="C34" s="15"/>
      <c r="D34" s="15"/>
      <c r="E34" s="15"/>
      <c r="F34" s="15"/>
      <c r="G34" s="15"/>
      <c r="H34" s="96"/>
    </row>
    <row r="35" spans="1:16">
      <c r="A35" s="2"/>
      <c r="B35" s="95" t="s">
        <v>215</v>
      </c>
      <c r="C35" s="15"/>
      <c r="D35" s="15"/>
      <c r="E35" s="15"/>
      <c r="F35" s="15"/>
      <c r="G35" s="15"/>
      <c r="H35" s="96"/>
    </row>
    <row r="36" spans="1:16">
      <c r="B36" s="111"/>
      <c r="C36" s="15"/>
      <c r="D36" s="15"/>
      <c r="E36" s="15"/>
      <c r="F36" s="15"/>
      <c r="G36" s="15"/>
      <c r="H36" s="96"/>
      <c r="L36" s="7"/>
      <c r="N36" s="7"/>
      <c r="P36" s="7"/>
    </row>
    <row r="37" spans="1:16">
      <c r="B37" s="95" t="s">
        <v>29</v>
      </c>
      <c r="C37" s="15"/>
      <c r="D37" s="84"/>
      <c r="E37" s="15"/>
      <c r="F37" s="15"/>
      <c r="G37" s="15"/>
      <c r="H37" s="96"/>
    </row>
    <row r="38" spans="1:16" ht="13.8">
      <c r="B38" s="105">
        <v>2025</v>
      </c>
      <c r="C38" s="15"/>
      <c r="D38" s="80">
        <f>VLOOKUP(Info!B9,Data!B:Z,16,FALSE)</f>
        <v>12929</v>
      </c>
      <c r="E38" s="15"/>
      <c r="F38" s="63"/>
      <c r="G38" s="15"/>
      <c r="H38" s="96"/>
      <c r="L38" s="80"/>
      <c r="N38" s="80"/>
      <c r="P38" s="12"/>
    </row>
    <row r="39" spans="1:16" ht="13.8">
      <c r="B39" s="105">
        <v>2026</v>
      </c>
      <c r="C39" s="15"/>
      <c r="D39" s="112">
        <f>VLOOKUP(Info!B9,Data!B:Z,17,FALSE)</f>
        <v>8245</v>
      </c>
      <c r="E39" s="15"/>
      <c r="F39" s="63"/>
      <c r="G39" s="15"/>
      <c r="H39" s="96"/>
      <c r="L39" s="112"/>
      <c r="N39" s="112"/>
      <c r="P39" s="112"/>
    </row>
    <row r="40" spans="1:16" ht="13.8">
      <c r="B40" s="105">
        <v>2027</v>
      </c>
      <c r="C40" s="15"/>
      <c r="D40" s="112">
        <f>VLOOKUP(Info!B9,Data!B:Z,18,FALSE)</f>
        <v>11497</v>
      </c>
      <c r="E40" s="15"/>
      <c r="F40" s="63"/>
      <c r="G40" s="15"/>
      <c r="H40" s="96"/>
      <c r="L40" s="112"/>
      <c r="N40" s="112"/>
      <c r="P40" s="112"/>
    </row>
    <row r="41" spans="1:16" ht="13.8">
      <c r="B41" s="105">
        <v>2028</v>
      </c>
      <c r="C41" s="15"/>
      <c r="D41" s="112">
        <f>VLOOKUP(Info!B9,Data!B:Z,19,FALSE)</f>
        <v>4231</v>
      </c>
      <c r="E41" s="15"/>
      <c r="F41" s="63"/>
      <c r="G41" s="91"/>
      <c r="H41" s="96"/>
      <c r="K41" s="2"/>
      <c r="L41" s="112"/>
      <c r="N41" s="112"/>
      <c r="P41" s="112"/>
    </row>
    <row r="42" spans="1:16" ht="13.8">
      <c r="B42" s="105">
        <v>2029</v>
      </c>
      <c r="C42" s="15"/>
      <c r="D42" s="112">
        <f>VLOOKUP(Info!B9,Data!B:Z,20,FALSE)</f>
        <v>1707</v>
      </c>
      <c r="E42" s="15"/>
      <c r="F42" s="63"/>
      <c r="G42" s="15"/>
      <c r="H42" s="96"/>
      <c r="L42" s="112"/>
      <c r="N42" s="112"/>
      <c r="P42" s="112"/>
    </row>
    <row r="43" spans="1:16" ht="13.8">
      <c r="B43" s="105" t="s">
        <v>239</v>
      </c>
      <c r="C43" s="15"/>
      <c r="D43" s="112">
        <f>VLOOKUP(Info!B9,Data!B:Z,21,FALSE)+VLOOKUP(Info!B9,Data!B:Z,25,FALSE)</f>
        <v>1176</v>
      </c>
      <c r="E43" s="15"/>
      <c r="F43" s="63"/>
      <c r="G43" s="15"/>
      <c r="H43" s="96"/>
      <c r="J43" s="125" t="s">
        <v>130</v>
      </c>
      <c r="L43" s="112"/>
      <c r="N43" s="112"/>
      <c r="P43" s="112"/>
    </row>
    <row r="44" spans="1:16" ht="14.4" customHeight="1" thickBot="1">
      <c r="B44" s="113" t="s">
        <v>13</v>
      </c>
      <c r="C44" s="15"/>
      <c r="D44" s="114">
        <f>SUM(D38:D43)</f>
        <v>39785</v>
      </c>
      <c r="E44" s="15"/>
      <c r="F44" s="63"/>
      <c r="G44" s="15"/>
      <c r="H44" s="96"/>
      <c r="L44" s="12"/>
      <c r="N44" s="12"/>
      <c r="P44" s="12"/>
    </row>
    <row r="45" spans="1:16" ht="8.1" customHeight="1" thickTop="1">
      <c r="B45" s="98"/>
      <c r="C45" s="15"/>
      <c r="D45" s="15"/>
      <c r="E45" s="15"/>
      <c r="F45" s="15"/>
      <c r="G45" s="15"/>
      <c r="H45" s="96"/>
    </row>
    <row r="46" spans="1:16">
      <c r="B46" s="95" t="s">
        <v>216</v>
      </c>
      <c r="C46" s="15"/>
      <c r="D46" s="15"/>
      <c r="E46" s="15"/>
      <c r="F46" s="15"/>
      <c r="G46" s="15"/>
      <c r="H46" s="96"/>
    </row>
    <row r="47" spans="1:16">
      <c r="B47" s="95" t="s">
        <v>217</v>
      </c>
      <c r="C47" s="15"/>
      <c r="D47" s="15"/>
      <c r="E47" s="15"/>
      <c r="F47" s="15"/>
      <c r="G47" s="15"/>
      <c r="H47" s="96"/>
    </row>
    <row r="48" spans="1:16">
      <c r="B48" s="95"/>
      <c r="C48" s="15"/>
      <c r="D48" s="15"/>
      <c r="E48" s="15"/>
      <c r="F48" s="15"/>
      <c r="G48" s="15"/>
      <c r="H48" s="96"/>
    </row>
    <row r="49" spans="1:16">
      <c r="B49" s="115" t="s">
        <v>218</v>
      </c>
      <c r="C49" s="15"/>
      <c r="D49" s="15"/>
      <c r="E49" s="15"/>
      <c r="F49" s="15"/>
      <c r="G49" s="15"/>
      <c r="H49" s="96"/>
    </row>
    <row r="50" spans="1:16" ht="12.75" customHeight="1">
      <c r="B50" s="116"/>
      <c r="C50" s="109"/>
      <c r="D50" s="109"/>
      <c r="E50" s="109"/>
      <c r="F50" s="109"/>
      <c r="G50" s="109"/>
      <c r="H50" s="110"/>
    </row>
    <row r="51" spans="1:16" ht="15.75" customHeight="1"/>
    <row r="52" spans="1:16">
      <c r="A52" s="2" t="s">
        <v>31</v>
      </c>
      <c r="B52" s="92" t="s">
        <v>146</v>
      </c>
      <c r="C52" s="93"/>
      <c r="D52" s="93"/>
      <c r="E52" s="93"/>
      <c r="F52" s="93"/>
      <c r="G52" s="93"/>
      <c r="H52" s="94"/>
    </row>
    <row r="53" spans="1:16">
      <c r="A53" s="2"/>
      <c r="B53" s="95" t="s">
        <v>219</v>
      </c>
      <c r="C53" s="15"/>
      <c r="D53" s="15"/>
      <c r="E53" s="15"/>
      <c r="F53" s="15"/>
      <c r="G53" s="15"/>
      <c r="H53" s="96"/>
    </row>
    <row r="54" spans="1:16">
      <c r="A54" s="2"/>
      <c r="B54" s="117" t="s">
        <v>563</v>
      </c>
      <c r="C54" s="15"/>
      <c r="D54" s="15"/>
      <c r="E54" s="15"/>
      <c r="F54" s="15"/>
      <c r="G54" s="15"/>
      <c r="H54" s="96"/>
    </row>
    <row r="55" spans="1:16">
      <c r="B55" s="98"/>
      <c r="C55" s="15"/>
      <c r="D55" s="15"/>
      <c r="E55" s="15"/>
      <c r="F55" s="15"/>
      <c r="G55" s="15"/>
      <c r="H55" s="96"/>
      <c r="L55" s="7"/>
      <c r="N55" s="7"/>
      <c r="P55" s="7"/>
    </row>
    <row r="56" spans="1:16" ht="14.4" thickBot="1">
      <c r="B56" s="95" t="s">
        <v>32</v>
      </c>
      <c r="C56" s="15"/>
      <c r="D56" s="118">
        <f>D25</f>
        <v>0</v>
      </c>
      <c r="E56" s="15"/>
      <c r="F56" s="63"/>
      <c r="G56" s="91"/>
      <c r="H56" s="96"/>
      <c r="J56" s="125" t="s">
        <v>129</v>
      </c>
      <c r="K56" s="2"/>
      <c r="L56" s="13"/>
      <c r="N56" s="13"/>
      <c r="P56" s="12"/>
    </row>
    <row r="57" spans="1:16" ht="13.8" thickTop="1">
      <c r="B57" s="95"/>
      <c r="C57" s="15"/>
      <c r="D57" s="80"/>
      <c r="E57" s="15"/>
      <c r="F57" s="15"/>
      <c r="G57" s="15"/>
      <c r="H57" s="96"/>
    </row>
    <row r="58" spans="1:16">
      <c r="B58" s="115" t="s">
        <v>220</v>
      </c>
      <c r="C58" s="15"/>
      <c r="D58" s="80"/>
      <c r="E58" s="15"/>
      <c r="F58" s="15"/>
      <c r="G58" s="15"/>
      <c r="H58" s="96"/>
    </row>
    <row r="59" spans="1:16" ht="12.75" customHeight="1">
      <c r="B59" s="108"/>
      <c r="C59" s="109"/>
      <c r="D59" s="109"/>
      <c r="E59" s="109"/>
      <c r="F59" s="109"/>
      <c r="G59" s="109"/>
      <c r="H59" s="110"/>
    </row>
    <row r="60" spans="1:16" ht="15.75" customHeight="1"/>
    <row r="61" spans="1:16">
      <c r="A61" s="2" t="s">
        <v>121</v>
      </c>
      <c r="B61" s="92" t="s">
        <v>236</v>
      </c>
      <c r="C61" s="93"/>
      <c r="D61" s="93"/>
      <c r="E61" s="93"/>
      <c r="F61" s="93"/>
      <c r="G61" s="93"/>
      <c r="H61" s="94"/>
    </row>
    <row r="62" spans="1:16">
      <c r="B62" s="98"/>
      <c r="C62" s="15"/>
      <c r="D62" s="15"/>
      <c r="E62" s="15"/>
      <c r="F62" s="15"/>
      <c r="G62" s="15"/>
      <c r="H62" s="96"/>
    </row>
    <row r="63" spans="1:16">
      <c r="B63" s="119"/>
      <c r="C63" s="101"/>
      <c r="D63" s="157" t="s">
        <v>221</v>
      </c>
      <c r="E63" s="101"/>
      <c r="F63" s="101"/>
      <c r="G63" s="84" t="s">
        <v>221</v>
      </c>
      <c r="H63" s="96"/>
      <c r="I63" s="7"/>
      <c r="J63" s="7"/>
      <c r="K63" s="7"/>
      <c r="L63" s="266"/>
      <c r="M63" s="266"/>
      <c r="N63" s="266"/>
      <c r="O63" s="266"/>
      <c r="P63" s="266"/>
    </row>
    <row r="64" spans="1:16">
      <c r="B64" s="119"/>
      <c r="C64" s="101"/>
      <c r="D64" s="162" t="s">
        <v>233</v>
      </c>
      <c r="E64" s="101"/>
      <c r="F64" s="101"/>
      <c r="G64" s="190" t="s">
        <v>525</v>
      </c>
      <c r="H64" s="191"/>
      <c r="I64" s="7"/>
      <c r="J64" s="7"/>
      <c r="K64" s="7"/>
      <c r="L64" s="7"/>
      <c r="N64" s="7"/>
      <c r="P64" s="6"/>
    </row>
    <row r="65" spans="2:18">
      <c r="B65" s="95" t="s">
        <v>550</v>
      </c>
      <c r="C65" s="15"/>
      <c r="E65" s="15"/>
      <c r="F65" s="15"/>
      <c r="G65" s="120">
        <f>Detail!F16</f>
        <v>28698</v>
      </c>
      <c r="H65" s="191"/>
      <c r="L65" s="120"/>
      <c r="N65" s="120"/>
      <c r="P65" s="12"/>
    </row>
    <row r="66" spans="2:18" hidden="1">
      <c r="B66" s="98" t="s">
        <v>147</v>
      </c>
      <c r="C66" s="15"/>
      <c r="D66" s="112">
        <v>0</v>
      </c>
      <c r="E66" s="15"/>
      <c r="F66" s="15"/>
      <c r="G66" s="91"/>
      <c r="H66" s="96"/>
      <c r="L66" s="112"/>
      <c r="N66" s="112"/>
      <c r="P66" s="112"/>
    </row>
    <row r="67" spans="2:18">
      <c r="B67" s="155" t="s">
        <v>122</v>
      </c>
      <c r="C67" s="15"/>
      <c r="E67" s="15"/>
      <c r="F67" s="15"/>
      <c r="G67" s="112">
        <f>-Detail!F34</f>
        <v>0</v>
      </c>
      <c r="H67" s="191"/>
      <c r="L67" s="112"/>
      <c r="N67" s="112"/>
      <c r="P67" s="112"/>
    </row>
    <row r="68" spans="2:18">
      <c r="B68" s="163" t="s">
        <v>140</v>
      </c>
      <c r="C68" s="15"/>
      <c r="D68" s="112"/>
      <c r="E68" s="15"/>
      <c r="F68" s="15"/>
      <c r="G68" s="112">
        <f>-Detail!E46</f>
        <v>-3743</v>
      </c>
      <c r="H68" s="96"/>
      <c r="L68" s="112"/>
      <c r="N68" s="112"/>
      <c r="P68" s="112"/>
    </row>
    <row r="69" spans="2:18" ht="14.4" customHeight="1" thickBot="1">
      <c r="B69" s="95" t="s">
        <v>551</v>
      </c>
      <c r="C69" s="15"/>
      <c r="D69" s="114">
        <f>SUM(D65:D68)</f>
        <v>0</v>
      </c>
      <c r="E69" s="15"/>
      <c r="F69" s="15"/>
      <c r="G69" s="114">
        <f>SUM(G65:G68)</f>
        <v>24955</v>
      </c>
      <c r="H69" s="191"/>
      <c r="L69" s="120"/>
      <c r="N69" s="120"/>
      <c r="P69" s="120"/>
      <c r="R69" s="124"/>
    </row>
    <row r="70" spans="2:18" ht="13.8" thickTop="1">
      <c r="B70" s="98"/>
      <c r="C70" s="15"/>
      <c r="D70" s="120"/>
      <c r="E70" s="15"/>
      <c r="F70" s="15"/>
      <c r="G70" s="91"/>
      <c r="H70" s="96"/>
      <c r="R70" s="124"/>
    </row>
    <row r="71" spans="2:18">
      <c r="B71" s="95" t="s">
        <v>148</v>
      </c>
      <c r="C71" s="15"/>
      <c r="D71" s="121">
        <v>0</v>
      </c>
      <c r="E71" s="15"/>
      <c r="F71" s="15"/>
      <c r="G71" s="121">
        <v>0</v>
      </c>
      <c r="H71" s="96"/>
      <c r="L71" s="120"/>
      <c r="N71" s="120"/>
      <c r="P71" s="120"/>
    </row>
    <row r="72" spans="2:18">
      <c r="B72" s="98"/>
      <c r="C72" s="15"/>
      <c r="D72" s="15"/>
      <c r="E72" s="15"/>
      <c r="F72" s="15"/>
      <c r="G72" s="15"/>
      <c r="H72" s="96"/>
    </row>
    <row r="73" spans="2:18" ht="93" customHeight="1">
      <c r="B73" s="264" t="s">
        <v>234</v>
      </c>
      <c r="C73" s="247"/>
      <c r="D73" s="247"/>
      <c r="E73" s="247"/>
      <c r="F73" s="247"/>
      <c r="G73" s="247"/>
      <c r="H73" s="265"/>
      <c r="L73" s="267"/>
      <c r="M73" s="267"/>
      <c r="N73" s="267"/>
      <c r="O73" s="267"/>
      <c r="P73" s="267"/>
    </row>
    <row r="74" spans="2:18" ht="92.1" customHeight="1">
      <c r="B74" s="261" t="s">
        <v>235</v>
      </c>
      <c r="C74" s="262"/>
      <c r="D74" s="262"/>
      <c r="E74" s="262"/>
      <c r="F74" s="262"/>
      <c r="G74" s="262"/>
      <c r="H74" s="263"/>
      <c r="L74" s="268"/>
      <c r="M74" s="268"/>
      <c r="N74" s="268"/>
      <c r="O74" s="268"/>
      <c r="P74" s="268"/>
    </row>
    <row r="75" spans="2:18" ht="12.75" customHeight="1">
      <c r="B75" s="108"/>
      <c r="C75" s="109"/>
      <c r="D75" s="109"/>
      <c r="E75" s="109"/>
      <c r="F75" s="109"/>
      <c r="G75" s="109"/>
      <c r="H75" s="110"/>
    </row>
    <row r="82" spans="7:7">
      <c r="G82" s="12"/>
    </row>
  </sheetData>
  <mergeCells count="12">
    <mergeCell ref="X9:Z9"/>
    <mergeCell ref="B74:H74"/>
    <mergeCell ref="B73:H73"/>
    <mergeCell ref="L63:P63"/>
    <mergeCell ref="L73:P73"/>
    <mergeCell ref="L74:P74"/>
    <mergeCell ref="N16:P16"/>
    <mergeCell ref="L8:N8"/>
    <mergeCell ref="L9:P9"/>
    <mergeCell ref="R9:V9"/>
    <mergeCell ref="L28:Q28"/>
    <mergeCell ref="B28:H28"/>
  </mergeCells>
  <pageMargins left="0.45" right="0.45" top="0.5" bottom="0.5" header="0.3" footer="0.3"/>
  <pageSetup orientation="portrait" r:id="rId1"/>
  <rowBreaks count="1" manualBreakCount="1">
    <brk id="5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92"/>
  <sheetViews>
    <sheetView workbookViewId="0">
      <pane xSplit="2" ySplit="3" topLeftCell="C67" activePane="bottomRight" state="frozen"/>
      <selection pane="topRight" activeCell="C1" sqref="C1"/>
      <selection pane="bottomLeft" activeCell="A4" sqref="A4"/>
      <selection pane="bottomRight" activeCell="A86" sqref="A86:XFD86"/>
    </sheetView>
  </sheetViews>
  <sheetFormatPr defaultRowHeight="13.2"/>
  <cols>
    <col min="1" max="1" width="47.109375" customWidth="1"/>
    <col min="2" max="2" width="11.6640625" bestFit="1" customWidth="1"/>
    <col min="3" max="3" width="15.6640625" customWidth="1"/>
    <col min="4" max="4" width="10.33203125" customWidth="1"/>
    <col min="5" max="5" width="13.44140625" customWidth="1"/>
    <col min="6" max="6" width="11.6640625" customWidth="1"/>
    <col min="7" max="7" width="13.109375" customWidth="1"/>
    <col min="8" max="8" width="11.109375" customWidth="1"/>
    <col min="9" max="9" width="17.33203125" customWidth="1"/>
    <col min="10" max="10" width="12.44140625" customWidth="1"/>
    <col min="11" max="11" width="14.77734375" customWidth="1"/>
    <col min="12" max="12" width="11.21875" customWidth="1"/>
    <col min="13" max="13" width="19.21875" customWidth="1"/>
    <col min="14" max="14" width="11.6640625" customWidth="1"/>
    <col min="15" max="15" width="20.6640625" customWidth="1"/>
    <col min="16" max="16" width="11.6640625" customWidth="1"/>
    <col min="17" max="20" width="12.33203125" customWidth="1"/>
    <col min="21" max="21" width="11.33203125" customWidth="1"/>
    <col min="22" max="22" width="9.6640625" customWidth="1"/>
    <col min="23" max="23" width="8.88671875" customWidth="1"/>
    <col min="24" max="24" width="6.6640625" customWidth="1"/>
    <col min="25" max="25" width="17.44140625" customWidth="1"/>
    <col min="26" max="26" width="11.109375" customWidth="1"/>
    <col min="27" max="27" width="8.33203125" customWidth="1"/>
    <col min="28" max="28" width="9.77734375" customWidth="1"/>
    <col min="29" max="29" width="13.44140625" bestFit="1" customWidth="1"/>
    <col min="30" max="31" width="11.6640625" customWidth="1"/>
    <col min="32" max="32" width="13.33203125" customWidth="1"/>
    <col min="33" max="33" width="20.6640625" customWidth="1"/>
    <col min="34" max="34" width="18.109375" bestFit="1" customWidth="1"/>
    <col min="35" max="35" width="20.44140625" bestFit="1" customWidth="1"/>
    <col min="36" max="36" width="11.21875" bestFit="1" customWidth="1"/>
    <col min="37" max="37" width="26.5546875" bestFit="1" customWidth="1"/>
    <col min="38" max="38" width="9.109375" customWidth="1"/>
    <col min="39" max="42" width="20.6640625" customWidth="1"/>
    <col min="43" max="43" width="18.33203125" customWidth="1"/>
    <col min="44" max="44" width="16.5546875" customWidth="1"/>
    <col min="45" max="45" width="15.33203125" customWidth="1"/>
    <col min="46" max="46" width="18.33203125" customWidth="1"/>
    <col min="47" max="47" width="16.5546875" customWidth="1"/>
    <col min="48" max="48" width="16" bestFit="1" customWidth="1"/>
  </cols>
  <sheetData>
    <row r="1" spans="1:48">
      <c r="B1" s="7">
        <v>1</v>
      </c>
      <c r="C1" s="7">
        <v>2</v>
      </c>
      <c r="D1" s="7">
        <v>3</v>
      </c>
      <c r="E1" s="7">
        <v>4</v>
      </c>
      <c r="F1" s="7">
        <v>5</v>
      </c>
      <c r="G1" s="7">
        <v>6</v>
      </c>
      <c r="H1" s="7">
        <v>7</v>
      </c>
      <c r="I1" s="7">
        <v>8</v>
      </c>
      <c r="J1" s="7">
        <v>9</v>
      </c>
      <c r="K1" s="7">
        <v>10</v>
      </c>
      <c r="L1" s="7">
        <v>11</v>
      </c>
      <c r="M1" s="7">
        <v>12</v>
      </c>
      <c r="N1" s="7">
        <v>13</v>
      </c>
      <c r="O1" s="7">
        <v>14</v>
      </c>
      <c r="P1" s="7">
        <v>15</v>
      </c>
      <c r="Q1" s="7">
        <v>16</v>
      </c>
      <c r="R1" s="7">
        <v>17</v>
      </c>
      <c r="S1" s="7">
        <v>18</v>
      </c>
      <c r="T1" s="7">
        <v>19</v>
      </c>
      <c r="U1" s="7">
        <v>20</v>
      </c>
      <c r="V1" s="7">
        <v>21</v>
      </c>
      <c r="W1" s="7">
        <v>22</v>
      </c>
      <c r="X1" s="7">
        <v>23</v>
      </c>
      <c r="Y1" s="7">
        <v>24</v>
      </c>
      <c r="Z1" s="7">
        <v>25</v>
      </c>
      <c r="AA1" s="7">
        <v>26</v>
      </c>
      <c r="AB1" s="7">
        <v>27</v>
      </c>
      <c r="AC1" s="7">
        <v>28</v>
      </c>
      <c r="AD1" s="7">
        <v>29</v>
      </c>
      <c r="AE1" s="7">
        <v>30</v>
      </c>
      <c r="AF1" s="7">
        <v>31</v>
      </c>
      <c r="AG1" s="7">
        <v>32</v>
      </c>
      <c r="AH1" s="7">
        <v>33</v>
      </c>
      <c r="AI1" s="7">
        <v>34</v>
      </c>
      <c r="AJ1" s="7">
        <v>35</v>
      </c>
      <c r="AK1" s="7">
        <v>36</v>
      </c>
      <c r="AL1" s="7">
        <v>37</v>
      </c>
      <c r="AM1" s="7">
        <v>38</v>
      </c>
      <c r="AN1" s="7">
        <v>39</v>
      </c>
      <c r="AO1" s="7">
        <v>40</v>
      </c>
      <c r="AP1" s="7">
        <v>41</v>
      </c>
      <c r="AQ1" s="7">
        <v>42</v>
      </c>
      <c r="AR1" s="7">
        <v>43</v>
      </c>
      <c r="AS1" s="7">
        <v>44</v>
      </c>
      <c r="AT1" s="7">
        <v>45</v>
      </c>
      <c r="AU1" s="7">
        <v>46</v>
      </c>
      <c r="AV1" s="7">
        <v>47</v>
      </c>
    </row>
    <row r="2" spans="1:48">
      <c r="F2" s="269" t="s">
        <v>537</v>
      </c>
      <c r="G2" s="270"/>
      <c r="H2" s="270"/>
      <c r="I2" s="271"/>
      <c r="J2" s="269" t="s">
        <v>538</v>
      </c>
      <c r="K2" s="270"/>
      <c r="L2" s="270"/>
      <c r="M2" s="271"/>
      <c r="N2" s="272" t="s">
        <v>114</v>
      </c>
      <c r="O2" s="273"/>
      <c r="P2" s="274"/>
      <c r="Q2" s="269" t="s">
        <v>119</v>
      </c>
      <c r="R2" s="270"/>
      <c r="S2" s="270"/>
      <c r="T2" s="270"/>
      <c r="U2" s="270"/>
      <c r="V2" s="271"/>
      <c r="AD2" s="269" t="s">
        <v>252</v>
      </c>
      <c r="AE2" s="270"/>
      <c r="AF2" s="270"/>
      <c r="AG2" s="271"/>
      <c r="AH2" s="269" t="s">
        <v>253</v>
      </c>
      <c r="AI2" s="270"/>
      <c r="AJ2" s="270"/>
      <c r="AK2" s="271"/>
      <c r="AM2" s="223" t="s">
        <v>167</v>
      </c>
      <c r="AN2" s="223" t="s">
        <v>168</v>
      </c>
      <c r="AO2" s="223" t="s">
        <v>167</v>
      </c>
      <c r="AP2" s="223" t="s">
        <v>168</v>
      </c>
      <c r="AQ2" s="223" t="s">
        <v>167</v>
      </c>
      <c r="AR2" s="223" t="s">
        <v>168</v>
      </c>
      <c r="AS2" s="223" t="s">
        <v>230</v>
      </c>
      <c r="AT2" s="224" t="s">
        <v>167</v>
      </c>
      <c r="AU2" s="224" t="s">
        <v>168</v>
      </c>
      <c r="AV2" s="223" t="s">
        <v>481</v>
      </c>
    </row>
    <row r="3" spans="1:48" ht="120" customHeight="1">
      <c r="A3" s="225" t="s">
        <v>34</v>
      </c>
      <c r="B3" s="225" t="s">
        <v>33</v>
      </c>
      <c r="C3" s="226" t="s">
        <v>222</v>
      </c>
      <c r="D3" s="226" t="s">
        <v>535</v>
      </c>
      <c r="E3" s="227" t="s">
        <v>536</v>
      </c>
      <c r="F3" s="228" t="s">
        <v>116</v>
      </c>
      <c r="G3" s="228" t="s">
        <v>117</v>
      </c>
      <c r="H3" s="228" t="s">
        <v>126</v>
      </c>
      <c r="I3" s="228" t="s">
        <v>115</v>
      </c>
      <c r="J3" s="228" t="s">
        <v>116</v>
      </c>
      <c r="K3" s="228" t="s">
        <v>117</v>
      </c>
      <c r="L3" s="228" t="s">
        <v>126</v>
      </c>
      <c r="M3" s="228" t="s">
        <v>115</v>
      </c>
      <c r="N3" s="229" t="s">
        <v>231</v>
      </c>
      <c r="O3" s="229" t="s">
        <v>118</v>
      </c>
      <c r="P3" s="229" t="s">
        <v>232</v>
      </c>
      <c r="Q3" s="225">
        <v>2025</v>
      </c>
      <c r="R3" s="225">
        <v>2026</v>
      </c>
      <c r="S3" s="225">
        <v>2027</v>
      </c>
      <c r="T3" s="225">
        <v>2028</v>
      </c>
      <c r="U3" s="225">
        <v>2029</v>
      </c>
      <c r="V3" s="2" t="s">
        <v>239</v>
      </c>
      <c r="W3" s="230" t="s">
        <v>185</v>
      </c>
      <c r="X3" s="226" t="s">
        <v>132</v>
      </c>
      <c r="Y3" s="226" t="s">
        <v>237</v>
      </c>
      <c r="Z3" s="226" t="s">
        <v>120</v>
      </c>
      <c r="AA3" s="226" t="s">
        <v>185</v>
      </c>
      <c r="AB3" s="226" t="s">
        <v>566</v>
      </c>
      <c r="AC3" s="230" t="s">
        <v>526</v>
      </c>
      <c r="AD3" s="231" t="s">
        <v>116</v>
      </c>
      <c r="AE3" s="231" t="s">
        <v>117</v>
      </c>
      <c r="AF3" s="231" t="s">
        <v>126</v>
      </c>
      <c r="AG3" s="231" t="s">
        <v>115</v>
      </c>
      <c r="AH3" s="231" t="s">
        <v>116</v>
      </c>
      <c r="AI3" s="231" t="s">
        <v>117</v>
      </c>
      <c r="AJ3" s="231" t="s">
        <v>126</v>
      </c>
      <c r="AK3" s="231" t="s">
        <v>115</v>
      </c>
      <c r="AL3" s="231" t="s">
        <v>185</v>
      </c>
      <c r="AM3" s="231" t="s">
        <v>115</v>
      </c>
      <c r="AN3" s="231" t="s">
        <v>115</v>
      </c>
      <c r="AO3" s="231" t="s">
        <v>116</v>
      </c>
      <c r="AP3" s="231" t="s">
        <v>116</v>
      </c>
      <c r="AQ3" s="230" t="s">
        <v>229</v>
      </c>
      <c r="AR3" s="230" t="s">
        <v>229</v>
      </c>
      <c r="AS3" s="230" t="s">
        <v>230</v>
      </c>
      <c r="AT3" s="232" t="s">
        <v>117</v>
      </c>
      <c r="AU3" s="231" t="s">
        <v>117</v>
      </c>
      <c r="AV3" s="231" t="s">
        <v>481</v>
      </c>
    </row>
    <row r="4" spans="1:48">
      <c r="A4" t="s">
        <v>37</v>
      </c>
      <c r="B4">
        <v>20100</v>
      </c>
      <c r="C4" s="8">
        <f>VLOOKUP(B4,'ER Contributions'!A:D,4,FALSE)</f>
        <v>223686</v>
      </c>
      <c r="D4" s="9">
        <f>VLOOKUP(B4,'ER Contributions'!A:D,3,FALSE)</f>
        <v>1.12929E-2</v>
      </c>
      <c r="E4" s="8">
        <f>VLOOKUP(B4,'75 - Summary Exhibit'!A:N,3,FALSE)</f>
        <v>300346</v>
      </c>
      <c r="F4" s="10">
        <f>VLOOKUP(B4,'75 - Summary Exhibit'!A:N,4,FALSE)</f>
        <v>263215</v>
      </c>
      <c r="G4" s="10">
        <f>VLOOKUP(B4,'75 - Summary Exhibit'!A:N,5,FALSE)</f>
        <v>392293</v>
      </c>
      <c r="H4" s="10">
        <f>VLOOKUP(B4,'75 - Summary Exhibit'!A:N,6,FALSE)</f>
        <v>21886</v>
      </c>
      <c r="I4" s="8">
        <f>VLOOKUP(B4,'75 - Summary Exhibit'!A:N,7,FALSE)</f>
        <v>16828</v>
      </c>
      <c r="J4" s="8">
        <f>VLOOKUP(B4,'75 - Summary Exhibit'!A:N,8,FALSE)</f>
        <v>166356</v>
      </c>
      <c r="K4" s="8">
        <f>VLOOKUP(B4,'75 - Summary Exhibit'!A:N,9,FALSE)</f>
        <v>0</v>
      </c>
      <c r="L4" s="8">
        <f>VLOOKUP(B4,'75 - Summary Exhibit'!A:N,10,FALSE)</f>
        <v>51270</v>
      </c>
      <c r="M4" s="8">
        <f>VLOOKUP(B4,'75 - Summary Exhibit'!A:N,11,FALSE)</f>
        <v>31827</v>
      </c>
      <c r="N4" s="8">
        <f>VLOOKUP(B4,'75 - Summary Exhibit'!A:N,12,FALSE)</f>
        <v>417781</v>
      </c>
      <c r="O4" s="8">
        <f>VLOOKUP(B4,'75 - Summary Exhibit'!A:N,13,FALSE)</f>
        <v>-7153</v>
      </c>
      <c r="P4" s="8">
        <f t="shared" ref="P4:P34" si="0">N4+O4</f>
        <v>410628</v>
      </c>
      <c r="Q4" s="8">
        <f>VLOOKUP(B4,'75- Deferred Amortization'!A:H,3,FALSE)</f>
        <v>139190</v>
      </c>
      <c r="R4" s="8">
        <f>VLOOKUP(B4,'75- Deferred Amortization'!A:H,4,FALSE)</f>
        <v>82042</v>
      </c>
      <c r="S4" s="8">
        <f>VLOOKUP(B4,'75- Deferred Amortization'!A:H,5,FALSE)</f>
        <v>134116</v>
      </c>
      <c r="T4" s="8">
        <f>VLOOKUP(B4,'75- Deferred Amortization'!A:H,6,FALSE)</f>
        <v>46644</v>
      </c>
      <c r="U4" s="8">
        <f>VLOOKUP(B4,'75- Deferred Amortization'!A:H,7,FALSE)</f>
        <v>24152</v>
      </c>
      <c r="V4" s="8">
        <f>VLOOKUP(B4,'75- Deferred Amortization'!A:H,8,FALSE)</f>
        <v>18625</v>
      </c>
      <c r="X4">
        <v>1</v>
      </c>
      <c r="Y4" s="8">
        <f t="shared" ref="Y4:Y35" si="1">ROUND(((F4-AD4)+(G4-AE4)+(H4-AF4)+(I4-AG4)+(AI4-K4)+P4-(E4-AC4)-(J4-AH4)-(L4-AJ4)-(M4-AK4)-C4),0)</f>
        <v>-677</v>
      </c>
      <c r="Z4" s="8">
        <f t="shared" ref="Z4:Z35" si="2">ROUND((F4+G4+H4+I4-J4-K4-L4-M4-Q4-R4-S4-T4-U4-V4),0)</f>
        <v>0</v>
      </c>
      <c r="AB4" s="8">
        <f>E4-AC4</f>
        <v>-14810</v>
      </c>
      <c r="AC4" s="8">
        <v>315156</v>
      </c>
      <c r="AD4" s="10">
        <v>353264</v>
      </c>
      <c r="AE4" s="10">
        <v>333336</v>
      </c>
      <c r="AF4" s="10">
        <v>20256</v>
      </c>
      <c r="AG4" s="8">
        <v>20882</v>
      </c>
      <c r="AH4" s="8">
        <v>0</v>
      </c>
      <c r="AI4" s="8">
        <v>0</v>
      </c>
      <c r="AJ4" s="8">
        <v>58385</v>
      </c>
      <c r="AK4" s="8">
        <v>22155</v>
      </c>
      <c r="AM4" s="8">
        <f t="shared" ref="AM4:AM35" si="3">I4-AG4</f>
        <v>-4054</v>
      </c>
      <c r="AN4" s="8">
        <f t="shared" ref="AN4:AN35" si="4">M4-AK4</f>
        <v>9672</v>
      </c>
      <c r="AO4" s="10">
        <f t="shared" ref="AO4:AO35" si="5">F4-AD4</f>
        <v>-90049</v>
      </c>
      <c r="AP4" s="8">
        <f t="shared" ref="AP4:AP35" si="6">J4-AH4</f>
        <v>166356</v>
      </c>
      <c r="AQ4" s="10">
        <f t="shared" ref="AQ4:AQ35" si="7">H4-AF4</f>
        <v>1630</v>
      </c>
      <c r="AR4" s="8">
        <f t="shared" ref="AR4:AR35" si="8">L4-AJ4</f>
        <v>-7115</v>
      </c>
      <c r="AS4" s="8">
        <f t="shared" ref="AS4:AS35" si="9">E4-AC4</f>
        <v>-14810</v>
      </c>
      <c r="AT4" s="10">
        <f t="shared" ref="AT4:AT35" si="10">G4-AE4</f>
        <v>58957</v>
      </c>
      <c r="AU4" s="8">
        <f t="shared" ref="AU4:AU35" si="11">K4-AI4</f>
        <v>0</v>
      </c>
      <c r="AV4" s="8">
        <f>AC4+AS4</f>
        <v>300346</v>
      </c>
    </row>
    <row r="5" spans="1:48">
      <c r="A5" t="s">
        <v>39</v>
      </c>
      <c r="B5">
        <v>20300</v>
      </c>
      <c r="C5" s="8">
        <f>VLOOKUP(B5,'ER Contributions'!A:D,4,FALSE)</f>
        <v>448006</v>
      </c>
      <c r="D5" s="9">
        <f>VLOOKUP(B5,'ER Contributions'!A:D,3,FALSE)</f>
        <v>2.3083200000000002E-2</v>
      </c>
      <c r="E5" s="8">
        <f>VLOOKUP(B5,'75 - Summary Exhibit'!A:N,3,FALSE)</f>
        <v>613921</v>
      </c>
      <c r="F5" s="10">
        <f>VLOOKUP(B5,'75 - Summary Exhibit'!A:N,4,FALSE)</f>
        <v>538023</v>
      </c>
      <c r="G5" s="10">
        <f>VLOOKUP(B5,'75 - Summary Exhibit'!A:N,5,FALSE)</f>
        <v>801864</v>
      </c>
      <c r="H5" s="10">
        <f>VLOOKUP(B5,'75 - Summary Exhibit'!A:N,6,FALSE)</f>
        <v>44735</v>
      </c>
      <c r="I5" s="8">
        <f>VLOOKUP(B5,'75 - Summary Exhibit'!A:N,7,FALSE)</f>
        <v>132644</v>
      </c>
      <c r="J5" s="8">
        <f>VLOOKUP(B5,'75 - Summary Exhibit'!A:N,8,FALSE)</f>
        <v>340039</v>
      </c>
      <c r="K5" s="8">
        <f>VLOOKUP(B5,'75 - Summary Exhibit'!A:N,9,FALSE)</f>
        <v>0</v>
      </c>
      <c r="L5" s="8">
        <f>VLOOKUP(B5,'75 - Summary Exhibit'!A:N,10,FALSE)</f>
        <v>104798</v>
      </c>
      <c r="M5" s="8">
        <f>VLOOKUP(B5,'75 - Summary Exhibit'!A:N,11,FALSE)</f>
        <v>28811</v>
      </c>
      <c r="N5" s="8">
        <f>VLOOKUP(B5,'75 - Summary Exhibit'!A:N,12,FALSE)</f>
        <v>853963</v>
      </c>
      <c r="O5" s="8">
        <f>VLOOKUP(B5,'75 - Summary Exhibit'!A:N,13,FALSE)</f>
        <v>5277</v>
      </c>
      <c r="P5" s="8">
        <f t="shared" si="0"/>
        <v>859240</v>
      </c>
      <c r="Q5" s="8">
        <f>VLOOKUP(B5,'75- Deferred Amortization'!A:H,3,FALSE)</f>
        <v>304413</v>
      </c>
      <c r="R5" s="8">
        <f>VLOOKUP(B5,'75- Deferred Amortization'!A:H,4,FALSE)</f>
        <v>200999</v>
      </c>
      <c r="S5" s="8">
        <f>VLOOKUP(B5,'75- Deferred Amortization'!A:H,5,FALSE)</f>
        <v>302451</v>
      </c>
      <c r="T5" s="8">
        <f>VLOOKUP(B5,'75- Deferred Amortization'!A:H,6,FALSE)</f>
        <v>123653</v>
      </c>
      <c r="U5" s="8">
        <f>VLOOKUP(B5,'75- Deferred Amortization'!A:H,7,FALSE)</f>
        <v>63594</v>
      </c>
      <c r="V5" s="8">
        <f>VLOOKUP(B5,'75- Deferred Amortization'!A:H,8,FALSE)</f>
        <v>48510</v>
      </c>
      <c r="X5">
        <v>1</v>
      </c>
      <c r="Y5" s="8">
        <f t="shared" si="1"/>
        <v>-1385</v>
      </c>
      <c r="Z5" s="8">
        <f t="shared" si="2"/>
        <v>-2</v>
      </c>
      <c r="AB5" s="8">
        <f t="shared" ref="AB5:AB68" si="12">E5-AC5</f>
        <v>-53145</v>
      </c>
      <c r="AC5" s="8">
        <v>667066</v>
      </c>
      <c r="AD5" s="10">
        <v>747725</v>
      </c>
      <c r="AE5" s="10">
        <v>705546</v>
      </c>
      <c r="AF5" s="10">
        <v>42874</v>
      </c>
      <c r="AG5" s="8">
        <v>157497</v>
      </c>
      <c r="AH5" s="8">
        <v>0</v>
      </c>
      <c r="AI5" s="8">
        <v>0</v>
      </c>
      <c r="AJ5" s="8">
        <v>123578</v>
      </c>
      <c r="AK5" s="8">
        <v>20682</v>
      </c>
      <c r="AM5" s="8">
        <f t="shared" si="3"/>
        <v>-24853</v>
      </c>
      <c r="AN5" s="8">
        <f t="shared" si="4"/>
        <v>8129</v>
      </c>
      <c r="AO5" s="10">
        <f t="shared" si="5"/>
        <v>-209702</v>
      </c>
      <c r="AP5" s="8">
        <f t="shared" si="6"/>
        <v>340039</v>
      </c>
      <c r="AQ5" s="10">
        <f t="shared" si="7"/>
        <v>1861</v>
      </c>
      <c r="AR5" s="8">
        <f t="shared" si="8"/>
        <v>-18780</v>
      </c>
      <c r="AS5" s="8">
        <f t="shared" si="9"/>
        <v>-53145</v>
      </c>
      <c r="AT5" s="10">
        <f t="shared" si="10"/>
        <v>96318</v>
      </c>
      <c r="AU5" s="8">
        <f t="shared" si="11"/>
        <v>0</v>
      </c>
      <c r="AV5" s="8">
        <f>AC5+AS5</f>
        <v>613921</v>
      </c>
    </row>
    <row r="6" spans="1:48">
      <c r="A6" t="s">
        <v>40</v>
      </c>
      <c r="B6">
        <v>20400</v>
      </c>
      <c r="C6" s="8">
        <f>VLOOKUP(B6,'ER Contributions'!A:D,4,FALSE)</f>
        <v>26243</v>
      </c>
      <c r="D6" s="9">
        <f>VLOOKUP(B6,'ER Contributions'!A:D,3,FALSE)</f>
        <v>1.2367999999999999E-3</v>
      </c>
      <c r="E6" s="8">
        <f>VLOOKUP(B6,'75 - Summary Exhibit'!A:N,3,FALSE)</f>
        <v>32894</v>
      </c>
      <c r="F6" s="10">
        <f>VLOOKUP(B6,'75 - Summary Exhibit'!A:N,4,FALSE)</f>
        <v>28827</v>
      </c>
      <c r="G6" s="10">
        <f>VLOOKUP(B6,'75 - Summary Exhibit'!A:N,5,FALSE)</f>
        <v>42964</v>
      </c>
      <c r="H6" s="10">
        <f>VLOOKUP(B6,'75 - Summary Exhibit'!A:N,6,FALSE)</f>
        <v>2397</v>
      </c>
      <c r="I6" s="8">
        <f>VLOOKUP(B6,'75 - Summary Exhibit'!A:N,7,FALSE)</f>
        <v>2725</v>
      </c>
      <c r="J6" s="8">
        <f>VLOOKUP(B6,'75 - Summary Exhibit'!A:N,8,FALSE)</f>
        <v>18219</v>
      </c>
      <c r="K6" s="8">
        <f>VLOOKUP(B6,'75 - Summary Exhibit'!A:N,9,FALSE)</f>
        <v>0</v>
      </c>
      <c r="L6" s="8">
        <f>VLOOKUP(B6,'75 - Summary Exhibit'!A:N,10,FALSE)</f>
        <v>5615</v>
      </c>
      <c r="M6" s="8">
        <f>VLOOKUP(B6,'75 - Summary Exhibit'!A:N,11,FALSE)</f>
        <v>116</v>
      </c>
      <c r="N6" s="8">
        <f>VLOOKUP(B6,'75 - Summary Exhibit'!A:N,12,FALSE)</f>
        <v>45755</v>
      </c>
      <c r="O6" s="8">
        <f>VLOOKUP(B6,'75 - Summary Exhibit'!A:N,13,FALSE)</f>
        <v>964</v>
      </c>
      <c r="P6" s="8">
        <f t="shared" si="0"/>
        <v>46719</v>
      </c>
      <c r="Q6" s="8">
        <f>VLOOKUP(B6,'75- Deferred Amortization'!A:H,3,FALSE)</f>
        <v>16995</v>
      </c>
      <c r="R6" s="8">
        <f>VLOOKUP(B6,'75- Deferred Amortization'!A:H,4,FALSE)</f>
        <v>10545</v>
      </c>
      <c r="S6" s="8">
        <f>VLOOKUP(B6,'75- Deferred Amortization'!A:H,5,FALSE)</f>
        <v>15263</v>
      </c>
      <c r="T6" s="8">
        <f>VLOOKUP(B6,'75- Deferred Amortization'!A:H,6,FALSE)</f>
        <v>5681</v>
      </c>
      <c r="U6" s="8">
        <f>VLOOKUP(B6,'75- Deferred Amortization'!A:H,7,FALSE)</f>
        <v>2600</v>
      </c>
      <c r="V6" s="8">
        <f>VLOOKUP(B6,'75- Deferred Amortization'!A:H,8,FALSE)</f>
        <v>1877</v>
      </c>
      <c r="X6">
        <v>1</v>
      </c>
      <c r="Y6" s="8">
        <f t="shared" si="1"/>
        <v>-76</v>
      </c>
      <c r="Z6" s="8">
        <f t="shared" si="2"/>
        <v>2</v>
      </c>
      <c r="AB6" s="8">
        <f t="shared" si="12"/>
        <v>-2771</v>
      </c>
      <c r="AC6" s="8">
        <v>35665</v>
      </c>
      <c r="AD6" s="10">
        <v>39977</v>
      </c>
      <c r="AE6" s="10">
        <v>37722</v>
      </c>
      <c r="AF6" s="10">
        <v>2292</v>
      </c>
      <c r="AG6" s="8">
        <v>3047</v>
      </c>
      <c r="AH6" s="8">
        <v>0</v>
      </c>
      <c r="AI6" s="8">
        <v>0</v>
      </c>
      <c r="AJ6" s="8">
        <v>6607</v>
      </c>
      <c r="AK6" s="8">
        <v>145</v>
      </c>
      <c r="AM6" s="8">
        <f t="shared" si="3"/>
        <v>-322</v>
      </c>
      <c r="AN6" s="8">
        <f t="shared" si="4"/>
        <v>-29</v>
      </c>
      <c r="AO6" s="10">
        <f t="shared" si="5"/>
        <v>-11150</v>
      </c>
      <c r="AP6" s="8">
        <f t="shared" si="6"/>
        <v>18219</v>
      </c>
      <c r="AQ6" s="10">
        <f t="shared" si="7"/>
        <v>105</v>
      </c>
      <c r="AR6" s="8">
        <f t="shared" si="8"/>
        <v>-992</v>
      </c>
      <c r="AS6" s="8">
        <f t="shared" si="9"/>
        <v>-2771</v>
      </c>
      <c r="AT6" s="10">
        <f t="shared" si="10"/>
        <v>5242</v>
      </c>
      <c r="AU6" s="8">
        <f t="shared" si="11"/>
        <v>0</v>
      </c>
      <c r="AV6" s="8">
        <f t="shared" ref="AV6:AV69" si="13">AC6+AS6</f>
        <v>32894</v>
      </c>
    </row>
    <row r="7" spans="1:48">
      <c r="A7" t="s">
        <v>41</v>
      </c>
      <c r="B7">
        <v>20600</v>
      </c>
      <c r="C7" s="8">
        <f>VLOOKUP(B7,'ER Contributions'!A:D,4,FALSE)</f>
        <v>59001</v>
      </c>
      <c r="D7" s="9">
        <f>VLOOKUP(B7,'ER Contributions'!A:D,3,FALSE)</f>
        <v>2.7596000000000001E-3</v>
      </c>
      <c r="E7" s="8">
        <f>VLOOKUP(B7,'75 - Summary Exhibit'!A:N,3,FALSE)</f>
        <v>73394</v>
      </c>
      <c r="F7" s="10">
        <f>VLOOKUP(B7,'75 - Summary Exhibit'!A:N,4,FALSE)</f>
        <v>64321</v>
      </c>
      <c r="G7" s="10">
        <f>VLOOKUP(B7,'75 - Summary Exhibit'!A:N,5,FALSE)</f>
        <v>95863</v>
      </c>
      <c r="H7" s="10">
        <f>VLOOKUP(B7,'75 - Summary Exhibit'!A:N,6,FALSE)</f>
        <v>5348</v>
      </c>
      <c r="I7" s="8">
        <f>VLOOKUP(B7,'75 - Summary Exhibit'!A:N,7,FALSE)</f>
        <v>34504</v>
      </c>
      <c r="J7" s="8">
        <f>VLOOKUP(B7,'75 - Summary Exhibit'!A:N,8,FALSE)</f>
        <v>40652</v>
      </c>
      <c r="K7" s="8">
        <f>VLOOKUP(B7,'75 - Summary Exhibit'!A:N,9,FALSE)</f>
        <v>0</v>
      </c>
      <c r="L7" s="8">
        <f>VLOOKUP(B7,'75 - Summary Exhibit'!A:N,10,FALSE)</f>
        <v>12529</v>
      </c>
      <c r="M7" s="8">
        <f>VLOOKUP(B7,'75 - Summary Exhibit'!A:N,11,FALSE)</f>
        <v>3499</v>
      </c>
      <c r="N7" s="8">
        <f>VLOOKUP(B7,'75 - Summary Exhibit'!A:N,12,FALSE)</f>
        <v>102091</v>
      </c>
      <c r="O7" s="8">
        <f>VLOOKUP(B7,'75 - Summary Exhibit'!A:N,13,FALSE)</f>
        <v>4711</v>
      </c>
      <c r="P7" s="8">
        <f t="shared" si="0"/>
        <v>106802</v>
      </c>
      <c r="Q7" s="8">
        <f>VLOOKUP(B7,'75- Deferred Amortization'!A:H,3,FALSE)</f>
        <v>40475</v>
      </c>
      <c r="R7" s="8">
        <f>VLOOKUP(B7,'75- Deferred Amortization'!A:H,4,FALSE)</f>
        <v>28242</v>
      </c>
      <c r="S7" s="8">
        <f>VLOOKUP(B7,'75- Deferred Amortization'!A:H,5,FALSE)</f>
        <v>40333</v>
      </c>
      <c r="T7" s="8">
        <f>VLOOKUP(B7,'75- Deferred Amortization'!A:H,6,FALSE)</f>
        <v>18962</v>
      </c>
      <c r="U7" s="8">
        <f>VLOOKUP(B7,'75- Deferred Amortization'!A:H,7,FALSE)</f>
        <v>9895</v>
      </c>
      <c r="V7" s="8">
        <f>VLOOKUP(B7,'75- Deferred Amortization'!A:H,8,FALSE)</f>
        <v>5449</v>
      </c>
      <c r="X7">
        <v>1</v>
      </c>
      <c r="Y7" s="8">
        <f t="shared" si="1"/>
        <v>-166</v>
      </c>
      <c r="Z7" s="8">
        <f t="shared" si="2"/>
        <v>0</v>
      </c>
      <c r="AB7" s="8">
        <f t="shared" si="12"/>
        <v>-1315</v>
      </c>
      <c r="AC7" s="8">
        <v>74709</v>
      </c>
      <c r="AD7" s="10">
        <v>83743</v>
      </c>
      <c r="AE7" s="10">
        <v>79019</v>
      </c>
      <c r="AF7" s="10">
        <v>4802</v>
      </c>
      <c r="AG7" s="8">
        <v>41650</v>
      </c>
      <c r="AH7" s="8">
        <v>0</v>
      </c>
      <c r="AI7" s="8">
        <v>0</v>
      </c>
      <c r="AJ7" s="8">
        <v>13840</v>
      </c>
      <c r="AK7" s="8">
        <v>2736</v>
      </c>
      <c r="AM7" s="8">
        <f t="shared" si="3"/>
        <v>-7146</v>
      </c>
      <c r="AN7" s="8">
        <f t="shared" si="4"/>
        <v>763</v>
      </c>
      <c r="AO7" s="10">
        <f t="shared" si="5"/>
        <v>-19422</v>
      </c>
      <c r="AP7" s="8">
        <f t="shared" si="6"/>
        <v>40652</v>
      </c>
      <c r="AQ7" s="10">
        <f t="shared" si="7"/>
        <v>546</v>
      </c>
      <c r="AR7" s="8">
        <f t="shared" si="8"/>
        <v>-1311</v>
      </c>
      <c r="AS7" s="8">
        <f t="shared" si="9"/>
        <v>-1315</v>
      </c>
      <c r="AT7" s="10">
        <f t="shared" si="10"/>
        <v>16844</v>
      </c>
      <c r="AU7" s="8">
        <f t="shared" si="11"/>
        <v>0</v>
      </c>
      <c r="AV7" s="8">
        <f t="shared" si="13"/>
        <v>73394</v>
      </c>
    </row>
    <row r="8" spans="1:48">
      <c r="A8" t="s">
        <v>43</v>
      </c>
      <c r="B8">
        <v>20800</v>
      </c>
      <c r="C8" s="8">
        <f>VLOOKUP(B8,'ER Contributions'!A:D,4,FALSE)</f>
        <v>87899</v>
      </c>
      <c r="D8" s="9">
        <f>VLOOKUP(B8,'ER Contributions'!A:D,3,FALSE)</f>
        <v>3.9347000000000002E-3</v>
      </c>
      <c r="E8" s="8">
        <f>VLOOKUP(B8,'75 - Summary Exhibit'!A:N,3,FALSE)</f>
        <v>104647</v>
      </c>
      <c r="F8" s="10">
        <f>VLOOKUP(B8,'75 - Summary Exhibit'!A:N,4,FALSE)</f>
        <v>91710</v>
      </c>
      <c r="G8" s="10">
        <f>VLOOKUP(B8,'75 - Summary Exhibit'!A:N,5,FALSE)</f>
        <v>136684</v>
      </c>
      <c r="H8" s="10">
        <f>VLOOKUP(B8,'75 - Summary Exhibit'!A:N,6,FALSE)</f>
        <v>7625</v>
      </c>
      <c r="I8" s="8">
        <f>VLOOKUP(B8,'75 - Summary Exhibit'!A:N,7,FALSE)</f>
        <v>51144</v>
      </c>
      <c r="J8" s="8">
        <f>VLOOKUP(B8,'75 - Summary Exhibit'!A:N,8,FALSE)</f>
        <v>57962</v>
      </c>
      <c r="K8" s="8">
        <f>VLOOKUP(B8,'75 - Summary Exhibit'!A:N,9,FALSE)</f>
        <v>0</v>
      </c>
      <c r="L8" s="8">
        <f>VLOOKUP(B8,'75 - Summary Exhibit'!A:N,10,FALSE)</f>
        <v>17864</v>
      </c>
      <c r="M8" s="8">
        <f>VLOOKUP(B8,'75 - Summary Exhibit'!A:N,11,FALSE)</f>
        <v>0</v>
      </c>
      <c r="N8" s="8">
        <f>VLOOKUP(B8,'75 - Summary Exhibit'!A:N,12,FALSE)</f>
        <v>145564</v>
      </c>
      <c r="O8" s="8">
        <f>VLOOKUP(B8,'75 - Summary Exhibit'!A:N,13,FALSE)</f>
        <v>16727</v>
      </c>
      <c r="P8" s="8">
        <f t="shared" si="0"/>
        <v>162291</v>
      </c>
      <c r="Q8" s="8">
        <f>VLOOKUP(B8,'75- Deferred Amortization'!A:H,3,FALSE)</f>
        <v>67715</v>
      </c>
      <c r="R8" s="8">
        <f>VLOOKUP(B8,'75- Deferred Amortization'!A:H,4,FALSE)</f>
        <v>45450</v>
      </c>
      <c r="S8" s="8">
        <f>VLOOKUP(B8,'75- Deferred Amortization'!A:H,5,FALSE)</f>
        <v>54799</v>
      </c>
      <c r="T8" s="8">
        <f>VLOOKUP(B8,'75- Deferred Amortization'!A:H,6,FALSE)</f>
        <v>24324</v>
      </c>
      <c r="U8" s="8">
        <f>VLOOKUP(B8,'75- Deferred Amortization'!A:H,7,FALSE)</f>
        <v>11313</v>
      </c>
      <c r="V8" s="8">
        <f>VLOOKUP(B8,'75- Deferred Amortization'!A:H,8,FALSE)</f>
        <v>7738</v>
      </c>
      <c r="X8">
        <v>1</v>
      </c>
      <c r="Y8" s="8">
        <f t="shared" si="1"/>
        <v>-237</v>
      </c>
      <c r="Z8" s="8">
        <f t="shared" si="2"/>
        <v>-2</v>
      </c>
      <c r="AB8" s="8">
        <f t="shared" si="12"/>
        <v>-20687</v>
      </c>
      <c r="AC8" s="8">
        <v>125334</v>
      </c>
      <c r="AD8" s="10">
        <v>140489</v>
      </c>
      <c r="AE8" s="10">
        <v>132564</v>
      </c>
      <c r="AF8" s="10">
        <v>8056</v>
      </c>
      <c r="AG8" s="8">
        <v>48763</v>
      </c>
      <c r="AH8" s="8">
        <v>0</v>
      </c>
      <c r="AI8" s="8">
        <v>0</v>
      </c>
      <c r="AJ8" s="8">
        <v>23219</v>
      </c>
      <c r="AK8" s="8">
        <v>0</v>
      </c>
      <c r="AM8" s="8">
        <f t="shared" si="3"/>
        <v>2381</v>
      </c>
      <c r="AN8" s="8">
        <f t="shared" si="4"/>
        <v>0</v>
      </c>
      <c r="AO8" s="10">
        <f t="shared" si="5"/>
        <v>-48779</v>
      </c>
      <c r="AP8" s="8">
        <f t="shared" si="6"/>
        <v>57962</v>
      </c>
      <c r="AQ8" s="10">
        <f t="shared" si="7"/>
        <v>-431</v>
      </c>
      <c r="AR8" s="8">
        <f t="shared" si="8"/>
        <v>-5355</v>
      </c>
      <c r="AS8" s="8">
        <f t="shared" si="9"/>
        <v>-20687</v>
      </c>
      <c r="AT8" s="10">
        <f t="shared" si="10"/>
        <v>4120</v>
      </c>
      <c r="AU8" s="8">
        <f t="shared" si="11"/>
        <v>0</v>
      </c>
      <c r="AV8" s="8">
        <f t="shared" si="13"/>
        <v>104647</v>
      </c>
    </row>
    <row r="9" spans="1:48">
      <c r="A9" t="s">
        <v>36</v>
      </c>
      <c r="B9">
        <v>10950</v>
      </c>
      <c r="C9" s="8">
        <f>VLOOKUP(B9,'ER Contributions'!A:D,4,FALSE)</f>
        <v>20307</v>
      </c>
      <c r="D9" s="9">
        <f>VLOOKUP(B9,'ER Contributions'!A:D,3,FALSE)</f>
        <v>1.016E-3</v>
      </c>
      <c r="E9" s="8">
        <f>VLOOKUP(B9,'75 - Summary Exhibit'!A:N,3,FALSE)</f>
        <v>27022</v>
      </c>
      <c r="F9" s="10">
        <f>VLOOKUP(B9,'75 - Summary Exhibit'!A:N,4,FALSE)</f>
        <v>23681</v>
      </c>
      <c r="G9" s="10">
        <f>VLOOKUP(B9,'75 - Summary Exhibit'!A:N,5,FALSE)</f>
        <v>35294</v>
      </c>
      <c r="H9" s="10">
        <f>VLOOKUP(B9,'75 - Summary Exhibit'!A:N,6,FALSE)</f>
        <v>1969</v>
      </c>
      <c r="I9" s="8">
        <f>VLOOKUP(B9,'75 - Summary Exhibit'!A:N,7,FALSE)</f>
        <v>2013</v>
      </c>
      <c r="J9" s="8">
        <f>VLOOKUP(B9,'75 - Summary Exhibit'!A:N,8,FALSE)</f>
        <v>14967</v>
      </c>
      <c r="K9" s="8">
        <f>VLOOKUP(B9,'75 - Summary Exhibit'!A:N,9,FALSE)</f>
        <v>0</v>
      </c>
      <c r="L9" s="8">
        <f>VLOOKUP(B9,'75 - Summary Exhibit'!A:N,10,FALSE)</f>
        <v>4613</v>
      </c>
      <c r="M9" s="8">
        <f>VLOOKUP(B9,'75 - Summary Exhibit'!A:N,11,FALSE)</f>
        <v>9054</v>
      </c>
      <c r="N9" s="8">
        <f>VLOOKUP(B9,'75 - Summary Exhibit'!A:N,12,FALSE)</f>
        <v>37587</v>
      </c>
      <c r="O9" s="8">
        <f>VLOOKUP(B9,'75 - Summary Exhibit'!A:N,13,FALSE)</f>
        <v>-2785</v>
      </c>
      <c r="P9" s="8">
        <f t="shared" si="0"/>
        <v>34802</v>
      </c>
      <c r="Q9" s="8">
        <f>VLOOKUP(B9,'75- Deferred Amortization'!A:H,3,FALSE)</f>
        <v>10385</v>
      </c>
      <c r="R9" s="8">
        <f>VLOOKUP(B9,'75- Deferred Amortization'!A:H,4,FALSE)</f>
        <v>5730</v>
      </c>
      <c r="S9" s="8">
        <f>VLOOKUP(B9,'75- Deferred Amortization'!A:H,5,FALSE)</f>
        <v>11333</v>
      </c>
      <c r="T9" s="8">
        <f>VLOOKUP(B9,'75- Deferred Amortization'!A:H,6,FALSE)</f>
        <v>3464</v>
      </c>
      <c r="U9" s="8">
        <f>VLOOKUP(B9,'75- Deferred Amortization'!A:H,7,FALSE)</f>
        <v>1627</v>
      </c>
      <c r="V9" s="8">
        <f>VLOOKUP(B9,'75- Deferred Amortization'!A:H,8,FALSE)</f>
        <v>1784</v>
      </c>
      <c r="X9">
        <v>1</v>
      </c>
      <c r="Y9" s="8">
        <f t="shared" si="1"/>
        <v>-62</v>
      </c>
      <c r="Z9" s="8">
        <f t="shared" si="2"/>
        <v>0</v>
      </c>
      <c r="AB9" s="8">
        <f t="shared" si="12"/>
        <v>1445</v>
      </c>
      <c r="AC9" s="8">
        <v>25577</v>
      </c>
      <c r="AD9" s="10">
        <v>28670</v>
      </c>
      <c r="AE9" s="10">
        <v>27053</v>
      </c>
      <c r="AF9" s="10">
        <v>1644</v>
      </c>
      <c r="AG9" s="8">
        <v>2348</v>
      </c>
      <c r="AH9" s="8">
        <v>0</v>
      </c>
      <c r="AI9" s="8">
        <v>0</v>
      </c>
      <c r="AJ9" s="8">
        <v>4738</v>
      </c>
      <c r="AK9" s="8">
        <v>7542</v>
      </c>
      <c r="AM9" s="8">
        <f t="shared" si="3"/>
        <v>-335</v>
      </c>
      <c r="AN9" s="8">
        <f t="shared" si="4"/>
        <v>1512</v>
      </c>
      <c r="AO9" s="10">
        <f t="shared" si="5"/>
        <v>-4989</v>
      </c>
      <c r="AP9" s="8">
        <f t="shared" si="6"/>
        <v>14967</v>
      </c>
      <c r="AQ9" s="10">
        <f t="shared" si="7"/>
        <v>325</v>
      </c>
      <c r="AR9" s="8">
        <f t="shared" si="8"/>
        <v>-125</v>
      </c>
      <c r="AS9" s="8">
        <f t="shared" si="9"/>
        <v>1445</v>
      </c>
      <c r="AT9" s="10">
        <f t="shared" si="10"/>
        <v>8241</v>
      </c>
      <c r="AU9" s="8">
        <f t="shared" si="11"/>
        <v>0</v>
      </c>
      <c r="AV9" s="8">
        <f t="shared" si="13"/>
        <v>27022</v>
      </c>
    </row>
    <row r="10" spans="1:48">
      <c r="A10" t="s">
        <v>38</v>
      </c>
      <c r="B10">
        <v>20200</v>
      </c>
      <c r="C10" s="8">
        <f>VLOOKUP(B10,'ER Contributions'!A:D,4,FALSE)</f>
        <v>32339</v>
      </c>
      <c r="D10" s="9">
        <f>VLOOKUP(B10,'ER Contributions'!A:D,3,FALSE)</f>
        <v>1.5417E-3</v>
      </c>
      <c r="E10" s="8">
        <f>VLOOKUP(B10,'75 - Summary Exhibit'!A:N,3,FALSE)</f>
        <v>41003</v>
      </c>
      <c r="F10" s="10">
        <f>VLOOKUP(B10,'75 - Summary Exhibit'!A:N,4,FALSE)</f>
        <v>35934</v>
      </c>
      <c r="G10" s="10">
        <f>VLOOKUP(B10,'75 - Summary Exhibit'!A:N,5,FALSE)</f>
        <v>53556</v>
      </c>
      <c r="H10" s="10">
        <f>VLOOKUP(B10,'75 - Summary Exhibit'!A:N,6,FALSE)</f>
        <v>2988</v>
      </c>
      <c r="I10" s="8">
        <f>VLOOKUP(B10,'75 - Summary Exhibit'!A:N,7,FALSE)</f>
        <v>6820</v>
      </c>
      <c r="J10" s="8">
        <f>VLOOKUP(B10,'75 - Summary Exhibit'!A:N,8,FALSE)</f>
        <v>22711</v>
      </c>
      <c r="K10" s="8">
        <f>VLOOKUP(B10,'75 - Summary Exhibit'!A:N,9,FALSE)</f>
        <v>0</v>
      </c>
      <c r="L10" s="8">
        <f>VLOOKUP(B10,'75 - Summary Exhibit'!A:N,10,FALSE)</f>
        <v>6999</v>
      </c>
      <c r="M10" s="8">
        <f>VLOOKUP(B10,'75 - Summary Exhibit'!A:N,11,FALSE)</f>
        <v>871</v>
      </c>
      <c r="N10" s="8">
        <f>VLOOKUP(B10,'75 - Summary Exhibit'!A:N,12,FALSE)</f>
        <v>57035</v>
      </c>
      <c r="O10" s="8">
        <f>VLOOKUP(B10,'75 - Summary Exhibit'!A:N,13,FALSE)</f>
        <v>1501</v>
      </c>
      <c r="P10" s="8">
        <f t="shared" si="0"/>
        <v>58536</v>
      </c>
      <c r="Q10" s="8">
        <f>VLOOKUP(B10,'75- Deferred Amortization'!A:H,3,FALSE)</f>
        <v>21477</v>
      </c>
      <c r="R10" s="8">
        <f>VLOOKUP(B10,'75- Deferred Amortization'!A:H,4,FALSE)</f>
        <v>13573</v>
      </c>
      <c r="S10" s="8">
        <f>VLOOKUP(B10,'75- Deferred Amortization'!A:H,5,FALSE)</f>
        <v>19269</v>
      </c>
      <c r="T10" s="8">
        <f>VLOOKUP(B10,'75- Deferred Amortization'!A:H,6,FALSE)</f>
        <v>7328</v>
      </c>
      <c r="U10" s="8">
        <f>VLOOKUP(B10,'75- Deferred Amortization'!A:H,7,FALSE)</f>
        <v>4023</v>
      </c>
      <c r="V10" s="8">
        <f>VLOOKUP(B10,'75- Deferred Amortization'!A:H,8,FALSE)</f>
        <v>3046</v>
      </c>
      <c r="X10">
        <v>1</v>
      </c>
      <c r="Y10" s="8">
        <f t="shared" si="1"/>
        <v>-92</v>
      </c>
      <c r="Z10" s="8">
        <f t="shared" si="2"/>
        <v>1</v>
      </c>
      <c r="AB10" s="8">
        <f t="shared" si="12"/>
        <v>-4324</v>
      </c>
      <c r="AC10" s="8">
        <v>45327</v>
      </c>
      <c r="AD10" s="10">
        <v>50808</v>
      </c>
      <c r="AE10" s="10">
        <v>47942</v>
      </c>
      <c r="AF10" s="10">
        <v>2913</v>
      </c>
      <c r="AG10" s="8">
        <v>7153</v>
      </c>
      <c r="AH10" s="8">
        <v>0</v>
      </c>
      <c r="AI10" s="8">
        <v>0</v>
      </c>
      <c r="AJ10" s="8">
        <v>8397</v>
      </c>
      <c r="AK10" s="8">
        <v>1089</v>
      </c>
      <c r="AM10" s="8">
        <f t="shared" si="3"/>
        <v>-333</v>
      </c>
      <c r="AN10" s="8">
        <f t="shared" si="4"/>
        <v>-218</v>
      </c>
      <c r="AO10" s="10">
        <f t="shared" si="5"/>
        <v>-14874</v>
      </c>
      <c r="AP10" s="8">
        <f t="shared" si="6"/>
        <v>22711</v>
      </c>
      <c r="AQ10" s="10">
        <f t="shared" si="7"/>
        <v>75</v>
      </c>
      <c r="AR10" s="8">
        <f t="shared" si="8"/>
        <v>-1398</v>
      </c>
      <c r="AS10" s="8">
        <f t="shared" si="9"/>
        <v>-4324</v>
      </c>
      <c r="AT10" s="10">
        <f t="shared" si="10"/>
        <v>5614</v>
      </c>
      <c r="AU10" s="8">
        <f t="shared" si="11"/>
        <v>0</v>
      </c>
      <c r="AV10" s="8">
        <f t="shared" si="13"/>
        <v>41003</v>
      </c>
    </row>
    <row r="11" spans="1:48">
      <c r="A11" t="s">
        <v>46</v>
      </c>
      <c r="B11">
        <v>21300</v>
      </c>
      <c r="C11" s="8">
        <f>VLOOKUP(B11,'ER Contributions'!A:D,4,FALSE)</f>
        <v>759708</v>
      </c>
      <c r="D11" s="9">
        <f>VLOOKUP(B11,'ER Contributions'!A:D,3,FALSE)</f>
        <v>3.8789900000000002E-2</v>
      </c>
      <c r="E11" s="8">
        <f>VLOOKUP(B11,'75 - Summary Exhibit'!A:N,3,FALSE)</f>
        <v>1031656</v>
      </c>
      <c r="F11" s="10">
        <f>VLOOKUP(B11,'75 - Summary Exhibit'!A:N,4,FALSE)</f>
        <v>904115</v>
      </c>
      <c r="G11" s="10">
        <f>VLOOKUP(B11,'75 - Summary Exhibit'!A:N,5,FALSE)</f>
        <v>1347484</v>
      </c>
      <c r="H11" s="10">
        <f>VLOOKUP(B11,'75 - Summary Exhibit'!A:N,6,FALSE)</f>
        <v>75175</v>
      </c>
      <c r="I11" s="8">
        <f>VLOOKUP(B11,'75 - Summary Exhibit'!A:N,7,FALSE)</f>
        <v>134573</v>
      </c>
      <c r="J11" s="8">
        <f>VLOOKUP(B11,'75 - Summary Exhibit'!A:N,8,FALSE)</f>
        <v>571414</v>
      </c>
      <c r="K11" s="8">
        <f>VLOOKUP(B11,'75 - Summary Exhibit'!A:N,9,FALSE)</f>
        <v>0</v>
      </c>
      <c r="L11" s="8">
        <f>VLOOKUP(B11,'75 - Summary Exhibit'!A:N,10,FALSE)</f>
        <v>176106</v>
      </c>
      <c r="M11" s="8">
        <f>VLOOKUP(B11,'75 - Summary Exhibit'!A:N,11,FALSE)</f>
        <v>103254</v>
      </c>
      <c r="N11" s="8">
        <f>VLOOKUP(B11,'75 - Summary Exhibit'!A:N,12,FALSE)</f>
        <v>1435032</v>
      </c>
      <c r="O11" s="8">
        <f>VLOOKUP(B11,'75 - Summary Exhibit'!A:N,13,FALSE)</f>
        <v>-15596</v>
      </c>
      <c r="P11" s="8">
        <f t="shared" si="0"/>
        <v>1419436</v>
      </c>
      <c r="Q11" s="8">
        <f>VLOOKUP(B11,'75- Deferred Amortization'!A:H,3,FALSE)</f>
        <v>487085</v>
      </c>
      <c r="R11" s="8">
        <f>VLOOKUP(B11,'75- Deferred Amortization'!A:H,4,FALSE)</f>
        <v>302629</v>
      </c>
      <c r="S11" s="8">
        <f>VLOOKUP(B11,'75- Deferred Amortization'!A:H,5,FALSE)</f>
        <v>479587</v>
      </c>
      <c r="T11" s="8">
        <f>VLOOKUP(B11,'75- Deferred Amortization'!A:H,6,FALSE)</f>
        <v>179117</v>
      </c>
      <c r="U11" s="8">
        <f>VLOOKUP(B11,'75- Deferred Amortization'!A:H,7,FALSE)</f>
        <v>89246</v>
      </c>
      <c r="V11" s="8">
        <f>VLOOKUP(B11,'75- Deferred Amortization'!A:H,8,FALSE)</f>
        <v>72909</v>
      </c>
      <c r="X11">
        <v>1</v>
      </c>
      <c r="Y11" s="8">
        <f t="shared" si="1"/>
        <v>-2325</v>
      </c>
      <c r="Z11" s="8">
        <f t="shared" si="2"/>
        <v>0</v>
      </c>
      <c r="AB11" s="8">
        <f t="shared" si="12"/>
        <v>-64460</v>
      </c>
      <c r="AC11" s="8">
        <v>1096116</v>
      </c>
      <c r="AD11" s="10">
        <v>1228653</v>
      </c>
      <c r="AE11" s="10">
        <v>1159345</v>
      </c>
      <c r="AF11" s="10">
        <v>70451</v>
      </c>
      <c r="AG11" s="8">
        <v>159361</v>
      </c>
      <c r="AH11" s="8">
        <v>0</v>
      </c>
      <c r="AI11" s="8">
        <v>0</v>
      </c>
      <c r="AJ11" s="8">
        <v>203062</v>
      </c>
      <c r="AK11" s="8">
        <v>77662</v>
      </c>
      <c r="AM11" s="8">
        <f t="shared" si="3"/>
        <v>-24788</v>
      </c>
      <c r="AN11" s="8">
        <f t="shared" si="4"/>
        <v>25592</v>
      </c>
      <c r="AO11" s="10">
        <f t="shared" si="5"/>
        <v>-324538</v>
      </c>
      <c r="AP11" s="8">
        <f t="shared" si="6"/>
        <v>571414</v>
      </c>
      <c r="AQ11" s="10">
        <f t="shared" si="7"/>
        <v>4724</v>
      </c>
      <c r="AR11" s="8">
        <f t="shared" si="8"/>
        <v>-26956</v>
      </c>
      <c r="AS11" s="8">
        <f t="shared" si="9"/>
        <v>-64460</v>
      </c>
      <c r="AT11" s="10">
        <f t="shared" si="10"/>
        <v>188139</v>
      </c>
      <c r="AU11" s="8">
        <f t="shared" si="11"/>
        <v>0</v>
      </c>
      <c r="AV11" s="8">
        <f t="shared" si="13"/>
        <v>1031656</v>
      </c>
    </row>
    <row r="12" spans="1:48">
      <c r="A12" t="s">
        <v>42</v>
      </c>
      <c r="B12">
        <v>20700</v>
      </c>
      <c r="C12" s="8">
        <f>VLOOKUP(B12,'ER Contributions'!A:D,4,FALSE)</f>
        <v>124502</v>
      </c>
      <c r="D12" s="9">
        <f>VLOOKUP(B12,'ER Contributions'!A:D,3,FALSE)</f>
        <v>5.8196000000000003E-3</v>
      </c>
      <c r="E12" s="8">
        <f>VLOOKUP(B12,'75 - Summary Exhibit'!A:N,3,FALSE)</f>
        <v>154778</v>
      </c>
      <c r="F12" s="10">
        <f>VLOOKUP(B12,'75 - Summary Exhibit'!A:N,4,FALSE)</f>
        <v>135643</v>
      </c>
      <c r="G12" s="10">
        <f>VLOOKUP(B12,'75 - Summary Exhibit'!A:N,5,FALSE)</f>
        <v>202161</v>
      </c>
      <c r="H12" s="10">
        <f>VLOOKUP(B12,'75 - Summary Exhibit'!A:N,6,FALSE)</f>
        <v>11278</v>
      </c>
      <c r="I12" s="8">
        <f>VLOOKUP(B12,'75 - Summary Exhibit'!A:N,7,FALSE)</f>
        <v>33148</v>
      </c>
      <c r="J12" s="8">
        <f>VLOOKUP(B12,'75 - Summary Exhibit'!A:N,8,FALSE)</f>
        <v>85729</v>
      </c>
      <c r="K12" s="8">
        <f>VLOOKUP(B12,'75 - Summary Exhibit'!A:N,9,FALSE)</f>
        <v>0</v>
      </c>
      <c r="L12" s="8">
        <f>VLOOKUP(B12,'75 - Summary Exhibit'!A:N,10,FALSE)</f>
        <v>26421</v>
      </c>
      <c r="M12" s="8">
        <f>VLOOKUP(B12,'75 - Summary Exhibit'!A:N,11,FALSE)</f>
        <v>5512</v>
      </c>
      <c r="N12" s="8">
        <f>VLOOKUP(B12,'75 - Summary Exhibit'!A:N,12,FALSE)</f>
        <v>215296</v>
      </c>
      <c r="O12" s="8">
        <f>VLOOKUP(B12,'75 - Summary Exhibit'!A:N,13,FALSE)</f>
        <v>8793</v>
      </c>
      <c r="P12" s="8">
        <f t="shared" si="0"/>
        <v>224089</v>
      </c>
      <c r="Q12" s="8">
        <f>VLOOKUP(B12,'75- Deferred Amortization'!A:H,3,FALSE)</f>
        <v>84208</v>
      </c>
      <c r="R12" s="8">
        <f>VLOOKUP(B12,'75- Deferred Amortization'!A:H,4,FALSE)</f>
        <v>55118</v>
      </c>
      <c r="S12" s="8">
        <f>VLOOKUP(B12,'75- Deferred Amortization'!A:H,5,FALSE)</f>
        <v>74230</v>
      </c>
      <c r="T12" s="8">
        <f>VLOOKUP(B12,'75- Deferred Amortization'!A:H,6,FALSE)</f>
        <v>29152</v>
      </c>
      <c r="U12" s="8">
        <f>VLOOKUP(B12,'75- Deferred Amortization'!A:H,7,FALSE)</f>
        <v>12039</v>
      </c>
      <c r="V12" s="8">
        <f>VLOOKUP(B12,'75- Deferred Amortization'!A:H,8,FALSE)</f>
        <v>9822</v>
      </c>
      <c r="X12">
        <v>1</v>
      </c>
      <c r="Y12" s="8">
        <f t="shared" si="1"/>
        <v>-351</v>
      </c>
      <c r="Z12" s="8">
        <f t="shared" si="2"/>
        <v>-1</v>
      </c>
      <c r="AB12" s="8">
        <f t="shared" si="12"/>
        <v>-20816</v>
      </c>
      <c r="AC12" s="8">
        <v>175594</v>
      </c>
      <c r="AD12" s="10">
        <v>196826</v>
      </c>
      <c r="AE12" s="10">
        <v>185723</v>
      </c>
      <c r="AF12" s="10">
        <v>11286</v>
      </c>
      <c r="AG12" s="8">
        <v>30631</v>
      </c>
      <c r="AH12" s="8">
        <v>0</v>
      </c>
      <c r="AI12" s="8">
        <v>0</v>
      </c>
      <c r="AJ12" s="8">
        <v>32530</v>
      </c>
      <c r="AK12" s="8">
        <v>6614</v>
      </c>
      <c r="AM12" s="8">
        <f t="shared" si="3"/>
        <v>2517</v>
      </c>
      <c r="AN12" s="8">
        <f t="shared" si="4"/>
        <v>-1102</v>
      </c>
      <c r="AO12" s="10">
        <f t="shared" si="5"/>
        <v>-61183</v>
      </c>
      <c r="AP12" s="8">
        <f t="shared" si="6"/>
        <v>85729</v>
      </c>
      <c r="AQ12" s="10">
        <f t="shared" si="7"/>
        <v>-8</v>
      </c>
      <c r="AR12" s="8">
        <f t="shared" si="8"/>
        <v>-6109</v>
      </c>
      <c r="AS12" s="8">
        <f t="shared" si="9"/>
        <v>-20816</v>
      </c>
      <c r="AT12" s="10">
        <f t="shared" si="10"/>
        <v>16438</v>
      </c>
      <c r="AU12" s="8">
        <f t="shared" si="11"/>
        <v>0</v>
      </c>
      <c r="AV12" s="8">
        <f t="shared" si="13"/>
        <v>154778</v>
      </c>
    </row>
    <row r="13" spans="1:48">
      <c r="A13" t="s">
        <v>45</v>
      </c>
      <c r="B13">
        <v>21200</v>
      </c>
      <c r="C13" s="8">
        <f>VLOOKUP(B13,'ER Contributions'!A:D,4,FALSE)</f>
        <v>61548</v>
      </c>
      <c r="D13" s="9">
        <f>VLOOKUP(B13,'ER Contributions'!A:D,3,FALSE)</f>
        <v>3.1254999999999998E-3</v>
      </c>
      <c r="E13" s="8">
        <f>VLOOKUP(B13,'75 - Summary Exhibit'!A:N,3,FALSE)</f>
        <v>83126</v>
      </c>
      <c r="F13" s="10">
        <f>VLOOKUP(B13,'75 - Summary Exhibit'!A:N,4,FALSE)</f>
        <v>72849</v>
      </c>
      <c r="G13" s="10">
        <f>VLOOKUP(B13,'75 - Summary Exhibit'!A:N,5,FALSE)</f>
        <v>108574</v>
      </c>
      <c r="H13" s="10">
        <f>VLOOKUP(B13,'75 - Summary Exhibit'!A:N,6,FALSE)</f>
        <v>6057</v>
      </c>
      <c r="I13" s="8">
        <f>VLOOKUP(B13,'75 - Summary Exhibit'!A:N,7,FALSE)</f>
        <v>9730</v>
      </c>
      <c r="J13" s="8">
        <f>VLOOKUP(B13,'75 - Summary Exhibit'!A:N,8,FALSE)</f>
        <v>46042</v>
      </c>
      <c r="K13" s="8">
        <f>VLOOKUP(B13,'75 - Summary Exhibit'!A:N,9,FALSE)</f>
        <v>0</v>
      </c>
      <c r="L13" s="8">
        <f>VLOOKUP(B13,'75 - Summary Exhibit'!A:N,10,FALSE)</f>
        <v>14190</v>
      </c>
      <c r="M13" s="8">
        <f>VLOOKUP(B13,'75 - Summary Exhibit'!A:N,11,FALSE)</f>
        <v>8789</v>
      </c>
      <c r="N13" s="8">
        <f>VLOOKUP(B13,'75 - Summary Exhibit'!A:N,12,FALSE)</f>
        <v>115628</v>
      </c>
      <c r="O13" s="8">
        <f>VLOOKUP(B13,'75 - Summary Exhibit'!A:N,13,FALSE)</f>
        <v>-669</v>
      </c>
      <c r="P13" s="8">
        <f t="shared" si="0"/>
        <v>114959</v>
      </c>
      <c r="Q13" s="8">
        <f>VLOOKUP(B13,'75- Deferred Amortization'!A:H,3,FALSE)</f>
        <v>39832</v>
      </c>
      <c r="R13" s="8">
        <f>VLOOKUP(B13,'75- Deferred Amortization'!A:H,4,FALSE)</f>
        <v>24420</v>
      </c>
      <c r="S13" s="8">
        <f>VLOOKUP(B13,'75- Deferred Amortization'!A:H,5,FALSE)</f>
        <v>38046</v>
      </c>
      <c r="T13" s="8">
        <f>VLOOKUP(B13,'75- Deferred Amortization'!A:H,6,FALSE)</f>
        <v>13833</v>
      </c>
      <c r="U13" s="8">
        <f>VLOOKUP(B13,'75- Deferred Amortization'!A:H,7,FALSE)</f>
        <v>6438</v>
      </c>
      <c r="V13" s="8">
        <f>VLOOKUP(B13,'75- Deferred Amortization'!A:H,8,FALSE)</f>
        <v>5622</v>
      </c>
      <c r="X13">
        <v>1</v>
      </c>
      <c r="Y13" s="8">
        <f t="shared" si="1"/>
        <v>-189</v>
      </c>
      <c r="Z13" s="8">
        <f t="shared" si="2"/>
        <v>-2</v>
      </c>
      <c r="AB13" s="8">
        <f t="shared" si="12"/>
        <v>-6665</v>
      </c>
      <c r="AC13" s="8">
        <v>89791</v>
      </c>
      <c r="AD13" s="10">
        <v>100649</v>
      </c>
      <c r="AE13" s="10">
        <v>94971</v>
      </c>
      <c r="AF13" s="10">
        <v>5771</v>
      </c>
      <c r="AG13" s="8">
        <v>11587</v>
      </c>
      <c r="AH13" s="8">
        <v>0</v>
      </c>
      <c r="AI13" s="8">
        <v>0</v>
      </c>
      <c r="AJ13" s="8">
        <v>16634</v>
      </c>
      <c r="AK13" s="8">
        <v>7890</v>
      </c>
      <c r="AM13" s="8">
        <f t="shared" si="3"/>
        <v>-1857</v>
      </c>
      <c r="AN13" s="8">
        <f t="shared" si="4"/>
        <v>899</v>
      </c>
      <c r="AO13" s="10">
        <f t="shared" si="5"/>
        <v>-27800</v>
      </c>
      <c r="AP13" s="8">
        <f t="shared" si="6"/>
        <v>46042</v>
      </c>
      <c r="AQ13" s="10">
        <f t="shared" si="7"/>
        <v>286</v>
      </c>
      <c r="AR13" s="8">
        <f t="shared" si="8"/>
        <v>-2444</v>
      </c>
      <c r="AS13" s="8">
        <f t="shared" si="9"/>
        <v>-6665</v>
      </c>
      <c r="AT13" s="10">
        <f t="shared" si="10"/>
        <v>13603</v>
      </c>
      <c r="AU13" s="8">
        <f t="shared" si="11"/>
        <v>0</v>
      </c>
      <c r="AV13" s="8">
        <f t="shared" si="13"/>
        <v>83126</v>
      </c>
    </row>
    <row r="14" spans="1:48">
      <c r="A14" t="s">
        <v>48</v>
      </c>
      <c r="B14">
        <v>21550</v>
      </c>
      <c r="C14" s="8">
        <f>VLOOKUP(B14,'ER Contributions'!A:D,4,FALSE)</f>
        <v>860057</v>
      </c>
      <c r="D14" s="9">
        <f>VLOOKUP(B14,'ER Contributions'!A:D,3,FALSE)</f>
        <v>4.6915999999999999E-2</v>
      </c>
      <c r="E14" s="8">
        <f>VLOOKUP(B14,'75 - Summary Exhibit'!A:N,3,FALSE)</f>
        <v>1247778</v>
      </c>
      <c r="F14" s="10">
        <f>VLOOKUP(B14,'75 - Summary Exhibit'!A:N,4,FALSE)</f>
        <v>1093518</v>
      </c>
      <c r="G14" s="10">
        <f>VLOOKUP(B14,'75 - Summary Exhibit'!A:N,5,FALSE)</f>
        <v>1629768</v>
      </c>
      <c r="H14" s="10">
        <f>VLOOKUP(B14,'75 - Summary Exhibit'!A:N,6,FALSE)</f>
        <v>90923</v>
      </c>
      <c r="I14" s="8">
        <f>VLOOKUP(B14,'75 - Summary Exhibit'!A:N,7,FALSE)</f>
        <v>0</v>
      </c>
      <c r="J14" s="8">
        <f>VLOOKUP(B14,'75 - Summary Exhibit'!A:N,8,FALSE)</f>
        <v>691120</v>
      </c>
      <c r="K14" s="8">
        <f>VLOOKUP(B14,'75 - Summary Exhibit'!A:N,9,FALSE)</f>
        <v>0</v>
      </c>
      <c r="L14" s="8">
        <f>VLOOKUP(B14,'75 - Summary Exhibit'!A:N,10,FALSE)</f>
        <v>212999</v>
      </c>
      <c r="M14" s="8">
        <f>VLOOKUP(B14,'75 - Summary Exhibit'!A:N,11,FALSE)</f>
        <v>464336</v>
      </c>
      <c r="N14" s="8">
        <f>VLOOKUP(B14,'75 - Summary Exhibit'!A:N,12,FALSE)</f>
        <v>1735657</v>
      </c>
      <c r="O14" s="8">
        <f>VLOOKUP(B14,'75 - Summary Exhibit'!A:N,13,FALSE)</f>
        <v>-119709</v>
      </c>
      <c r="P14" s="8">
        <f t="shared" si="0"/>
        <v>1615948</v>
      </c>
      <c r="Q14" s="8">
        <f>VLOOKUP(B14,'75- Deferred Amortization'!A:H,3,FALSE)</f>
        <v>488279</v>
      </c>
      <c r="R14" s="8">
        <f>VLOOKUP(B14,'75- Deferred Amortization'!A:H,4,FALSE)</f>
        <v>262617</v>
      </c>
      <c r="S14" s="8">
        <f>VLOOKUP(B14,'75- Deferred Amortization'!A:H,5,FALSE)</f>
        <v>470995</v>
      </c>
      <c r="T14" s="8">
        <f>VLOOKUP(B14,'75- Deferred Amortization'!A:H,6,FALSE)</f>
        <v>107580</v>
      </c>
      <c r="U14" s="8">
        <f>VLOOKUP(B14,'75- Deferred Amortization'!A:H,7,FALSE)</f>
        <v>56556</v>
      </c>
      <c r="V14" s="8">
        <f>VLOOKUP(B14,'75- Deferred Amortization'!A:H,8,FALSE)</f>
        <v>59728</v>
      </c>
      <c r="X14">
        <v>1</v>
      </c>
      <c r="Y14" s="8">
        <f t="shared" si="1"/>
        <v>-2815</v>
      </c>
      <c r="Z14" s="8">
        <f t="shared" si="2"/>
        <v>-1</v>
      </c>
      <c r="AB14" s="8">
        <f t="shared" si="12"/>
        <v>-149593</v>
      </c>
      <c r="AC14" s="8">
        <v>1397371</v>
      </c>
      <c r="AD14" s="10">
        <v>1566335</v>
      </c>
      <c r="AE14" s="10">
        <v>1477977</v>
      </c>
      <c r="AF14" s="10">
        <v>89814</v>
      </c>
      <c r="AG14" s="8">
        <v>0</v>
      </c>
      <c r="AH14" s="8">
        <v>0</v>
      </c>
      <c r="AI14" s="8">
        <v>0</v>
      </c>
      <c r="AJ14" s="8">
        <v>258872</v>
      </c>
      <c r="AK14" s="8">
        <v>521201</v>
      </c>
      <c r="AM14" s="8">
        <f t="shared" si="3"/>
        <v>0</v>
      </c>
      <c r="AN14" s="8">
        <f t="shared" si="4"/>
        <v>-56865</v>
      </c>
      <c r="AO14" s="10">
        <f t="shared" si="5"/>
        <v>-472817</v>
      </c>
      <c r="AP14" s="8">
        <f t="shared" si="6"/>
        <v>691120</v>
      </c>
      <c r="AQ14" s="10">
        <f t="shared" si="7"/>
        <v>1109</v>
      </c>
      <c r="AR14" s="8">
        <f t="shared" si="8"/>
        <v>-45873</v>
      </c>
      <c r="AS14" s="8">
        <f t="shared" si="9"/>
        <v>-149593</v>
      </c>
      <c r="AT14" s="10">
        <f t="shared" si="10"/>
        <v>151791</v>
      </c>
      <c r="AU14" s="8">
        <f t="shared" si="11"/>
        <v>0</v>
      </c>
      <c r="AV14" s="8">
        <f t="shared" si="13"/>
        <v>1247778</v>
      </c>
    </row>
    <row r="15" spans="1:48">
      <c r="A15" t="s">
        <v>47</v>
      </c>
      <c r="B15">
        <v>21520</v>
      </c>
      <c r="C15" s="8">
        <f>VLOOKUP(B15,'ER Contributions'!A:D,4,FALSE)</f>
        <v>1466907</v>
      </c>
      <c r="D15" s="9">
        <f>VLOOKUP(B15,'ER Contributions'!A:D,3,FALSE)</f>
        <v>7.6171600000000006E-2</v>
      </c>
      <c r="E15" s="8">
        <f>VLOOKUP(B15,'75 - Summary Exhibit'!A:N,3,FALSE)</f>
        <v>2025860</v>
      </c>
      <c r="F15" s="10">
        <f>VLOOKUP(B15,'75 - Summary Exhibit'!A:N,4,FALSE)</f>
        <v>1775408</v>
      </c>
      <c r="G15" s="10">
        <f>VLOOKUP(B15,'75 - Summary Exhibit'!A:N,5,FALSE)</f>
        <v>2646049</v>
      </c>
      <c r="H15" s="10">
        <f>VLOOKUP(B15,'75 - Summary Exhibit'!A:N,6,FALSE)</f>
        <v>147621</v>
      </c>
      <c r="I15" s="8">
        <f>VLOOKUP(B15,'75 - Summary Exhibit'!A:N,7,FALSE)</f>
        <v>0</v>
      </c>
      <c r="J15" s="8">
        <f>VLOOKUP(B15,'75 - Summary Exhibit'!A:N,8,FALSE)</f>
        <v>1122084</v>
      </c>
      <c r="K15" s="8">
        <f>VLOOKUP(B15,'75 - Summary Exhibit'!A:N,9,FALSE)</f>
        <v>0</v>
      </c>
      <c r="L15" s="8">
        <f>VLOOKUP(B15,'75 - Summary Exhibit'!A:N,10,FALSE)</f>
        <v>345819</v>
      </c>
      <c r="M15" s="8">
        <f>VLOOKUP(B15,'75 - Summary Exhibit'!A:N,11,FALSE)</f>
        <v>340376</v>
      </c>
      <c r="N15" s="8">
        <f>VLOOKUP(B15,'75 - Summary Exhibit'!A:N,12,FALSE)</f>
        <v>2817968</v>
      </c>
      <c r="O15" s="8">
        <f>VLOOKUP(B15,'75 - Summary Exhibit'!A:N,13,FALSE)</f>
        <v>-114318</v>
      </c>
      <c r="P15" s="8">
        <f t="shared" si="0"/>
        <v>2703650</v>
      </c>
      <c r="Q15" s="8">
        <f>VLOOKUP(B15,'75- Deferred Amortization'!A:H,3,FALSE)</f>
        <v>872789</v>
      </c>
      <c r="R15" s="8">
        <f>VLOOKUP(B15,'75- Deferred Amortization'!A:H,4,FALSE)</f>
        <v>513224</v>
      </c>
      <c r="S15" s="8">
        <f>VLOOKUP(B15,'75- Deferred Amortization'!A:H,5,FALSE)</f>
        <v>864882</v>
      </c>
      <c r="T15" s="8">
        <f>VLOOKUP(B15,'75- Deferred Amortization'!A:H,6,FALSE)</f>
        <v>274860</v>
      </c>
      <c r="U15" s="8">
        <f>VLOOKUP(B15,'75- Deferred Amortization'!A:H,7,FALSE)</f>
        <v>128677</v>
      </c>
      <c r="V15" s="8">
        <f>VLOOKUP(B15,'75- Deferred Amortization'!A:H,8,FALSE)</f>
        <v>106366</v>
      </c>
      <c r="X15">
        <v>1</v>
      </c>
      <c r="Y15" s="8">
        <f t="shared" si="1"/>
        <v>-4567</v>
      </c>
      <c r="Z15" s="8">
        <f t="shared" si="2"/>
        <v>1</v>
      </c>
      <c r="AB15" s="8">
        <f t="shared" si="12"/>
        <v>-138328</v>
      </c>
      <c r="AC15" s="8">
        <v>2164188</v>
      </c>
      <c r="AD15" s="10">
        <v>2425872</v>
      </c>
      <c r="AE15" s="10">
        <v>2289028</v>
      </c>
      <c r="AF15" s="10">
        <v>139099</v>
      </c>
      <c r="AG15" s="8">
        <v>0</v>
      </c>
      <c r="AH15" s="8">
        <v>0</v>
      </c>
      <c r="AI15" s="8">
        <v>0</v>
      </c>
      <c r="AJ15" s="8">
        <v>400929</v>
      </c>
      <c r="AK15" s="8">
        <v>312633</v>
      </c>
      <c r="AM15" s="8">
        <f t="shared" si="3"/>
        <v>0</v>
      </c>
      <c r="AN15" s="8">
        <f t="shared" si="4"/>
        <v>27743</v>
      </c>
      <c r="AO15" s="10">
        <f t="shared" si="5"/>
        <v>-650464</v>
      </c>
      <c r="AP15" s="8">
        <f t="shared" si="6"/>
        <v>1122084</v>
      </c>
      <c r="AQ15" s="10">
        <f t="shared" si="7"/>
        <v>8522</v>
      </c>
      <c r="AR15" s="8">
        <f t="shared" si="8"/>
        <v>-55110</v>
      </c>
      <c r="AS15" s="8">
        <f t="shared" si="9"/>
        <v>-138328</v>
      </c>
      <c r="AT15" s="10">
        <f t="shared" si="10"/>
        <v>357021</v>
      </c>
      <c r="AU15" s="8">
        <f t="shared" si="11"/>
        <v>0</v>
      </c>
      <c r="AV15" s="8">
        <f t="shared" si="13"/>
        <v>2025860</v>
      </c>
    </row>
    <row r="16" spans="1:48">
      <c r="A16" t="s">
        <v>51</v>
      </c>
      <c r="B16">
        <v>23000</v>
      </c>
      <c r="C16" s="8">
        <f>VLOOKUP(B16,'ER Contributions'!A:D,4,FALSE)</f>
        <v>45940</v>
      </c>
      <c r="D16" s="9">
        <f>VLOOKUP(B16,'ER Contributions'!A:D,3,FALSE)</f>
        <v>2.3381000000000001E-3</v>
      </c>
      <c r="E16" s="8">
        <f>VLOOKUP(B16,'75 - Summary Exhibit'!A:N,3,FALSE)</f>
        <v>62184</v>
      </c>
      <c r="F16" s="10">
        <f>VLOOKUP(B16,'75 - Summary Exhibit'!A:N,4,FALSE)</f>
        <v>54496</v>
      </c>
      <c r="G16" s="10">
        <f>VLOOKUP(B16,'75 - Summary Exhibit'!A:N,5,FALSE)</f>
        <v>81221</v>
      </c>
      <c r="H16" s="10">
        <f>VLOOKUP(B16,'75 - Summary Exhibit'!A:N,6,FALSE)</f>
        <v>4531</v>
      </c>
      <c r="I16" s="8">
        <f>VLOOKUP(B16,'75 - Summary Exhibit'!A:N,7,FALSE)</f>
        <v>15555</v>
      </c>
      <c r="J16" s="8">
        <f>VLOOKUP(B16,'75 - Summary Exhibit'!A:N,8,FALSE)</f>
        <v>34443</v>
      </c>
      <c r="K16" s="8">
        <f>VLOOKUP(B16,'75 - Summary Exhibit'!A:N,9,FALSE)</f>
        <v>0</v>
      </c>
      <c r="L16" s="8">
        <f>VLOOKUP(B16,'75 - Summary Exhibit'!A:N,10,FALSE)</f>
        <v>10615</v>
      </c>
      <c r="M16" s="8">
        <f>VLOOKUP(B16,'75 - Summary Exhibit'!A:N,11,FALSE)</f>
        <v>2143</v>
      </c>
      <c r="N16" s="8">
        <f>VLOOKUP(B16,'75 - Summary Exhibit'!A:N,12,FALSE)</f>
        <v>86498</v>
      </c>
      <c r="O16" s="8">
        <f>VLOOKUP(B16,'75 - Summary Exhibit'!A:N,13,FALSE)</f>
        <v>2375</v>
      </c>
      <c r="P16" s="8">
        <f t="shared" si="0"/>
        <v>88873</v>
      </c>
      <c r="Q16" s="8">
        <f>VLOOKUP(B16,'75- Deferred Amortization'!A:H,3,FALSE)</f>
        <v>32673</v>
      </c>
      <c r="R16" s="8">
        <f>VLOOKUP(B16,'75- Deferred Amortization'!A:H,4,FALSE)</f>
        <v>21136</v>
      </c>
      <c r="S16" s="8">
        <f>VLOOKUP(B16,'75- Deferred Amortization'!A:H,5,FALSE)</f>
        <v>31548</v>
      </c>
      <c r="T16" s="8">
        <f>VLOOKUP(B16,'75- Deferred Amortization'!A:H,6,FALSE)</f>
        <v>13434</v>
      </c>
      <c r="U16" s="8">
        <f>VLOOKUP(B16,'75- Deferred Amortization'!A:H,7,FALSE)</f>
        <v>5783</v>
      </c>
      <c r="V16" s="8">
        <f>VLOOKUP(B16,'75- Deferred Amortization'!A:H,8,FALSE)</f>
        <v>4029</v>
      </c>
      <c r="X16">
        <v>1</v>
      </c>
      <c r="Y16" s="8">
        <f t="shared" si="1"/>
        <v>-141</v>
      </c>
      <c r="Z16" s="8">
        <f t="shared" si="2"/>
        <v>-1</v>
      </c>
      <c r="AB16" s="8">
        <f t="shared" si="12"/>
        <v>-4466</v>
      </c>
      <c r="AC16" s="8">
        <v>66650</v>
      </c>
      <c r="AD16" s="10">
        <v>74709</v>
      </c>
      <c r="AE16" s="10">
        <v>70495</v>
      </c>
      <c r="AF16" s="10">
        <v>4284</v>
      </c>
      <c r="AG16" s="8">
        <v>19001</v>
      </c>
      <c r="AH16" s="8">
        <v>0</v>
      </c>
      <c r="AI16" s="8">
        <v>0</v>
      </c>
      <c r="AJ16" s="8">
        <v>12347</v>
      </c>
      <c r="AK16" s="8">
        <v>0</v>
      </c>
      <c r="AM16" s="8">
        <f t="shared" si="3"/>
        <v>-3446</v>
      </c>
      <c r="AN16" s="8">
        <f t="shared" si="4"/>
        <v>2143</v>
      </c>
      <c r="AO16" s="10">
        <f t="shared" si="5"/>
        <v>-20213</v>
      </c>
      <c r="AP16" s="8">
        <f t="shared" si="6"/>
        <v>34443</v>
      </c>
      <c r="AQ16" s="10">
        <f t="shared" si="7"/>
        <v>247</v>
      </c>
      <c r="AR16" s="8">
        <f t="shared" si="8"/>
        <v>-1732</v>
      </c>
      <c r="AS16" s="8">
        <f t="shared" si="9"/>
        <v>-4466</v>
      </c>
      <c r="AT16" s="10">
        <f t="shared" si="10"/>
        <v>10726</v>
      </c>
      <c r="AU16" s="8">
        <f t="shared" si="11"/>
        <v>0</v>
      </c>
      <c r="AV16" s="8">
        <f t="shared" si="13"/>
        <v>62184</v>
      </c>
    </row>
    <row r="17" spans="1:48">
      <c r="A17" t="s">
        <v>52</v>
      </c>
      <c r="B17">
        <v>23100</v>
      </c>
      <c r="C17" s="8">
        <f>VLOOKUP(B17,'ER Contributions'!A:D,4,FALSE)</f>
        <v>299910</v>
      </c>
      <c r="D17" s="9">
        <f>VLOOKUP(B17,'ER Contributions'!A:D,3,FALSE)</f>
        <v>1.5570799999999999E-2</v>
      </c>
      <c r="E17" s="8">
        <f>VLOOKUP(B17,'75 - Summary Exhibit'!A:N,3,FALSE)</f>
        <v>414121</v>
      </c>
      <c r="F17" s="10">
        <f>VLOOKUP(B17,'75 - Summary Exhibit'!A:N,4,FALSE)</f>
        <v>362924</v>
      </c>
      <c r="G17" s="10">
        <f>VLOOKUP(B17,'75 - Summary Exhibit'!A:N,5,FALSE)</f>
        <v>540898</v>
      </c>
      <c r="H17" s="10">
        <f>VLOOKUP(B17,'75 - Summary Exhibit'!A:N,6,FALSE)</f>
        <v>30176</v>
      </c>
      <c r="I17" s="8">
        <f>VLOOKUP(B17,'75 - Summary Exhibit'!A:N,7,FALSE)</f>
        <v>48065</v>
      </c>
      <c r="J17" s="8">
        <f>VLOOKUP(B17,'75 - Summary Exhibit'!A:N,8,FALSE)</f>
        <v>229373</v>
      </c>
      <c r="K17" s="8">
        <f>VLOOKUP(B17,'75 - Summary Exhibit'!A:N,9,FALSE)</f>
        <v>0</v>
      </c>
      <c r="L17" s="8">
        <f>VLOOKUP(B17,'75 - Summary Exhibit'!A:N,10,FALSE)</f>
        <v>70691</v>
      </c>
      <c r="M17" s="8">
        <f>VLOOKUP(B17,'75 - Summary Exhibit'!A:N,11,FALSE)</f>
        <v>73410</v>
      </c>
      <c r="N17" s="8">
        <f>VLOOKUP(B17,'75 - Summary Exhibit'!A:N,12,FALSE)</f>
        <v>576042</v>
      </c>
      <c r="O17" s="8">
        <f>VLOOKUP(B17,'75 - Summary Exhibit'!A:N,13,FALSE)</f>
        <v>-15309</v>
      </c>
      <c r="P17" s="8">
        <f t="shared" si="0"/>
        <v>560733</v>
      </c>
      <c r="Q17" s="8">
        <f>VLOOKUP(B17,'75- Deferred Amortization'!A:H,3,FALSE)</f>
        <v>186471</v>
      </c>
      <c r="R17" s="8">
        <f>VLOOKUP(B17,'75- Deferred Amortization'!A:H,4,FALSE)</f>
        <v>111609</v>
      </c>
      <c r="S17" s="8">
        <f>VLOOKUP(B17,'75- Deferred Amortization'!A:H,5,FALSE)</f>
        <v>183566</v>
      </c>
      <c r="T17" s="8">
        <f>VLOOKUP(B17,'75- Deferred Amortization'!A:H,6,FALSE)</f>
        <v>62951</v>
      </c>
      <c r="U17" s="8">
        <f>VLOOKUP(B17,'75- Deferred Amortization'!A:H,7,FALSE)</f>
        <v>35188</v>
      </c>
      <c r="V17" s="8">
        <f>VLOOKUP(B17,'75- Deferred Amortization'!A:H,8,FALSE)</f>
        <v>28804</v>
      </c>
      <c r="X17">
        <v>1</v>
      </c>
      <c r="Y17" s="8">
        <f t="shared" si="1"/>
        <v>-934</v>
      </c>
      <c r="Z17" s="8">
        <f t="shared" si="2"/>
        <v>0</v>
      </c>
      <c r="AB17" s="8">
        <f t="shared" si="12"/>
        <v>-28029</v>
      </c>
      <c r="AC17" s="8">
        <v>442150</v>
      </c>
      <c r="AD17" s="10">
        <v>495613</v>
      </c>
      <c r="AE17" s="10">
        <v>467656</v>
      </c>
      <c r="AF17" s="10">
        <v>28418</v>
      </c>
      <c r="AG17" s="8">
        <v>56759</v>
      </c>
      <c r="AH17" s="8">
        <v>0</v>
      </c>
      <c r="AI17" s="8">
        <v>0</v>
      </c>
      <c r="AJ17" s="8">
        <v>81911</v>
      </c>
      <c r="AK17" s="8">
        <v>68160</v>
      </c>
      <c r="AM17" s="8">
        <f t="shared" si="3"/>
        <v>-8694</v>
      </c>
      <c r="AN17" s="8">
        <f t="shared" si="4"/>
        <v>5250</v>
      </c>
      <c r="AO17" s="10">
        <f t="shared" si="5"/>
        <v>-132689</v>
      </c>
      <c r="AP17" s="8">
        <f t="shared" si="6"/>
        <v>229373</v>
      </c>
      <c r="AQ17" s="10">
        <f t="shared" si="7"/>
        <v>1758</v>
      </c>
      <c r="AR17" s="8">
        <f t="shared" si="8"/>
        <v>-11220</v>
      </c>
      <c r="AS17" s="8">
        <f t="shared" si="9"/>
        <v>-28029</v>
      </c>
      <c r="AT17" s="10">
        <f t="shared" si="10"/>
        <v>73242</v>
      </c>
      <c r="AU17" s="8">
        <f t="shared" si="11"/>
        <v>0</v>
      </c>
      <c r="AV17" s="8">
        <f t="shared" si="13"/>
        <v>414121</v>
      </c>
    </row>
    <row r="18" spans="1:48">
      <c r="A18" t="s">
        <v>44</v>
      </c>
      <c r="B18">
        <v>20900</v>
      </c>
      <c r="C18" s="8">
        <f>VLOOKUP(B18,'ER Contributions'!A:D,4,FALSE)</f>
        <v>191375</v>
      </c>
      <c r="D18" s="9">
        <f>VLOOKUP(B18,'ER Contributions'!A:D,3,FALSE)</f>
        <v>9.5901000000000007E-3</v>
      </c>
      <c r="E18" s="8">
        <f>VLOOKUP(B18,'75 - Summary Exhibit'!A:N,3,FALSE)</f>
        <v>255058</v>
      </c>
      <c r="F18" s="10">
        <f>VLOOKUP(B18,'75 - Summary Exhibit'!A:N,4,FALSE)</f>
        <v>223526</v>
      </c>
      <c r="G18" s="10">
        <f>VLOOKUP(B18,'75 - Summary Exhibit'!A:N,5,FALSE)</f>
        <v>333141</v>
      </c>
      <c r="H18" s="10">
        <f>VLOOKUP(B18,'75 - Summary Exhibit'!A:N,6,FALSE)</f>
        <v>18586</v>
      </c>
      <c r="I18" s="8">
        <f>VLOOKUP(B18,'75 - Summary Exhibit'!A:N,7,FALSE)</f>
        <v>29427</v>
      </c>
      <c r="J18" s="8">
        <f>VLOOKUP(B18,'75 - Summary Exhibit'!A:N,8,FALSE)</f>
        <v>141272</v>
      </c>
      <c r="K18" s="8">
        <f>VLOOKUP(B18,'75 - Summary Exhibit'!A:N,9,FALSE)</f>
        <v>0</v>
      </c>
      <c r="L18" s="8">
        <f>VLOOKUP(B18,'75 - Summary Exhibit'!A:N,10,FALSE)</f>
        <v>43539</v>
      </c>
      <c r="M18" s="8">
        <f>VLOOKUP(B18,'75 - Summary Exhibit'!A:N,11,FALSE)</f>
        <v>24936</v>
      </c>
      <c r="N18" s="8">
        <f>VLOOKUP(B18,'75 - Summary Exhibit'!A:N,12,FALSE)</f>
        <v>354786</v>
      </c>
      <c r="O18" s="8">
        <f>VLOOKUP(B18,'75 - Summary Exhibit'!A:N,13,FALSE)</f>
        <v>3240</v>
      </c>
      <c r="P18" s="8">
        <f t="shared" si="0"/>
        <v>358026</v>
      </c>
      <c r="Q18" s="8">
        <f>VLOOKUP(B18,'75- Deferred Amortization'!A:H,3,FALSE)</f>
        <v>127520</v>
      </c>
      <c r="R18" s="8">
        <f>VLOOKUP(B18,'75- Deferred Amortization'!A:H,4,FALSE)</f>
        <v>81224</v>
      </c>
      <c r="S18" s="8">
        <f>VLOOKUP(B18,'75- Deferred Amortization'!A:H,5,FALSE)</f>
        <v>112868</v>
      </c>
      <c r="T18" s="8">
        <f>VLOOKUP(B18,'75- Deferred Amortization'!A:H,6,FALSE)</f>
        <v>38581</v>
      </c>
      <c r="U18" s="8">
        <f>VLOOKUP(B18,'75- Deferred Amortization'!A:H,7,FALSE)</f>
        <v>19269</v>
      </c>
      <c r="V18" s="8">
        <f>VLOOKUP(B18,'75- Deferred Amortization'!A:H,8,FALSE)</f>
        <v>15473</v>
      </c>
      <c r="X18">
        <v>1</v>
      </c>
      <c r="Y18" s="8">
        <f t="shared" si="1"/>
        <v>-574</v>
      </c>
      <c r="Z18" s="8">
        <f t="shared" si="2"/>
        <v>-2</v>
      </c>
      <c r="AB18" s="8">
        <f t="shared" si="12"/>
        <v>-46914</v>
      </c>
      <c r="AC18" s="8">
        <v>301972</v>
      </c>
      <c r="AD18" s="10">
        <v>338485</v>
      </c>
      <c r="AE18" s="10">
        <v>319391</v>
      </c>
      <c r="AF18" s="10">
        <v>19409</v>
      </c>
      <c r="AG18" s="8">
        <v>19201</v>
      </c>
      <c r="AH18" s="8">
        <v>0</v>
      </c>
      <c r="AI18" s="8">
        <v>0</v>
      </c>
      <c r="AJ18" s="8">
        <v>55942</v>
      </c>
      <c r="AK18" s="8">
        <v>31472</v>
      </c>
      <c r="AM18" s="8">
        <f t="shared" si="3"/>
        <v>10226</v>
      </c>
      <c r="AN18" s="8">
        <f t="shared" si="4"/>
        <v>-6536</v>
      </c>
      <c r="AO18" s="10">
        <f t="shared" si="5"/>
        <v>-114959</v>
      </c>
      <c r="AP18" s="8">
        <f t="shared" si="6"/>
        <v>141272</v>
      </c>
      <c r="AQ18" s="10">
        <f t="shared" si="7"/>
        <v>-823</v>
      </c>
      <c r="AR18" s="8">
        <f t="shared" si="8"/>
        <v>-12403</v>
      </c>
      <c r="AS18" s="8">
        <f t="shared" si="9"/>
        <v>-46914</v>
      </c>
      <c r="AT18" s="10">
        <f t="shared" si="10"/>
        <v>13750</v>
      </c>
      <c r="AU18" s="8">
        <f t="shared" si="11"/>
        <v>0</v>
      </c>
      <c r="AV18" s="8">
        <f t="shared" si="13"/>
        <v>255058</v>
      </c>
    </row>
    <row r="19" spans="1:48">
      <c r="A19" t="s">
        <v>53</v>
      </c>
      <c r="B19">
        <v>23200</v>
      </c>
      <c r="C19" s="8">
        <f>VLOOKUP(B19,'ER Contributions'!A:D,4,FALSE)</f>
        <v>172726</v>
      </c>
      <c r="D19" s="9">
        <f>VLOOKUP(B19,'ER Contributions'!A:D,3,FALSE)</f>
        <v>9.1435000000000006E-3</v>
      </c>
      <c r="E19" s="8">
        <f>VLOOKUP(B19,'75 - Summary Exhibit'!A:N,3,FALSE)</f>
        <v>243181</v>
      </c>
      <c r="F19" s="10">
        <f>VLOOKUP(B19,'75 - Summary Exhibit'!A:N,4,FALSE)</f>
        <v>213117</v>
      </c>
      <c r="G19" s="10">
        <f>VLOOKUP(B19,'75 - Summary Exhibit'!A:N,5,FALSE)</f>
        <v>317627</v>
      </c>
      <c r="H19" s="10">
        <f>VLOOKUP(B19,'75 - Summary Exhibit'!A:N,6,FALSE)</f>
        <v>17720</v>
      </c>
      <c r="I19" s="8">
        <f>VLOOKUP(B19,'75 - Summary Exhibit'!A:N,7,FALSE)</f>
        <v>0</v>
      </c>
      <c r="J19" s="8">
        <f>VLOOKUP(B19,'75 - Summary Exhibit'!A:N,8,FALSE)</f>
        <v>134693</v>
      </c>
      <c r="K19" s="8">
        <f>VLOOKUP(B19,'75 - Summary Exhibit'!A:N,9,FALSE)</f>
        <v>0</v>
      </c>
      <c r="L19" s="8">
        <f>VLOOKUP(B19,'75 - Summary Exhibit'!A:N,10,FALSE)</f>
        <v>41511</v>
      </c>
      <c r="M19" s="8">
        <f>VLOOKUP(B19,'75 - Summary Exhibit'!A:N,11,FALSE)</f>
        <v>67613</v>
      </c>
      <c r="N19" s="8">
        <f>VLOOKUP(B19,'75 - Summary Exhibit'!A:N,12,FALSE)</f>
        <v>338264</v>
      </c>
      <c r="O19" s="8">
        <f>VLOOKUP(B19,'75 - Summary Exhibit'!A:N,13,FALSE)</f>
        <v>-19003</v>
      </c>
      <c r="P19" s="8">
        <f t="shared" si="0"/>
        <v>319261</v>
      </c>
      <c r="Q19" s="8">
        <f>VLOOKUP(B19,'75- Deferred Amortization'!A:H,3,FALSE)</f>
        <v>99489</v>
      </c>
      <c r="R19" s="8">
        <f>VLOOKUP(B19,'75- Deferred Amortization'!A:H,4,FALSE)</f>
        <v>55401</v>
      </c>
      <c r="S19" s="8">
        <f>VLOOKUP(B19,'75- Deferred Amortization'!A:H,5,FALSE)</f>
        <v>96623</v>
      </c>
      <c r="T19" s="8">
        <f>VLOOKUP(B19,'75- Deferred Amortization'!A:H,6,FALSE)</f>
        <v>25797</v>
      </c>
      <c r="U19" s="8">
        <f>VLOOKUP(B19,'75- Deferred Amortization'!A:H,7,FALSE)</f>
        <v>15565</v>
      </c>
      <c r="V19" s="8">
        <f>VLOOKUP(B19,'75- Deferred Amortization'!A:H,8,FALSE)</f>
        <v>11770</v>
      </c>
      <c r="X19">
        <v>1</v>
      </c>
      <c r="Y19" s="8">
        <f t="shared" si="1"/>
        <v>-548</v>
      </c>
      <c r="Z19" s="8">
        <f t="shared" si="2"/>
        <v>2</v>
      </c>
      <c r="AB19" s="8">
        <f t="shared" si="12"/>
        <v>-22594</v>
      </c>
      <c r="AC19" s="8">
        <v>265775</v>
      </c>
      <c r="AD19" s="10">
        <v>297911</v>
      </c>
      <c r="AE19" s="10">
        <v>281106</v>
      </c>
      <c r="AF19" s="10">
        <v>17082</v>
      </c>
      <c r="AG19" s="8">
        <v>0</v>
      </c>
      <c r="AH19" s="8">
        <v>0</v>
      </c>
      <c r="AI19" s="8">
        <v>0</v>
      </c>
      <c r="AJ19" s="8">
        <v>49236</v>
      </c>
      <c r="AK19" s="8">
        <v>72539</v>
      </c>
      <c r="AM19" s="8">
        <f t="shared" si="3"/>
        <v>0</v>
      </c>
      <c r="AN19" s="8">
        <f t="shared" si="4"/>
        <v>-4926</v>
      </c>
      <c r="AO19" s="10">
        <f t="shared" si="5"/>
        <v>-84794</v>
      </c>
      <c r="AP19" s="8">
        <f t="shared" si="6"/>
        <v>134693</v>
      </c>
      <c r="AQ19" s="10">
        <f t="shared" si="7"/>
        <v>638</v>
      </c>
      <c r="AR19" s="8">
        <f t="shared" si="8"/>
        <v>-7725</v>
      </c>
      <c r="AS19" s="8">
        <f t="shared" si="9"/>
        <v>-22594</v>
      </c>
      <c r="AT19" s="10">
        <f t="shared" si="10"/>
        <v>36521</v>
      </c>
      <c r="AU19" s="8">
        <f t="shared" si="11"/>
        <v>0</v>
      </c>
      <c r="AV19" s="8">
        <f t="shared" si="13"/>
        <v>243181</v>
      </c>
    </row>
    <row r="20" spans="1:48">
      <c r="A20" t="s">
        <v>49</v>
      </c>
      <c r="B20">
        <v>21800</v>
      </c>
      <c r="C20" s="8">
        <f>VLOOKUP(B20,'ER Contributions'!A:D,4,FALSE)</f>
        <v>113890</v>
      </c>
      <c r="D20" s="9">
        <f>VLOOKUP(B20,'ER Contributions'!A:D,3,FALSE)</f>
        <v>5.8925999999999996E-3</v>
      </c>
      <c r="E20" s="8">
        <f>VLOOKUP(B20,'75 - Summary Exhibit'!A:N,3,FALSE)</f>
        <v>156720</v>
      </c>
      <c r="F20" s="10">
        <f>VLOOKUP(B20,'75 - Summary Exhibit'!A:N,4,FALSE)</f>
        <v>137345</v>
      </c>
      <c r="G20" s="10">
        <f>VLOOKUP(B20,'75 - Summary Exhibit'!A:N,5,FALSE)</f>
        <v>204697</v>
      </c>
      <c r="H20" s="10">
        <f>VLOOKUP(B20,'75 - Summary Exhibit'!A:N,6,FALSE)</f>
        <v>11420</v>
      </c>
      <c r="I20" s="8">
        <f>VLOOKUP(B20,'75 - Summary Exhibit'!A:N,7,FALSE)</f>
        <v>4408</v>
      </c>
      <c r="J20" s="8">
        <f>VLOOKUP(B20,'75 - Summary Exhibit'!A:N,8,FALSE)</f>
        <v>86804</v>
      </c>
      <c r="K20" s="8">
        <f>VLOOKUP(B20,'75 - Summary Exhibit'!A:N,9,FALSE)</f>
        <v>0</v>
      </c>
      <c r="L20" s="8">
        <f>VLOOKUP(B20,'75 - Summary Exhibit'!A:N,10,FALSE)</f>
        <v>26752</v>
      </c>
      <c r="M20" s="8">
        <f>VLOOKUP(B20,'75 - Summary Exhibit'!A:N,11,FALSE)</f>
        <v>17722</v>
      </c>
      <c r="N20" s="8">
        <f>VLOOKUP(B20,'75 - Summary Exhibit'!A:N,12,FALSE)</f>
        <v>217997</v>
      </c>
      <c r="O20" s="8">
        <f>VLOOKUP(B20,'75 - Summary Exhibit'!A:N,13,FALSE)</f>
        <v>-5223</v>
      </c>
      <c r="P20" s="8">
        <f t="shared" si="0"/>
        <v>212774</v>
      </c>
      <c r="Q20" s="8">
        <f>VLOOKUP(B20,'75- Deferred Amortization'!A:H,3,FALSE)</f>
        <v>71142</v>
      </c>
      <c r="R20" s="8">
        <f>VLOOKUP(B20,'75- Deferred Amortization'!A:H,4,FALSE)</f>
        <v>43850</v>
      </c>
      <c r="S20" s="8">
        <f>VLOOKUP(B20,'75- Deferred Amortization'!A:H,5,FALSE)</f>
        <v>68583</v>
      </c>
      <c r="T20" s="8">
        <f>VLOOKUP(B20,'75- Deferred Amortization'!A:H,6,FALSE)</f>
        <v>22941</v>
      </c>
      <c r="U20" s="8">
        <f>VLOOKUP(B20,'75- Deferred Amortization'!A:H,7,FALSE)</f>
        <v>10953</v>
      </c>
      <c r="V20" s="8">
        <f>VLOOKUP(B20,'75- Deferred Amortization'!A:H,8,FALSE)</f>
        <v>9123</v>
      </c>
      <c r="X20">
        <v>1</v>
      </c>
      <c r="Y20" s="8">
        <f t="shared" si="1"/>
        <v>-353</v>
      </c>
      <c r="Z20" s="8">
        <f t="shared" si="2"/>
        <v>0</v>
      </c>
      <c r="AB20" s="8">
        <f t="shared" si="12"/>
        <v>-17324</v>
      </c>
      <c r="AC20" s="8">
        <v>174044</v>
      </c>
      <c r="AD20" s="10">
        <v>195088</v>
      </c>
      <c r="AE20" s="10">
        <v>184083</v>
      </c>
      <c r="AF20" s="10">
        <v>11186</v>
      </c>
      <c r="AG20" s="8">
        <v>5142</v>
      </c>
      <c r="AH20" s="8">
        <v>0</v>
      </c>
      <c r="AI20" s="8">
        <v>0</v>
      </c>
      <c r="AJ20" s="8">
        <v>32243</v>
      </c>
      <c r="AK20" s="8">
        <v>20103</v>
      </c>
      <c r="AM20" s="8">
        <f t="shared" si="3"/>
        <v>-734</v>
      </c>
      <c r="AN20" s="8">
        <f t="shared" si="4"/>
        <v>-2381</v>
      </c>
      <c r="AO20" s="10">
        <f t="shared" si="5"/>
        <v>-57743</v>
      </c>
      <c r="AP20" s="8">
        <f t="shared" si="6"/>
        <v>86804</v>
      </c>
      <c r="AQ20" s="10">
        <f t="shared" si="7"/>
        <v>234</v>
      </c>
      <c r="AR20" s="8">
        <f t="shared" si="8"/>
        <v>-5491</v>
      </c>
      <c r="AS20" s="8">
        <f t="shared" si="9"/>
        <v>-17324</v>
      </c>
      <c r="AT20" s="10">
        <f t="shared" si="10"/>
        <v>20614</v>
      </c>
      <c r="AU20" s="8">
        <f t="shared" si="11"/>
        <v>0</v>
      </c>
      <c r="AV20" s="8">
        <f t="shared" si="13"/>
        <v>156720</v>
      </c>
    </row>
    <row r="21" spans="1:48">
      <c r="A21" t="s">
        <v>50</v>
      </c>
      <c r="B21">
        <v>21900</v>
      </c>
      <c r="C21" s="8">
        <f>VLOOKUP(B21,'ER Contributions'!A:D,4,FALSE)</f>
        <v>55198</v>
      </c>
      <c r="D21" s="9">
        <f>VLOOKUP(B21,'ER Contributions'!A:D,3,FALSE)</f>
        <v>2.4716999999999999E-3</v>
      </c>
      <c r="E21" s="8">
        <f>VLOOKUP(B21,'75 - Summary Exhibit'!A:N,3,FALSE)</f>
        <v>65737</v>
      </c>
      <c r="F21" s="10">
        <f>VLOOKUP(B21,'75 - Summary Exhibit'!A:N,4,FALSE)</f>
        <v>57610</v>
      </c>
      <c r="G21" s="10">
        <f>VLOOKUP(B21,'75 - Summary Exhibit'!A:N,5,FALSE)</f>
        <v>85862</v>
      </c>
      <c r="H21" s="10">
        <f>VLOOKUP(B21,'75 - Summary Exhibit'!A:N,6,FALSE)</f>
        <v>4790</v>
      </c>
      <c r="I21" s="8">
        <f>VLOOKUP(B21,'75 - Summary Exhibit'!A:N,7,FALSE)</f>
        <v>53608</v>
      </c>
      <c r="J21" s="8">
        <f>VLOOKUP(B21,'75 - Summary Exhibit'!A:N,8,FALSE)</f>
        <v>36411</v>
      </c>
      <c r="K21" s="8">
        <f>VLOOKUP(B21,'75 - Summary Exhibit'!A:N,9,FALSE)</f>
        <v>0</v>
      </c>
      <c r="L21" s="8">
        <f>VLOOKUP(B21,'75 - Summary Exhibit'!A:N,10,FALSE)</f>
        <v>11222</v>
      </c>
      <c r="M21" s="8">
        <f>VLOOKUP(B21,'75 - Summary Exhibit'!A:N,11,FALSE)</f>
        <v>0</v>
      </c>
      <c r="N21" s="8">
        <f>VLOOKUP(B21,'75 - Summary Exhibit'!A:N,12,FALSE)</f>
        <v>91441</v>
      </c>
      <c r="O21" s="8">
        <f>VLOOKUP(B21,'75 - Summary Exhibit'!A:N,13,FALSE)</f>
        <v>13448</v>
      </c>
      <c r="P21" s="8">
        <f t="shared" si="0"/>
        <v>104889</v>
      </c>
      <c r="Q21" s="8">
        <f>VLOOKUP(B21,'75- Deferred Amortization'!A:H,3,FALSE)</f>
        <v>45477</v>
      </c>
      <c r="R21" s="8">
        <f>VLOOKUP(B21,'75- Deferred Amortization'!A:H,4,FALSE)</f>
        <v>32576</v>
      </c>
      <c r="S21" s="8">
        <f>VLOOKUP(B21,'75- Deferred Amortization'!A:H,5,FALSE)</f>
        <v>40532</v>
      </c>
      <c r="T21" s="8">
        <f>VLOOKUP(B21,'75- Deferred Amortization'!A:H,6,FALSE)</f>
        <v>21385</v>
      </c>
      <c r="U21" s="8">
        <f>VLOOKUP(B21,'75- Deferred Amortization'!A:H,7,FALSE)</f>
        <v>8755</v>
      </c>
      <c r="V21" s="8">
        <f>VLOOKUP(B21,'75- Deferred Amortization'!A:H,8,FALSE)</f>
        <v>5514</v>
      </c>
      <c r="X21">
        <v>1</v>
      </c>
      <c r="Y21" s="8">
        <f t="shared" si="1"/>
        <v>-148</v>
      </c>
      <c r="Z21" s="8">
        <f t="shared" si="2"/>
        <v>-2</v>
      </c>
      <c r="AB21" s="8">
        <f t="shared" si="12"/>
        <v>-7104</v>
      </c>
      <c r="AC21" s="8">
        <v>72841</v>
      </c>
      <c r="AD21" s="10">
        <v>81649</v>
      </c>
      <c r="AE21" s="10">
        <v>77043</v>
      </c>
      <c r="AF21" s="10">
        <v>4682</v>
      </c>
      <c r="AG21" s="8">
        <v>61300</v>
      </c>
      <c r="AH21" s="8">
        <v>0</v>
      </c>
      <c r="AI21" s="8">
        <v>0</v>
      </c>
      <c r="AJ21" s="8">
        <v>13494</v>
      </c>
      <c r="AK21" s="8">
        <v>0</v>
      </c>
      <c r="AM21" s="8">
        <f t="shared" si="3"/>
        <v>-7692</v>
      </c>
      <c r="AN21" s="8">
        <f t="shared" si="4"/>
        <v>0</v>
      </c>
      <c r="AO21" s="10">
        <f t="shared" si="5"/>
        <v>-24039</v>
      </c>
      <c r="AP21" s="8">
        <f t="shared" si="6"/>
        <v>36411</v>
      </c>
      <c r="AQ21" s="10">
        <f t="shared" si="7"/>
        <v>108</v>
      </c>
      <c r="AR21" s="8">
        <f t="shared" si="8"/>
        <v>-2272</v>
      </c>
      <c r="AS21" s="8">
        <f t="shared" si="9"/>
        <v>-7104</v>
      </c>
      <c r="AT21" s="10">
        <f t="shared" si="10"/>
        <v>8819</v>
      </c>
      <c r="AU21" s="8">
        <f t="shared" si="11"/>
        <v>0</v>
      </c>
      <c r="AV21" s="8">
        <f t="shared" si="13"/>
        <v>65737</v>
      </c>
    </row>
    <row r="22" spans="1:48">
      <c r="A22" t="s">
        <v>54</v>
      </c>
      <c r="B22">
        <v>30105</v>
      </c>
      <c r="C22" s="8">
        <f>VLOOKUP(B22,'ER Contributions'!A:D,4,FALSE)</f>
        <v>14960</v>
      </c>
      <c r="D22" s="9">
        <f>VLOOKUP(B22,'ER Contributions'!A:D,3,FALSE)</f>
        <v>6.8970000000000001E-4</v>
      </c>
      <c r="E22" s="8">
        <f>VLOOKUP(B22,'75 - Summary Exhibit'!A:N,3,FALSE)</f>
        <v>18343</v>
      </c>
      <c r="F22" s="10">
        <f>VLOOKUP(B22,'75 - Summary Exhibit'!A:N,4,FALSE)</f>
        <v>16076</v>
      </c>
      <c r="G22" s="10">
        <f>VLOOKUP(B22,'75 - Summary Exhibit'!A:N,5,FALSE)</f>
        <v>23959</v>
      </c>
      <c r="H22" s="10">
        <f>VLOOKUP(B22,'75 - Summary Exhibit'!A:N,6,FALSE)</f>
        <v>1337</v>
      </c>
      <c r="I22" s="8">
        <f>VLOOKUP(B22,'75 - Summary Exhibit'!A:N,7,FALSE)</f>
        <v>9197</v>
      </c>
      <c r="J22" s="8">
        <f>VLOOKUP(B22,'75 - Summary Exhibit'!A:N,8,FALSE)</f>
        <v>10160</v>
      </c>
      <c r="K22" s="8">
        <f>VLOOKUP(B22,'75 - Summary Exhibit'!A:N,9,FALSE)</f>
        <v>0</v>
      </c>
      <c r="L22" s="8">
        <f>VLOOKUP(B22,'75 - Summary Exhibit'!A:N,10,FALSE)</f>
        <v>3131</v>
      </c>
      <c r="M22" s="8">
        <f>VLOOKUP(B22,'75 - Summary Exhibit'!A:N,11,FALSE)</f>
        <v>56</v>
      </c>
      <c r="N22" s="8">
        <f>VLOOKUP(B22,'75 - Summary Exhibit'!A:N,12,FALSE)</f>
        <v>25515</v>
      </c>
      <c r="O22" s="8">
        <f>VLOOKUP(B22,'75 - Summary Exhibit'!A:N,13,FALSE)</f>
        <v>2312</v>
      </c>
      <c r="P22" s="8">
        <f t="shared" si="0"/>
        <v>27827</v>
      </c>
      <c r="Q22" s="8">
        <f>VLOOKUP(B22,'75- Deferred Amortization'!A:H,3,FALSE)</f>
        <v>11247</v>
      </c>
      <c r="R22" s="8">
        <f>VLOOKUP(B22,'75- Deferred Amortization'!A:H,4,FALSE)</f>
        <v>7906</v>
      </c>
      <c r="S22" s="8">
        <f>VLOOKUP(B22,'75- Deferred Amortization'!A:H,5,FALSE)</f>
        <v>9997</v>
      </c>
      <c r="T22" s="8">
        <f>VLOOKUP(B22,'75- Deferred Amortization'!A:H,6,FALSE)</f>
        <v>4650</v>
      </c>
      <c r="U22" s="8">
        <f>VLOOKUP(B22,'75- Deferred Amortization'!A:H,7,FALSE)</f>
        <v>2196</v>
      </c>
      <c r="V22" s="8">
        <f>VLOOKUP(B22,'75- Deferred Amortization'!A:H,8,FALSE)</f>
        <v>1222</v>
      </c>
      <c r="X22">
        <v>2</v>
      </c>
      <c r="Y22" s="8">
        <f t="shared" si="1"/>
        <v>-40</v>
      </c>
      <c r="Z22" s="8">
        <f t="shared" si="2"/>
        <v>4</v>
      </c>
      <c r="AB22" s="8">
        <f t="shared" si="12"/>
        <v>-2763</v>
      </c>
      <c r="AC22" s="8">
        <v>21106</v>
      </c>
      <c r="AD22" s="10">
        <v>23658</v>
      </c>
      <c r="AE22" s="10">
        <v>22324</v>
      </c>
      <c r="AF22" s="10">
        <v>1357</v>
      </c>
      <c r="AG22" s="8">
        <v>9573</v>
      </c>
      <c r="AH22" s="8">
        <v>0</v>
      </c>
      <c r="AI22" s="8">
        <v>0</v>
      </c>
      <c r="AJ22" s="8">
        <v>3910</v>
      </c>
      <c r="AK22" s="8">
        <v>110</v>
      </c>
      <c r="AM22" s="8">
        <f t="shared" si="3"/>
        <v>-376</v>
      </c>
      <c r="AN22" s="8">
        <f t="shared" si="4"/>
        <v>-54</v>
      </c>
      <c r="AO22" s="10">
        <f t="shared" si="5"/>
        <v>-7582</v>
      </c>
      <c r="AP22" s="8">
        <f t="shared" si="6"/>
        <v>10160</v>
      </c>
      <c r="AQ22" s="10">
        <f t="shared" si="7"/>
        <v>-20</v>
      </c>
      <c r="AR22" s="8">
        <f t="shared" si="8"/>
        <v>-779</v>
      </c>
      <c r="AS22" s="8">
        <f t="shared" si="9"/>
        <v>-2763</v>
      </c>
      <c r="AT22" s="10">
        <f t="shared" si="10"/>
        <v>1635</v>
      </c>
      <c r="AU22" s="8">
        <f t="shared" si="11"/>
        <v>0</v>
      </c>
      <c r="AV22" s="8">
        <f t="shared" si="13"/>
        <v>18343</v>
      </c>
    </row>
    <row r="23" spans="1:48">
      <c r="A23" t="s">
        <v>59</v>
      </c>
      <c r="B23">
        <v>31105</v>
      </c>
      <c r="C23" s="8">
        <f>VLOOKUP(B23,'ER Contributions'!A:D,4,FALSE)</f>
        <v>26759</v>
      </c>
      <c r="D23" s="9">
        <f>VLOOKUP(B23,'ER Contributions'!A:D,3,FALSE)</f>
        <v>1.3024E-3</v>
      </c>
      <c r="E23" s="8">
        <f>VLOOKUP(B23,'75 - Summary Exhibit'!A:N,3,FALSE)</f>
        <v>34639</v>
      </c>
      <c r="F23" s="10">
        <f>VLOOKUP(B23,'75 - Summary Exhibit'!A:N,4,FALSE)</f>
        <v>30356</v>
      </c>
      <c r="G23" s="10">
        <f>VLOOKUP(B23,'75 - Summary Exhibit'!A:N,5,FALSE)</f>
        <v>45243</v>
      </c>
      <c r="H23" s="10">
        <f>VLOOKUP(B23,'75 - Summary Exhibit'!A:N,6,FALSE)</f>
        <v>2524</v>
      </c>
      <c r="I23" s="8">
        <f>VLOOKUP(B23,'75 - Summary Exhibit'!A:N,7,FALSE)</f>
        <v>10436</v>
      </c>
      <c r="J23" s="8">
        <f>VLOOKUP(B23,'75 - Summary Exhibit'!A:N,8,FALSE)</f>
        <v>19186</v>
      </c>
      <c r="K23" s="8">
        <f>VLOOKUP(B23,'75 - Summary Exhibit'!A:N,9,FALSE)</f>
        <v>0</v>
      </c>
      <c r="L23" s="8">
        <f>VLOOKUP(B23,'75 - Summary Exhibit'!A:N,10,FALSE)</f>
        <v>5913</v>
      </c>
      <c r="M23" s="8">
        <f>VLOOKUP(B23,'75 - Summary Exhibit'!A:N,11,FALSE)</f>
        <v>3153</v>
      </c>
      <c r="N23" s="8">
        <f>VLOOKUP(B23,'75 - Summary Exhibit'!A:N,12,FALSE)</f>
        <v>48182</v>
      </c>
      <c r="O23" s="8">
        <f>VLOOKUP(B23,'75 - Summary Exhibit'!A:N,13,FALSE)</f>
        <v>1923</v>
      </c>
      <c r="P23" s="8">
        <f t="shared" si="0"/>
        <v>50105</v>
      </c>
      <c r="Q23" s="8">
        <f>VLOOKUP(B23,'75- Deferred Amortization'!A:H,3,FALSE)</f>
        <v>18802</v>
      </c>
      <c r="R23" s="8">
        <f>VLOOKUP(B23,'75- Deferred Amortization'!A:H,4,FALSE)</f>
        <v>12409</v>
      </c>
      <c r="S23" s="8">
        <f>VLOOKUP(B23,'75- Deferred Amortization'!A:H,5,FALSE)</f>
        <v>17333</v>
      </c>
      <c r="T23" s="8">
        <f>VLOOKUP(B23,'75- Deferred Amortization'!A:H,6,FALSE)</f>
        <v>7241</v>
      </c>
      <c r="U23" s="8">
        <f>VLOOKUP(B23,'75- Deferred Amortization'!A:H,7,FALSE)</f>
        <v>3190</v>
      </c>
      <c r="V23" s="8">
        <f>VLOOKUP(B23,'75- Deferred Amortization'!A:H,8,FALSE)</f>
        <v>1330</v>
      </c>
      <c r="X23">
        <v>2</v>
      </c>
      <c r="Y23" s="8">
        <f t="shared" si="1"/>
        <v>-78</v>
      </c>
      <c r="Z23" s="8">
        <f t="shared" si="2"/>
        <v>2</v>
      </c>
      <c r="AB23" s="8">
        <f t="shared" si="12"/>
        <v>-3864</v>
      </c>
      <c r="AC23" s="8">
        <v>38503</v>
      </c>
      <c r="AD23" s="10">
        <v>43158</v>
      </c>
      <c r="AE23" s="10">
        <v>40724</v>
      </c>
      <c r="AF23" s="10">
        <v>2475</v>
      </c>
      <c r="AG23" s="8">
        <v>12071</v>
      </c>
      <c r="AH23" s="8">
        <v>0</v>
      </c>
      <c r="AI23" s="8">
        <v>0</v>
      </c>
      <c r="AJ23" s="8">
        <v>7133</v>
      </c>
      <c r="AK23" s="8">
        <v>3700</v>
      </c>
      <c r="AM23" s="8">
        <f t="shared" si="3"/>
        <v>-1635</v>
      </c>
      <c r="AN23" s="8">
        <f t="shared" si="4"/>
        <v>-547</v>
      </c>
      <c r="AO23" s="10">
        <f t="shared" si="5"/>
        <v>-12802</v>
      </c>
      <c r="AP23" s="8">
        <f t="shared" si="6"/>
        <v>19186</v>
      </c>
      <c r="AQ23" s="10">
        <f t="shared" si="7"/>
        <v>49</v>
      </c>
      <c r="AR23" s="8">
        <f t="shared" si="8"/>
        <v>-1220</v>
      </c>
      <c r="AS23" s="8">
        <f t="shared" si="9"/>
        <v>-3864</v>
      </c>
      <c r="AT23" s="10">
        <f t="shared" si="10"/>
        <v>4519</v>
      </c>
      <c r="AU23" s="8">
        <f t="shared" si="11"/>
        <v>0</v>
      </c>
      <c r="AV23" s="8">
        <f t="shared" si="13"/>
        <v>34639</v>
      </c>
    </row>
    <row r="24" spans="1:48">
      <c r="A24" t="s">
        <v>56</v>
      </c>
      <c r="B24">
        <v>30705</v>
      </c>
      <c r="C24" s="8">
        <f>VLOOKUP(B24,'ER Contributions'!A:D,4,FALSE)</f>
        <v>8849</v>
      </c>
      <c r="D24" s="9">
        <f>VLOOKUP(B24,'ER Contributions'!A:D,3,FALSE)</f>
        <v>4.526E-4</v>
      </c>
      <c r="E24" s="8">
        <f>VLOOKUP(B24,'75 - Summary Exhibit'!A:N,3,FALSE)</f>
        <v>12037</v>
      </c>
      <c r="F24" s="10">
        <f>VLOOKUP(B24,'75 - Summary Exhibit'!A:N,4,FALSE)</f>
        <v>10549</v>
      </c>
      <c r="G24" s="10">
        <f>VLOOKUP(B24,'75 - Summary Exhibit'!A:N,5,FALSE)</f>
        <v>15722</v>
      </c>
      <c r="H24" s="10">
        <f>VLOOKUP(B24,'75 - Summary Exhibit'!A:N,6,FALSE)</f>
        <v>877</v>
      </c>
      <c r="I24" s="8">
        <f>VLOOKUP(B24,'75 - Summary Exhibit'!A:N,7,FALSE)</f>
        <v>1099</v>
      </c>
      <c r="J24" s="8">
        <f>VLOOKUP(B24,'75 - Summary Exhibit'!A:N,8,FALSE)</f>
        <v>6667</v>
      </c>
      <c r="K24" s="8">
        <f>VLOOKUP(B24,'75 - Summary Exhibit'!A:N,9,FALSE)</f>
        <v>0</v>
      </c>
      <c r="L24" s="8">
        <f>VLOOKUP(B24,'75 - Summary Exhibit'!A:N,10,FALSE)</f>
        <v>2055</v>
      </c>
      <c r="M24" s="8">
        <f>VLOOKUP(B24,'75 - Summary Exhibit'!A:N,11,FALSE)</f>
        <v>2084</v>
      </c>
      <c r="N24" s="8">
        <f>VLOOKUP(B24,'75 - Summary Exhibit'!A:N,12,FALSE)</f>
        <v>16744</v>
      </c>
      <c r="O24" s="8">
        <f>VLOOKUP(B24,'75 - Summary Exhibit'!A:N,13,FALSE)</f>
        <v>-215</v>
      </c>
      <c r="P24" s="8">
        <f t="shared" si="0"/>
        <v>16529</v>
      </c>
      <c r="Q24" s="8">
        <f>VLOOKUP(B24,'75- Deferred Amortization'!A:H,3,FALSE)</f>
        <v>5647</v>
      </c>
      <c r="R24" s="8">
        <f>VLOOKUP(B24,'75- Deferred Amortization'!A:H,4,FALSE)</f>
        <v>3208</v>
      </c>
      <c r="S24" s="8">
        <f>VLOOKUP(B24,'75- Deferred Amortization'!A:H,5,FALSE)</f>
        <v>5344</v>
      </c>
      <c r="T24" s="8">
        <f>VLOOKUP(B24,'75- Deferred Amortization'!A:H,6,FALSE)</f>
        <v>1841</v>
      </c>
      <c r="U24" s="8">
        <f>VLOOKUP(B24,'75- Deferred Amortization'!A:H,7,FALSE)</f>
        <v>915</v>
      </c>
      <c r="V24" s="8">
        <f>VLOOKUP(B24,'75- Deferred Amortization'!A:H,8,FALSE)</f>
        <v>485</v>
      </c>
      <c r="X24">
        <v>2</v>
      </c>
      <c r="Y24" s="8">
        <f t="shared" si="1"/>
        <v>-28</v>
      </c>
      <c r="Z24" s="8">
        <f t="shared" si="2"/>
        <v>1</v>
      </c>
      <c r="AB24" s="8">
        <f t="shared" si="12"/>
        <v>-567</v>
      </c>
      <c r="AC24" s="8">
        <v>12604</v>
      </c>
      <c r="AD24" s="10">
        <v>14128</v>
      </c>
      <c r="AE24" s="10">
        <v>13331</v>
      </c>
      <c r="AF24" s="10">
        <v>810</v>
      </c>
      <c r="AG24" s="8">
        <v>1490</v>
      </c>
      <c r="AH24" s="8">
        <v>0</v>
      </c>
      <c r="AI24" s="8">
        <v>0</v>
      </c>
      <c r="AJ24" s="8">
        <v>2335</v>
      </c>
      <c r="AK24" s="8">
        <v>1708</v>
      </c>
      <c r="AM24" s="8">
        <f t="shared" si="3"/>
        <v>-391</v>
      </c>
      <c r="AN24" s="8">
        <f t="shared" si="4"/>
        <v>376</v>
      </c>
      <c r="AO24" s="10">
        <f t="shared" si="5"/>
        <v>-3579</v>
      </c>
      <c r="AP24" s="8">
        <f t="shared" si="6"/>
        <v>6667</v>
      </c>
      <c r="AQ24" s="10">
        <f t="shared" si="7"/>
        <v>67</v>
      </c>
      <c r="AR24" s="8">
        <f t="shared" si="8"/>
        <v>-280</v>
      </c>
      <c r="AS24" s="8">
        <f t="shared" si="9"/>
        <v>-567</v>
      </c>
      <c r="AT24" s="10">
        <f t="shared" si="10"/>
        <v>2391</v>
      </c>
      <c r="AU24" s="8">
        <f t="shared" si="11"/>
        <v>0</v>
      </c>
      <c r="AV24" s="8">
        <f t="shared" si="13"/>
        <v>12037</v>
      </c>
    </row>
    <row r="25" spans="1:48">
      <c r="A25" t="s">
        <v>57</v>
      </c>
      <c r="B25">
        <v>30905</v>
      </c>
      <c r="C25" s="8">
        <f>VLOOKUP(B25,'ER Contributions'!A:D,4,FALSE)</f>
        <v>6025</v>
      </c>
      <c r="D25" s="9">
        <f>VLOOKUP(B25,'ER Contributions'!A:D,3,FALSE)</f>
        <v>2.6200000000000003E-4</v>
      </c>
      <c r="E25" s="8">
        <f>VLOOKUP(B25,'75 - Summary Exhibit'!A:N,3,FALSE)</f>
        <v>6968</v>
      </c>
      <c r="F25" s="10">
        <f>VLOOKUP(B25,'75 - Summary Exhibit'!A:N,4,FALSE)</f>
        <v>6107</v>
      </c>
      <c r="G25" s="10">
        <f>VLOOKUP(B25,'75 - Summary Exhibit'!A:N,5,FALSE)</f>
        <v>9101</v>
      </c>
      <c r="H25" s="10">
        <f>VLOOKUP(B25,'75 - Summary Exhibit'!A:N,6,FALSE)</f>
        <v>508</v>
      </c>
      <c r="I25" s="8">
        <f>VLOOKUP(B25,'75 - Summary Exhibit'!A:N,7,FALSE)</f>
        <v>5352</v>
      </c>
      <c r="J25" s="8">
        <f>VLOOKUP(B25,'75 - Summary Exhibit'!A:N,8,FALSE)</f>
        <v>3860</v>
      </c>
      <c r="K25" s="8">
        <f>VLOOKUP(B25,'75 - Summary Exhibit'!A:N,9,FALSE)</f>
        <v>0</v>
      </c>
      <c r="L25" s="8">
        <f>VLOOKUP(B25,'75 - Summary Exhibit'!A:N,10,FALSE)</f>
        <v>1189</v>
      </c>
      <c r="M25" s="8">
        <f>VLOOKUP(B25,'75 - Summary Exhibit'!A:N,11,FALSE)</f>
        <v>0</v>
      </c>
      <c r="N25" s="8">
        <f>VLOOKUP(B25,'75 - Summary Exhibit'!A:N,12,FALSE)</f>
        <v>9693</v>
      </c>
      <c r="O25" s="8">
        <f>VLOOKUP(B25,'75 - Summary Exhibit'!A:N,13,FALSE)</f>
        <v>1524</v>
      </c>
      <c r="P25" s="8">
        <f t="shared" si="0"/>
        <v>11217</v>
      </c>
      <c r="Q25" s="8">
        <f>VLOOKUP(B25,'75- Deferred Amortization'!A:H,3,FALSE)</f>
        <v>4918</v>
      </c>
      <c r="R25" s="8">
        <f>VLOOKUP(B25,'75- Deferred Amortization'!A:H,4,FALSE)</f>
        <v>3227</v>
      </c>
      <c r="S25" s="8">
        <f>VLOOKUP(B25,'75- Deferred Amortization'!A:H,5,FALSE)</f>
        <v>4137</v>
      </c>
      <c r="T25" s="8">
        <f>VLOOKUP(B25,'75- Deferred Amortization'!A:H,6,FALSE)</f>
        <v>2109</v>
      </c>
      <c r="U25" s="8">
        <f>VLOOKUP(B25,'75- Deferred Amortization'!A:H,7,FALSE)</f>
        <v>1017</v>
      </c>
      <c r="V25" s="8">
        <f>VLOOKUP(B25,'75- Deferred Amortization'!A:H,8,FALSE)</f>
        <v>613</v>
      </c>
      <c r="X25">
        <v>2</v>
      </c>
      <c r="Y25" s="8">
        <f t="shared" si="1"/>
        <v>-15</v>
      </c>
      <c r="Z25" s="8">
        <f t="shared" si="2"/>
        <v>-2</v>
      </c>
      <c r="AB25" s="8">
        <f t="shared" si="12"/>
        <v>-401</v>
      </c>
      <c r="AC25" s="8">
        <v>7369</v>
      </c>
      <c r="AD25" s="10">
        <v>8260</v>
      </c>
      <c r="AE25" s="10">
        <v>7794</v>
      </c>
      <c r="AF25" s="10">
        <v>474</v>
      </c>
      <c r="AG25" s="8">
        <v>6464</v>
      </c>
      <c r="AH25" s="8">
        <v>0</v>
      </c>
      <c r="AI25" s="8">
        <v>0</v>
      </c>
      <c r="AJ25" s="8">
        <v>1365</v>
      </c>
      <c r="AK25" s="8">
        <v>0</v>
      </c>
      <c r="AM25" s="8">
        <f t="shared" si="3"/>
        <v>-1112</v>
      </c>
      <c r="AN25" s="8">
        <f t="shared" si="4"/>
        <v>0</v>
      </c>
      <c r="AO25" s="10">
        <f t="shared" si="5"/>
        <v>-2153</v>
      </c>
      <c r="AP25" s="8">
        <f t="shared" si="6"/>
        <v>3860</v>
      </c>
      <c r="AQ25" s="10">
        <f t="shared" si="7"/>
        <v>34</v>
      </c>
      <c r="AR25" s="8">
        <f t="shared" si="8"/>
        <v>-176</v>
      </c>
      <c r="AS25" s="8">
        <f t="shared" si="9"/>
        <v>-401</v>
      </c>
      <c r="AT25" s="10">
        <f t="shared" si="10"/>
        <v>1307</v>
      </c>
      <c r="AU25" s="8">
        <f t="shared" si="11"/>
        <v>0</v>
      </c>
      <c r="AV25" s="8">
        <f t="shared" si="13"/>
        <v>6968</v>
      </c>
    </row>
    <row r="26" spans="1:48">
      <c r="A26" t="s">
        <v>78</v>
      </c>
      <c r="B26">
        <v>34505</v>
      </c>
      <c r="C26" s="8">
        <f>VLOOKUP(B26,'ER Contributions'!A:D,4,FALSE)</f>
        <v>13043</v>
      </c>
      <c r="D26" s="9">
        <f>VLOOKUP(B26,'ER Contributions'!A:D,3,FALSE)</f>
        <v>6.8070000000000001E-4</v>
      </c>
      <c r="E26" s="8">
        <f>VLOOKUP(B26,'75 - Summary Exhibit'!A:N,3,FALSE)</f>
        <v>18104</v>
      </c>
      <c r="F26" s="10">
        <f>VLOOKUP(B26,'75 - Summary Exhibit'!A:N,4,FALSE)</f>
        <v>15866</v>
      </c>
      <c r="G26" s="10">
        <f>VLOOKUP(B26,'75 - Summary Exhibit'!A:N,5,FALSE)</f>
        <v>23646</v>
      </c>
      <c r="H26" s="10">
        <f>VLOOKUP(B26,'75 - Summary Exhibit'!A:N,6,FALSE)</f>
        <v>1319</v>
      </c>
      <c r="I26" s="8">
        <f>VLOOKUP(B26,'75 - Summary Exhibit'!A:N,7,FALSE)</f>
        <v>2552</v>
      </c>
      <c r="J26" s="8">
        <f>VLOOKUP(B26,'75 - Summary Exhibit'!A:N,8,FALSE)</f>
        <v>10027</v>
      </c>
      <c r="K26" s="8">
        <f>VLOOKUP(B26,'75 - Summary Exhibit'!A:N,9,FALSE)</f>
        <v>0</v>
      </c>
      <c r="L26" s="8">
        <f>VLOOKUP(B26,'75 - Summary Exhibit'!A:N,10,FALSE)</f>
        <v>3090</v>
      </c>
      <c r="M26" s="8">
        <f>VLOOKUP(B26,'75 - Summary Exhibit'!A:N,11,FALSE)</f>
        <v>5817</v>
      </c>
      <c r="N26" s="8">
        <f>VLOOKUP(B26,'75 - Summary Exhibit'!A:N,12,FALSE)</f>
        <v>25182</v>
      </c>
      <c r="O26" s="8">
        <f>VLOOKUP(B26,'75 - Summary Exhibit'!A:N,13,FALSE)</f>
        <v>-922</v>
      </c>
      <c r="P26" s="8">
        <f t="shared" si="0"/>
        <v>24260</v>
      </c>
      <c r="Q26" s="8">
        <f>VLOOKUP(B26,'75- Deferred Amortization'!A:H,3,FALSE)</f>
        <v>7899</v>
      </c>
      <c r="R26" s="8">
        <f>VLOOKUP(B26,'75- Deferred Amortization'!A:H,4,FALSE)</f>
        <v>4289</v>
      </c>
      <c r="S26" s="8">
        <f>VLOOKUP(B26,'75- Deferred Amortization'!A:H,5,FALSE)</f>
        <v>7603</v>
      </c>
      <c r="T26" s="8">
        <f>VLOOKUP(B26,'75- Deferred Amortization'!A:H,6,FALSE)</f>
        <v>2331</v>
      </c>
      <c r="U26" s="8">
        <f>VLOOKUP(B26,'75- Deferred Amortization'!A:H,7,FALSE)</f>
        <v>1135</v>
      </c>
      <c r="V26" s="8">
        <f>VLOOKUP(B26,'75- Deferred Amortization'!A:H,8,FALSE)</f>
        <v>1190</v>
      </c>
      <c r="X26">
        <v>2</v>
      </c>
      <c r="Y26" s="8">
        <f t="shared" si="1"/>
        <v>-42</v>
      </c>
      <c r="Z26" s="8">
        <f t="shared" si="2"/>
        <v>2</v>
      </c>
      <c r="AB26" s="8">
        <f t="shared" si="12"/>
        <v>-816</v>
      </c>
      <c r="AC26" s="8">
        <v>18920</v>
      </c>
      <c r="AD26" s="10">
        <v>21207</v>
      </c>
      <c r="AE26" s="10">
        <v>20011</v>
      </c>
      <c r="AF26" s="10">
        <v>1216</v>
      </c>
      <c r="AG26" s="8">
        <v>3269</v>
      </c>
      <c r="AH26" s="8">
        <v>0</v>
      </c>
      <c r="AI26" s="8">
        <v>0</v>
      </c>
      <c r="AJ26" s="8">
        <v>3505</v>
      </c>
      <c r="AK26" s="8">
        <v>5674</v>
      </c>
      <c r="AM26" s="8">
        <f t="shared" si="3"/>
        <v>-717</v>
      </c>
      <c r="AN26" s="8">
        <f t="shared" si="4"/>
        <v>143</v>
      </c>
      <c r="AO26" s="10">
        <f t="shared" si="5"/>
        <v>-5341</v>
      </c>
      <c r="AP26" s="8">
        <f t="shared" si="6"/>
        <v>10027</v>
      </c>
      <c r="AQ26" s="10">
        <f t="shared" si="7"/>
        <v>103</v>
      </c>
      <c r="AR26" s="8">
        <f t="shared" si="8"/>
        <v>-415</v>
      </c>
      <c r="AS26" s="8">
        <f t="shared" si="9"/>
        <v>-816</v>
      </c>
      <c r="AT26" s="10">
        <f t="shared" si="10"/>
        <v>3635</v>
      </c>
      <c r="AU26" s="8">
        <f t="shared" si="11"/>
        <v>0</v>
      </c>
      <c r="AV26" s="8">
        <f t="shared" si="13"/>
        <v>18104</v>
      </c>
    </row>
    <row r="27" spans="1:48">
      <c r="A27" t="s">
        <v>58</v>
      </c>
      <c r="B27">
        <v>31005</v>
      </c>
      <c r="C27" s="8">
        <f>VLOOKUP(B27,'ER Contributions'!A:D,4,FALSE)</f>
        <v>8827</v>
      </c>
      <c r="D27" s="9">
        <f>VLOOKUP(B27,'ER Contributions'!A:D,3,FALSE)</f>
        <v>4.1439999999999999E-4</v>
      </c>
      <c r="E27" s="8">
        <f>VLOOKUP(B27,'75 - Summary Exhibit'!A:N,3,FALSE)</f>
        <v>11021</v>
      </c>
      <c r="F27" s="10">
        <f>VLOOKUP(B27,'75 - Summary Exhibit'!A:N,4,FALSE)</f>
        <v>9659</v>
      </c>
      <c r="G27" s="10">
        <f>VLOOKUP(B27,'75 - Summary Exhibit'!A:N,5,FALSE)</f>
        <v>14395</v>
      </c>
      <c r="H27" s="10">
        <f>VLOOKUP(B27,'75 - Summary Exhibit'!A:N,6,FALSE)</f>
        <v>803</v>
      </c>
      <c r="I27" s="8">
        <f>VLOOKUP(B27,'75 - Summary Exhibit'!A:N,7,FALSE)</f>
        <v>2464</v>
      </c>
      <c r="J27" s="8">
        <f>VLOOKUP(B27,'75 - Summary Exhibit'!A:N,8,FALSE)</f>
        <v>6105</v>
      </c>
      <c r="K27" s="8">
        <f>VLOOKUP(B27,'75 - Summary Exhibit'!A:N,9,FALSE)</f>
        <v>0</v>
      </c>
      <c r="L27" s="8">
        <f>VLOOKUP(B27,'75 - Summary Exhibit'!A:N,10,FALSE)</f>
        <v>1881</v>
      </c>
      <c r="M27" s="8">
        <f>VLOOKUP(B27,'75 - Summary Exhibit'!A:N,11,FALSE)</f>
        <v>731</v>
      </c>
      <c r="N27" s="8">
        <f>VLOOKUP(B27,'75 - Summary Exhibit'!A:N,12,FALSE)</f>
        <v>15331</v>
      </c>
      <c r="O27" s="8">
        <f>VLOOKUP(B27,'75 - Summary Exhibit'!A:N,13,FALSE)</f>
        <v>860</v>
      </c>
      <c r="P27" s="8">
        <f t="shared" si="0"/>
        <v>16191</v>
      </c>
      <c r="Q27" s="8">
        <f>VLOOKUP(B27,'75- Deferred Amortization'!A:H,3,FALSE)</f>
        <v>6227</v>
      </c>
      <c r="R27" s="8">
        <f>VLOOKUP(B27,'75- Deferred Amortization'!A:H,4,FALSE)</f>
        <v>3686</v>
      </c>
      <c r="S27" s="8">
        <f>VLOOKUP(B27,'75- Deferred Amortization'!A:H,5,FALSE)</f>
        <v>5341</v>
      </c>
      <c r="T27" s="8">
        <f>VLOOKUP(B27,'75- Deferred Amortization'!A:H,6,FALSE)</f>
        <v>2132</v>
      </c>
      <c r="U27" s="8">
        <f>VLOOKUP(B27,'75- Deferred Amortization'!A:H,7,FALSE)</f>
        <v>749</v>
      </c>
      <c r="V27" s="8">
        <f>VLOOKUP(B27,'75- Deferred Amortization'!A:H,8,FALSE)</f>
        <v>468</v>
      </c>
      <c r="X27">
        <v>2</v>
      </c>
      <c r="Y27" s="8">
        <f t="shared" si="1"/>
        <v>-24</v>
      </c>
      <c r="Z27" s="8">
        <f t="shared" si="2"/>
        <v>1</v>
      </c>
      <c r="AB27" s="8">
        <f t="shared" si="12"/>
        <v>-685</v>
      </c>
      <c r="AC27" s="8">
        <v>11706</v>
      </c>
      <c r="AD27" s="10">
        <v>13121</v>
      </c>
      <c r="AE27" s="10">
        <v>12381</v>
      </c>
      <c r="AF27" s="10">
        <v>752</v>
      </c>
      <c r="AG27" s="8">
        <v>3445</v>
      </c>
      <c r="AH27" s="8">
        <v>0</v>
      </c>
      <c r="AI27" s="8">
        <v>0</v>
      </c>
      <c r="AJ27" s="8">
        <v>2169</v>
      </c>
      <c r="AK27" s="8">
        <v>853</v>
      </c>
      <c r="AM27" s="8">
        <f t="shared" si="3"/>
        <v>-981</v>
      </c>
      <c r="AN27" s="8">
        <f t="shared" si="4"/>
        <v>-122</v>
      </c>
      <c r="AO27" s="10">
        <f t="shared" si="5"/>
        <v>-3462</v>
      </c>
      <c r="AP27" s="8">
        <f t="shared" si="6"/>
        <v>6105</v>
      </c>
      <c r="AQ27" s="10">
        <f t="shared" si="7"/>
        <v>51</v>
      </c>
      <c r="AR27" s="8">
        <f t="shared" si="8"/>
        <v>-288</v>
      </c>
      <c r="AS27" s="8">
        <f t="shared" si="9"/>
        <v>-685</v>
      </c>
      <c r="AT27" s="10">
        <f t="shared" si="10"/>
        <v>2014</v>
      </c>
      <c r="AU27" s="8">
        <f t="shared" si="11"/>
        <v>0</v>
      </c>
      <c r="AV27" s="8">
        <f t="shared" si="13"/>
        <v>11021</v>
      </c>
    </row>
    <row r="28" spans="1:48">
      <c r="A28" t="s">
        <v>61</v>
      </c>
      <c r="B28">
        <v>31405</v>
      </c>
      <c r="C28" s="8">
        <f>VLOOKUP(B28,'ER Contributions'!A:D,4,FALSE)</f>
        <v>18223</v>
      </c>
      <c r="D28" s="9">
        <f>VLOOKUP(B28,'ER Contributions'!A:D,3,FALSE)</f>
        <v>8.229E-4</v>
      </c>
      <c r="E28" s="8">
        <f>VLOOKUP(B28,'75 - Summary Exhibit'!A:N,3,FALSE)</f>
        <v>21886</v>
      </c>
      <c r="F28" s="10">
        <f>VLOOKUP(B28,'75 - Summary Exhibit'!A:N,4,FALSE)</f>
        <v>19180</v>
      </c>
      <c r="G28" s="10">
        <f>VLOOKUP(B28,'75 - Summary Exhibit'!A:N,5,FALSE)</f>
        <v>28586</v>
      </c>
      <c r="H28" s="10">
        <f>VLOOKUP(B28,'75 - Summary Exhibit'!A:N,6,FALSE)</f>
        <v>1595</v>
      </c>
      <c r="I28" s="8">
        <f>VLOOKUP(B28,'75 - Summary Exhibit'!A:N,7,FALSE)</f>
        <v>7010</v>
      </c>
      <c r="J28" s="8">
        <f>VLOOKUP(B28,'75 - Summary Exhibit'!A:N,8,FALSE)</f>
        <v>12122</v>
      </c>
      <c r="K28" s="8">
        <f>VLOOKUP(B28,'75 - Summary Exhibit'!A:N,9,FALSE)</f>
        <v>0</v>
      </c>
      <c r="L28" s="8">
        <f>VLOOKUP(B28,'75 - Summary Exhibit'!A:N,10,FALSE)</f>
        <v>3736</v>
      </c>
      <c r="M28" s="8">
        <f>VLOOKUP(B28,'75 - Summary Exhibit'!A:N,11,FALSE)</f>
        <v>304</v>
      </c>
      <c r="N28" s="8">
        <f>VLOOKUP(B28,'75 - Summary Exhibit'!A:N,12,FALSE)</f>
        <v>30443</v>
      </c>
      <c r="O28" s="8">
        <f>VLOOKUP(B28,'75 - Summary Exhibit'!A:N,13,FALSE)</f>
        <v>1786</v>
      </c>
      <c r="P28" s="8">
        <f t="shared" si="0"/>
        <v>32229</v>
      </c>
      <c r="Q28" s="8">
        <f>VLOOKUP(B28,'75- Deferred Amortization'!A:H,3,FALSE)</f>
        <v>12450</v>
      </c>
      <c r="R28" s="8">
        <f>VLOOKUP(B28,'75- Deferred Amortization'!A:H,4,FALSE)</f>
        <v>8234</v>
      </c>
      <c r="S28" s="8">
        <f>VLOOKUP(B28,'75- Deferred Amortization'!A:H,5,FALSE)</f>
        <v>11310</v>
      </c>
      <c r="T28" s="8">
        <f>VLOOKUP(B28,'75- Deferred Amortization'!A:H,6,FALSE)</f>
        <v>4938</v>
      </c>
      <c r="U28" s="8">
        <f>VLOOKUP(B28,'75- Deferred Amortization'!A:H,7,FALSE)</f>
        <v>2157</v>
      </c>
      <c r="V28" s="8">
        <f>VLOOKUP(B28,'75- Deferred Amortization'!A:H,8,FALSE)</f>
        <v>1119</v>
      </c>
      <c r="X28">
        <v>2</v>
      </c>
      <c r="Y28" s="8">
        <f t="shared" si="1"/>
        <v>-49</v>
      </c>
      <c r="Z28" s="8">
        <f t="shared" si="2"/>
        <v>1</v>
      </c>
      <c r="AB28" s="8">
        <f t="shared" si="12"/>
        <v>-1300</v>
      </c>
      <c r="AC28" s="8">
        <v>23186</v>
      </c>
      <c r="AD28" s="10">
        <v>25989</v>
      </c>
      <c r="AE28" s="10">
        <v>24523</v>
      </c>
      <c r="AF28" s="10">
        <v>1490</v>
      </c>
      <c r="AG28" s="8">
        <v>8212</v>
      </c>
      <c r="AH28" s="8">
        <v>0</v>
      </c>
      <c r="AI28" s="8">
        <v>0</v>
      </c>
      <c r="AJ28" s="8">
        <v>4295</v>
      </c>
      <c r="AK28" s="8">
        <v>355</v>
      </c>
      <c r="AM28" s="8">
        <f t="shared" si="3"/>
        <v>-1202</v>
      </c>
      <c r="AN28" s="8">
        <f t="shared" si="4"/>
        <v>-51</v>
      </c>
      <c r="AO28" s="10">
        <f t="shared" si="5"/>
        <v>-6809</v>
      </c>
      <c r="AP28" s="8">
        <f t="shared" si="6"/>
        <v>12122</v>
      </c>
      <c r="AQ28" s="10">
        <f t="shared" si="7"/>
        <v>105</v>
      </c>
      <c r="AR28" s="8">
        <f t="shared" si="8"/>
        <v>-559</v>
      </c>
      <c r="AS28" s="8">
        <f t="shared" si="9"/>
        <v>-1300</v>
      </c>
      <c r="AT28" s="10">
        <f t="shared" si="10"/>
        <v>4063</v>
      </c>
      <c r="AU28" s="8">
        <f t="shared" si="11"/>
        <v>0</v>
      </c>
      <c r="AV28" s="8">
        <f t="shared" si="13"/>
        <v>21886</v>
      </c>
    </row>
    <row r="29" spans="1:48">
      <c r="A29" t="s">
        <v>92</v>
      </c>
      <c r="B29">
        <v>36505</v>
      </c>
      <c r="C29" s="8">
        <f>VLOOKUP(B29,'ER Contributions'!A:D,4,FALSE)</f>
        <v>38427</v>
      </c>
      <c r="D29" s="9">
        <f>VLOOKUP(B29,'ER Contributions'!A:D,3,FALSE)</f>
        <v>1.872E-3</v>
      </c>
      <c r="E29" s="8">
        <f>VLOOKUP(B29,'75 - Summary Exhibit'!A:N,3,FALSE)</f>
        <v>49788</v>
      </c>
      <c r="F29" s="10">
        <f>VLOOKUP(B29,'75 - Summary Exhibit'!A:N,4,FALSE)</f>
        <v>43633</v>
      </c>
      <c r="G29" s="10">
        <f>VLOOKUP(B29,'75 - Summary Exhibit'!A:N,5,FALSE)</f>
        <v>65030</v>
      </c>
      <c r="H29" s="10">
        <f>VLOOKUP(B29,'75 - Summary Exhibit'!A:N,6,FALSE)</f>
        <v>3628</v>
      </c>
      <c r="I29" s="8">
        <f>VLOOKUP(B29,'75 - Summary Exhibit'!A:N,7,FALSE)</f>
        <v>11195</v>
      </c>
      <c r="J29" s="8">
        <f>VLOOKUP(B29,'75 - Summary Exhibit'!A:N,8,FALSE)</f>
        <v>27576</v>
      </c>
      <c r="K29" s="8">
        <f>VLOOKUP(B29,'75 - Summary Exhibit'!A:N,9,FALSE)</f>
        <v>0</v>
      </c>
      <c r="L29" s="8">
        <f>VLOOKUP(B29,'75 - Summary Exhibit'!A:N,10,FALSE)</f>
        <v>8499</v>
      </c>
      <c r="M29" s="8">
        <f>VLOOKUP(B29,'75 - Summary Exhibit'!A:N,11,FALSE)</f>
        <v>2583</v>
      </c>
      <c r="N29" s="8">
        <f>VLOOKUP(B29,'75 - Summary Exhibit'!A:N,12,FALSE)</f>
        <v>69255</v>
      </c>
      <c r="O29" s="8">
        <f>VLOOKUP(B29,'75 - Summary Exhibit'!A:N,13,FALSE)</f>
        <v>2395</v>
      </c>
      <c r="P29" s="8">
        <f t="shared" si="0"/>
        <v>71650</v>
      </c>
      <c r="Q29" s="8">
        <f>VLOOKUP(B29,'75- Deferred Amortization'!A:H,3,FALSE)</f>
        <v>26651</v>
      </c>
      <c r="R29" s="8">
        <f>VLOOKUP(B29,'75- Deferred Amortization'!A:H,4,FALSE)</f>
        <v>16159</v>
      </c>
      <c r="S29" s="8">
        <f>VLOOKUP(B29,'75- Deferred Amortization'!A:H,5,FALSE)</f>
        <v>24265</v>
      </c>
      <c r="T29" s="8">
        <f>VLOOKUP(B29,'75- Deferred Amortization'!A:H,6,FALSE)</f>
        <v>9762</v>
      </c>
      <c r="U29" s="8">
        <f>VLOOKUP(B29,'75- Deferred Amortization'!A:H,7,FALSE)</f>
        <v>4865</v>
      </c>
      <c r="V29" s="8">
        <f>VLOOKUP(B29,'75- Deferred Amortization'!A:H,8,FALSE)</f>
        <v>3123</v>
      </c>
      <c r="X29">
        <v>2</v>
      </c>
      <c r="Y29" s="8">
        <f t="shared" si="1"/>
        <v>-111</v>
      </c>
      <c r="Z29" s="8">
        <f t="shared" si="2"/>
        <v>3</v>
      </c>
      <c r="AB29" s="8">
        <f t="shared" si="12"/>
        <v>-2676</v>
      </c>
      <c r="AC29" s="8">
        <v>52464</v>
      </c>
      <c r="AD29" s="10">
        <v>58807</v>
      </c>
      <c r="AE29" s="10">
        <v>55490</v>
      </c>
      <c r="AF29" s="10">
        <v>3372</v>
      </c>
      <c r="AG29" s="8">
        <v>14549</v>
      </c>
      <c r="AH29" s="8">
        <v>0</v>
      </c>
      <c r="AI29" s="8">
        <v>0</v>
      </c>
      <c r="AJ29" s="8">
        <v>9719</v>
      </c>
      <c r="AK29" s="8">
        <v>1661</v>
      </c>
      <c r="AM29" s="8">
        <f t="shared" si="3"/>
        <v>-3354</v>
      </c>
      <c r="AN29" s="8">
        <f t="shared" si="4"/>
        <v>922</v>
      </c>
      <c r="AO29" s="10">
        <f t="shared" si="5"/>
        <v>-15174</v>
      </c>
      <c r="AP29" s="8">
        <f t="shared" si="6"/>
        <v>27576</v>
      </c>
      <c r="AQ29" s="10">
        <f t="shared" si="7"/>
        <v>256</v>
      </c>
      <c r="AR29" s="8">
        <f t="shared" si="8"/>
        <v>-1220</v>
      </c>
      <c r="AS29" s="8">
        <f t="shared" si="9"/>
        <v>-2676</v>
      </c>
      <c r="AT29" s="10">
        <f t="shared" si="10"/>
        <v>9540</v>
      </c>
      <c r="AU29" s="8">
        <f t="shared" si="11"/>
        <v>0</v>
      </c>
      <c r="AV29" s="8">
        <f t="shared" si="13"/>
        <v>49788</v>
      </c>
    </row>
    <row r="30" spans="1:48">
      <c r="A30" t="s">
        <v>62</v>
      </c>
      <c r="B30">
        <v>31605</v>
      </c>
      <c r="C30" s="8">
        <f>VLOOKUP(B30,'ER Contributions'!A:D,4,FALSE)</f>
        <v>9745</v>
      </c>
      <c r="D30" s="9">
        <f>VLOOKUP(B30,'ER Contributions'!A:D,3,FALSE)</f>
        <v>4.4240000000000002E-4</v>
      </c>
      <c r="E30" s="8">
        <f>VLOOKUP(B30,'75 - Summary Exhibit'!A:N,3,FALSE)</f>
        <v>11766</v>
      </c>
      <c r="F30" s="10">
        <f>VLOOKUP(B30,'75 - Summary Exhibit'!A:N,4,FALSE)</f>
        <v>10311</v>
      </c>
      <c r="G30" s="10">
        <f>VLOOKUP(B30,'75 - Summary Exhibit'!A:N,5,FALSE)</f>
        <v>15368</v>
      </c>
      <c r="H30" s="10">
        <f>VLOOKUP(B30,'75 - Summary Exhibit'!A:N,6,FALSE)</f>
        <v>857</v>
      </c>
      <c r="I30" s="8">
        <f>VLOOKUP(B30,'75 - Summary Exhibit'!A:N,7,FALSE)</f>
        <v>2147</v>
      </c>
      <c r="J30" s="8">
        <f>VLOOKUP(B30,'75 - Summary Exhibit'!A:N,8,FALSE)</f>
        <v>6517</v>
      </c>
      <c r="K30" s="8">
        <f>VLOOKUP(B30,'75 - Summary Exhibit'!A:N,9,FALSE)</f>
        <v>0</v>
      </c>
      <c r="L30" s="8">
        <f>VLOOKUP(B30,'75 - Summary Exhibit'!A:N,10,FALSE)</f>
        <v>2008</v>
      </c>
      <c r="M30" s="8">
        <f>VLOOKUP(B30,'75 - Summary Exhibit'!A:N,11,FALSE)</f>
        <v>224</v>
      </c>
      <c r="N30" s="8">
        <f>VLOOKUP(B30,'75 - Summary Exhibit'!A:N,12,FALSE)</f>
        <v>16367</v>
      </c>
      <c r="O30" s="8">
        <f>VLOOKUP(B30,'75 - Summary Exhibit'!A:N,13,FALSE)</f>
        <v>878</v>
      </c>
      <c r="P30" s="8">
        <f t="shared" si="0"/>
        <v>17245</v>
      </c>
      <c r="Q30" s="8">
        <f>VLOOKUP(B30,'75- Deferred Amortization'!A:H,3,FALSE)</f>
        <v>6612</v>
      </c>
      <c r="R30" s="8">
        <f>VLOOKUP(B30,'75- Deferred Amortization'!A:H,4,FALSE)</f>
        <v>4005</v>
      </c>
      <c r="S30" s="8">
        <f>VLOOKUP(B30,'75- Deferred Amortization'!A:H,5,FALSE)</f>
        <v>5574</v>
      </c>
      <c r="T30" s="8">
        <f>VLOOKUP(B30,'75- Deferred Amortization'!A:H,6,FALSE)</f>
        <v>2151</v>
      </c>
      <c r="U30" s="8">
        <f>VLOOKUP(B30,'75- Deferred Amortization'!A:H,7,FALSE)</f>
        <v>899</v>
      </c>
      <c r="V30" s="8">
        <f>VLOOKUP(B30,'75- Deferred Amortization'!A:H,8,FALSE)</f>
        <v>693</v>
      </c>
      <c r="X30">
        <v>2</v>
      </c>
      <c r="Y30" s="8">
        <f t="shared" si="1"/>
        <v>-25</v>
      </c>
      <c r="Z30" s="8">
        <f t="shared" si="2"/>
        <v>0</v>
      </c>
      <c r="AB30" s="8">
        <f t="shared" si="12"/>
        <v>-981</v>
      </c>
      <c r="AC30" s="8">
        <v>12747</v>
      </c>
      <c r="AD30" s="10">
        <v>14288</v>
      </c>
      <c r="AE30" s="10">
        <v>13482</v>
      </c>
      <c r="AF30" s="10">
        <v>819</v>
      </c>
      <c r="AG30" s="8">
        <v>2481</v>
      </c>
      <c r="AH30" s="8">
        <v>0</v>
      </c>
      <c r="AI30" s="8">
        <v>0</v>
      </c>
      <c r="AJ30" s="8">
        <v>2361</v>
      </c>
      <c r="AK30" s="8">
        <v>269</v>
      </c>
      <c r="AM30" s="8">
        <f t="shared" si="3"/>
        <v>-334</v>
      </c>
      <c r="AN30" s="8">
        <f t="shared" si="4"/>
        <v>-45</v>
      </c>
      <c r="AO30" s="10">
        <f t="shared" si="5"/>
        <v>-3977</v>
      </c>
      <c r="AP30" s="8">
        <f t="shared" si="6"/>
        <v>6517</v>
      </c>
      <c r="AQ30" s="10">
        <f t="shared" si="7"/>
        <v>38</v>
      </c>
      <c r="AR30" s="8">
        <f t="shared" si="8"/>
        <v>-353</v>
      </c>
      <c r="AS30" s="8">
        <f t="shared" si="9"/>
        <v>-981</v>
      </c>
      <c r="AT30" s="10">
        <f t="shared" si="10"/>
        <v>1886</v>
      </c>
      <c r="AU30" s="8">
        <f t="shared" si="11"/>
        <v>0</v>
      </c>
      <c r="AV30" s="8">
        <f t="shared" si="13"/>
        <v>11766</v>
      </c>
    </row>
    <row r="31" spans="1:48">
      <c r="A31" t="s">
        <v>63</v>
      </c>
      <c r="B31">
        <v>31805</v>
      </c>
      <c r="C31" s="8">
        <f>VLOOKUP(B31,'ER Contributions'!A:D,4,FALSE)</f>
        <v>22797</v>
      </c>
      <c r="D31" s="9">
        <f>VLOOKUP(B31,'ER Contributions'!A:D,3,FALSE)</f>
        <v>1.0973000000000001E-3</v>
      </c>
      <c r="E31" s="8">
        <f>VLOOKUP(B31,'75 - Summary Exhibit'!A:N,3,FALSE)</f>
        <v>29184</v>
      </c>
      <c r="F31" s="10">
        <f>VLOOKUP(B31,'75 - Summary Exhibit'!A:N,4,FALSE)</f>
        <v>25576</v>
      </c>
      <c r="G31" s="10">
        <f>VLOOKUP(B31,'75 - Summary Exhibit'!A:N,5,FALSE)</f>
        <v>38118</v>
      </c>
      <c r="H31" s="10">
        <f>VLOOKUP(B31,'75 - Summary Exhibit'!A:N,6,FALSE)</f>
        <v>2127</v>
      </c>
      <c r="I31" s="8">
        <f>VLOOKUP(B31,'75 - Summary Exhibit'!A:N,7,FALSE)</f>
        <v>4872</v>
      </c>
      <c r="J31" s="8">
        <f>VLOOKUP(B31,'75 - Summary Exhibit'!A:N,8,FALSE)</f>
        <v>16164</v>
      </c>
      <c r="K31" s="8">
        <f>VLOOKUP(B31,'75 - Summary Exhibit'!A:N,9,FALSE)</f>
        <v>0</v>
      </c>
      <c r="L31" s="8">
        <f>VLOOKUP(B31,'75 - Summary Exhibit'!A:N,10,FALSE)</f>
        <v>4982</v>
      </c>
      <c r="M31" s="8">
        <f>VLOOKUP(B31,'75 - Summary Exhibit'!A:N,11,FALSE)</f>
        <v>1641</v>
      </c>
      <c r="N31" s="8">
        <f>VLOOKUP(B31,'75 - Summary Exhibit'!A:N,12,FALSE)</f>
        <v>40595</v>
      </c>
      <c r="O31" s="8">
        <f>VLOOKUP(B31,'75 - Summary Exhibit'!A:N,13,FALSE)</f>
        <v>979</v>
      </c>
      <c r="P31" s="8">
        <f t="shared" si="0"/>
        <v>41574</v>
      </c>
      <c r="Q31" s="8">
        <f>VLOOKUP(B31,'75- Deferred Amortization'!A:H,3,FALSE)</f>
        <v>15202</v>
      </c>
      <c r="R31" s="8">
        <f>VLOOKUP(B31,'75- Deferred Amortization'!A:H,4,FALSE)</f>
        <v>9402</v>
      </c>
      <c r="S31" s="8">
        <f>VLOOKUP(B31,'75- Deferred Amortization'!A:H,5,FALSE)</f>
        <v>13555</v>
      </c>
      <c r="T31" s="8">
        <f>VLOOKUP(B31,'75- Deferred Amortization'!A:H,6,FALSE)</f>
        <v>5055</v>
      </c>
      <c r="U31" s="8">
        <f>VLOOKUP(B31,'75- Deferred Amortization'!A:H,7,FALSE)</f>
        <v>2958</v>
      </c>
      <c r="V31" s="8">
        <f>VLOOKUP(B31,'75- Deferred Amortization'!A:H,8,FALSE)</f>
        <v>1733</v>
      </c>
      <c r="X31">
        <v>2</v>
      </c>
      <c r="Y31" s="8">
        <f t="shared" si="1"/>
        <v>-66</v>
      </c>
      <c r="Z31" s="8">
        <f t="shared" si="2"/>
        <v>1</v>
      </c>
      <c r="AB31" s="8">
        <f t="shared" si="12"/>
        <v>-3009</v>
      </c>
      <c r="AC31" s="8">
        <v>32193</v>
      </c>
      <c r="AD31" s="10">
        <v>36086</v>
      </c>
      <c r="AE31" s="10">
        <v>34050</v>
      </c>
      <c r="AF31" s="10">
        <v>2069</v>
      </c>
      <c r="AG31" s="8">
        <v>5568</v>
      </c>
      <c r="AH31" s="8">
        <v>0</v>
      </c>
      <c r="AI31" s="8">
        <v>0</v>
      </c>
      <c r="AJ31" s="8">
        <v>5964</v>
      </c>
      <c r="AK31" s="8">
        <v>2051</v>
      </c>
      <c r="AM31" s="8">
        <f t="shared" si="3"/>
        <v>-696</v>
      </c>
      <c r="AN31" s="8">
        <f t="shared" si="4"/>
        <v>-410</v>
      </c>
      <c r="AO31" s="10">
        <f t="shared" si="5"/>
        <v>-10510</v>
      </c>
      <c r="AP31" s="8">
        <f t="shared" si="6"/>
        <v>16164</v>
      </c>
      <c r="AQ31" s="10">
        <f t="shared" si="7"/>
        <v>58</v>
      </c>
      <c r="AR31" s="8">
        <f t="shared" si="8"/>
        <v>-982</v>
      </c>
      <c r="AS31" s="8">
        <f t="shared" si="9"/>
        <v>-3009</v>
      </c>
      <c r="AT31" s="10">
        <f t="shared" si="10"/>
        <v>4068</v>
      </c>
      <c r="AU31" s="8">
        <f t="shared" si="11"/>
        <v>0</v>
      </c>
      <c r="AV31" s="8">
        <f t="shared" si="13"/>
        <v>29184</v>
      </c>
    </row>
    <row r="32" spans="1:48">
      <c r="A32" t="s">
        <v>83</v>
      </c>
      <c r="B32">
        <v>35305</v>
      </c>
      <c r="C32" s="8">
        <f>VLOOKUP(B32,'ER Contributions'!A:D,4,FALSE)</f>
        <v>25356</v>
      </c>
      <c r="D32" s="9">
        <f>VLOOKUP(B32,'ER Contributions'!A:D,3,FALSE)</f>
        <v>1.3006000000000001E-3</v>
      </c>
      <c r="E32" s="8">
        <f>VLOOKUP(B32,'75 - Summary Exhibit'!A:N,3,FALSE)</f>
        <v>34591</v>
      </c>
      <c r="F32" s="10">
        <f>VLOOKUP(B32,'75 - Summary Exhibit'!A:N,4,FALSE)</f>
        <v>30314</v>
      </c>
      <c r="G32" s="10">
        <f>VLOOKUP(B32,'75 - Summary Exhibit'!A:N,5,FALSE)</f>
        <v>45180</v>
      </c>
      <c r="H32" s="10">
        <f>VLOOKUP(B32,'75 - Summary Exhibit'!A:N,6,FALSE)</f>
        <v>2521</v>
      </c>
      <c r="I32" s="8">
        <f>VLOOKUP(B32,'75 - Summary Exhibit'!A:N,7,FALSE)</f>
        <v>4444</v>
      </c>
      <c r="J32" s="8">
        <f>VLOOKUP(B32,'75 - Summary Exhibit'!A:N,8,FALSE)</f>
        <v>19159</v>
      </c>
      <c r="K32" s="8">
        <f>VLOOKUP(B32,'75 - Summary Exhibit'!A:N,9,FALSE)</f>
        <v>0</v>
      </c>
      <c r="L32" s="8">
        <f>VLOOKUP(B32,'75 - Summary Exhibit'!A:N,10,FALSE)</f>
        <v>5905</v>
      </c>
      <c r="M32" s="8">
        <f>VLOOKUP(B32,'75 - Summary Exhibit'!A:N,11,FALSE)</f>
        <v>6184</v>
      </c>
      <c r="N32" s="8">
        <f>VLOOKUP(B32,'75 - Summary Exhibit'!A:N,12,FALSE)</f>
        <v>48116</v>
      </c>
      <c r="O32" s="8">
        <f>VLOOKUP(B32,'75 - Summary Exhibit'!A:N,13,FALSE)</f>
        <v>-426</v>
      </c>
      <c r="P32" s="8">
        <f t="shared" si="0"/>
        <v>47690</v>
      </c>
      <c r="Q32" s="8">
        <f>VLOOKUP(B32,'75- Deferred Amortization'!A:H,3,FALSE)</f>
        <v>16431</v>
      </c>
      <c r="R32" s="8">
        <f>VLOOKUP(B32,'75- Deferred Amortization'!A:H,4,FALSE)</f>
        <v>10562</v>
      </c>
      <c r="S32" s="8">
        <f>VLOOKUP(B32,'75- Deferred Amortization'!A:H,5,FALSE)</f>
        <v>15761</v>
      </c>
      <c r="T32" s="8">
        <f>VLOOKUP(B32,'75- Deferred Amortization'!A:H,6,FALSE)</f>
        <v>5689</v>
      </c>
      <c r="U32" s="8">
        <f>VLOOKUP(B32,'75- Deferred Amortization'!A:H,7,FALSE)</f>
        <v>1860</v>
      </c>
      <c r="V32" s="8">
        <f>VLOOKUP(B32,'75- Deferred Amortization'!A:H,8,FALSE)</f>
        <v>908</v>
      </c>
      <c r="X32">
        <v>2</v>
      </c>
      <c r="Y32" s="8">
        <f t="shared" si="1"/>
        <v>-77</v>
      </c>
      <c r="Z32" s="8">
        <f t="shared" si="2"/>
        <v>0</v>
      </c>
      <c r="AB32" s="8">
        <f t="shared" si="12"/>
        <v>-4352</v>
      </c>
      <c r="AC32" s="8">
        <v>38943</v>
      </c>
      <c r="AD32" s="10">
        <v>43652</v>
      </c>
      <c r="AE32" s="10">
        <v>41190</v>
      </c>
      <c r="AF32" s="10">
        <v>2503</v>
      </c>
      <c r="AG32" s="8">
        <v>5503</v>
      </c>
      <c r="AH32" s="8">
        <v>0</v>
      </c>
      <c r="AI32" s="8">
        <v>0</v>
      </c>
      <c r="AJ32" s="8">
        <v>7214</v>
      </c>
      <c r="AK32" s="8">
        <v>7660</v>
      </c>
      <c r="AM32" s="8">
        <f t="shared" si="3"/>
        <v>-1059</v>
      </c>
      <c r="AN32" s="8">
        <f t="shared" si="4"/>
        <v>-1476</v>
      </c>
      <c r="AO32" s="10">
        <f t="shared" si="5"/>
        <v>-13338</v>
      </c>
      <c r="AP32" s="8">
        <f t="shared" si="6"/>
        <v>19159</v>
      </c>
      <c r="AQ32" s="10">
        <f t="shared" si="7"/>
        <v>18</v>
      </c>
      <c r="AR32" s="8">
        <f t="shared" si="8"/>
        <v>-1309</v>
      </c>
      <c r="AS32" s="8">
        <f t="shared" si="9"/>
        <v>-4352</v>
      </c>
      <c r="AT32" s="10">
        <f t="shared" si="10"/>
        <v>3990</v>
      </c>
      <c r="AU32" s="8">
        <f t="shared" si="11"/>
        <v>0</v>
      </c>
      <c r="AV32" s="8">
        <f t="shared" si="13"/>
        <v>34591</v>
      </c>
    </row>
    <row r="33" spans="1:48">
      <c r="A33" t="s">
        <v>87</v>
      </c>
      <c r="B33">
        <v>36005</v>
      </c>
      <c r="C33" s="8">
        <f>VLOOKUP(B33,'ER Contributions'!A:D,4,FALSE)</f>
        <v>71524</v>
      </c>
      <c r="D33" s="9">
        <f>VLOOKUP(B33,'ER Contributions'!A:D,3,FALSE)</f>
        <v>3.6061000000000001E-3</v>
      </c>
      <c r="E33" s="8">
        <f>VLOOKUP(B33,'75 - Summary Exhibit'!A:N,3,FALSE)</f>
        <v>95908</v>
      </c>
      <c r="F33" s="10">
        <f>VLOOKUP(B33,'75 - Summary Exhibit'!A:N,4,FALSE)</f>
        <v>84051</v>
      </c>
      <c r="G33" s="10">
        <f>VLOOKUP(B33,'75 - Summary Exhibit'!A:N,5,FALSE)</f>
        <v>125269</v>
      </c>
      <c r="H33" s="10">
        <f>VLOOKUP(B33,'75 - Summary Exhibit'!A:N,6,FALSE)</f>
        <v>6989</v>
      </c>
      <c r="I33" s="8">
        <f>VLOOKUP(B33,'75 - Summary Exhibit'!A:N,7,FALSE)</f>
        <v>38837</v>
      </c>
      <c r="J33" s="8">
        <f>VLOOKUP(B33,'75 - Summary Exhibit'!A:N,8,FALSE)</f>
        <v>53121</v>
      </c>
      <c r="K33" s="8">
        <f>VLOOKUP(B33,'75 - Summary Exhibit'!A:N,9,FALSE)</f>
        <v>0</v>
      </c>
      <c r="L33" s="8">
        <f>VLOOKUP(B33,'75 - Summary Exhibit'!A:N,10,FALSE)</f>
        <v>16372</v>
      </c>
      <c r="M33" s="8">
        <f>VLOOKUP(B33,'75 - Summary Exhibit'!A:N,11,FALSE)</f>
        <v>0</v>
      </c>
      <c r="N33" s="8">
        <f>VLOOKUP(B33,'75 - Summary Exhibit'!A:N,12,FALSE)</f>
        <v>133408</v>
      </c>
      <c r="O33" s="8">
        <f>VLOOKUP(B33,'75 - Summary Exhibit'!A:N,13,FALSE)</f>
        <v>10227</v>
      </c>
      <c r="P33" s="8">
        <f t="shared" si="0"/>
        <v>143635</v>
      </c>
      <c r="Q33" s="8">
        <f>VLOOKUP(B33,'75- Deferred Amortization'!A:H,3,FALSE)</f>
        <v>56957</v>
      </c>
      <c r="R33" s="8">
        <f>VLOOKUP(B33,'75- Deferred Amortization'!A:H,4,FALSE)</f>
        <v>37846</v>
      </c>
      <c r="S33" s="8">
        <f>VLOOKUP(B33,'75- Deferred Amortization'!A:H,5,FALSE)</f>
        <v>51535</v>
      </c>
      <c r="T33" s="8">
        <f>VLOOKUP(B33,'75- Deferred Amortization'!A:H,6,FALSE)</f>
        <v>23604</v>
      </c>
      <c r="U33" s="8">
        <f>VLOOKUP(B33,'75- Deferred Amortization'!A:H,7,FALSE)</f>
        <v>9776</v>
      </c>
      <c r="V33" s="8">
        <f>VLOOKUP(B33,'75- Deferred Amortization'!A:H,8,FALSE)</f>
        <v>5936</v>
      </c>
      <c r="X33">
        <v>2</v>
      </c>
      <c r="Y33" s="8">
        <f t="shared" si="1"/>
        <v>-216</v>
      </c>
      <c r="Z33" s="8">
        <f t="shared" si="2"/>
        <v>-1</v>
      </c>
      <c r="AB33" s="8">
        <f t="shared" si="12"/>
        <v>-12976</v>
      </c>
      <c r="AC33" s="8">
        <v>108884</v>
      </c>
      <c r="AD33" s="10">
        <v>122049</v>
      </c>
      <c r="AE33" s="10">
        <v>115165</v>
      </c>
      <c r="AF33" s="10">
        <v>6998</v>
      </c>
      <c r="AG33" s="8">
        <v>46915</v>
      </c>
      <c r="AH33" s="8">
        <v>0</v>
      </c>
      <c r="AI33" s="8">
        <v>0</v>
      </c>
      <c r="AJ33" s="8">
        <v>20171</v>
      </c>
      <c r="AK33" s="8">
        <v>0</v>
      </c>
      <c r="AM33" s="8">
        <f t="shared" si="3"/>
        <v>-8078</v>
      </c>
      <c r="AN33" s="8">
        <f t="shared" si="4"/>
        <v>0</v>
      </c>
      <c r="AO33" s="10">
        <f t="shared" si="5"/>
        <v>-37998</v>
      </c>
      <c r="AP33" s="8">
        <f t="shared" si="6"/>
        <v>53121</v>
      </c>
      <c r="AQ33" s="10">
        <f t="shared" si="7"/>
        <v>-9</v>
      </c>
      <c r="AR33" s="8">
        <f t="shared" si="8"/>
        <v>-3799</v>
      </c>
      <c r="AS33" s="8">
        <f t="shared" si="9"/>
        <v>-12976</v>
      </c>
      <c r="AT33" s="10">
        <f t="shared" si="10"/>
        <v>10104</v>
      </c>
      <c r="AU33" s="8">
        <f t="shared" si="11"/>
        <v>0</v>
      </c>
      <c r="AV33" s="8">
        <f t="shared" si="13"/>
        <v>95908</v>
      </c>
    </row>
    <row r="34" spans="1:48">
      <c r="A34" t="s">
        <v>65</v>
      </c>
      <c r="B34">
        <v>32305</v>
      </c>
      <c r="C34" s="8">
        <f>VLOOKUP(B34,'ER Contributions'!A:D,4,FALSE)</f>
        <v>12105</v>
      </c>
      <c r="D34" s="9">
        <f>VLOOKUP(B34,'ER Contributions'!A:D,3,FALSE)</f>
        <v>6.0019999999999995E-4</v>
      </c>
      <c r="E34" s="8">
        <f>VLOOKUP(B34,'75 - Summary Exhibit'!A:N,3,FALSE)</f>
        <v>15963</v>
      </c>
      <c r="F34" s="10">
        <f>VLOOKUP(B34,'75 - Summary Exhibit'!A:N,4,FALSE)</f>
        <v>13989</v>
      </c>
      <c r="G34" s="10">
        <f>VLOOKUP(B34,'75 - Summary Exhibit'!A:N,5,FALSE)</f>
        <v>20850</v>
      </c>
      <c r="H34" s="10">
        <f>VLOOKUP(B34,'75 - Summary Exhibit'!A:N,6,FALSE)</f>
        <v>1163</v>
      </c>
      <c r="I34" s="8">
        <f>VLOOKUP(B34,'75 - Summary Exhibit'!A:N,7,FALSE)</f>
        <v>3026</v>
      </c>
      <c r="J34" s="8">
        <f>VLOOKUP(B34,'75 - Summary Exhibit'!A:N,8,FALSE)</f>
        <v>8842</v>
      </c>
      <c r="K34" s="8">
        <f>VLOOKUP(B34,'75 - Summary Exhibit'!A:N,9,FALSE)</f>
        <v>0</v>
      </c>
      <c r="L34" s="8">
        <f>VLOOKUP(B34,'75 - Summary Exhibit'!A:N,10,FALSE)</f>
        <v>2725</v>
      </c>
      <c r="M34" s="8">
        <f>VLOOKUP(B34,'75 - Summary Exhibit'!A:N,11,FALSE)</f>
        <v>3729</v>
      </c>
      <c r="N34" s="8">
        <f>VLOOKUP(B34,'75 - Summary Exhibit'!A:N,12,FALSE)</f>
        <v>22204</v>
      </c>
      <c r="O34" s="8">
        <f>VLOOKUP(B34,'75 - Summary Exhibit'!A:N,13,FALSE)</f>
        <v>117</v>
      </c>
      <c r="P34" s="8">
        <f t="shared" si="0"/>
        <v>22321</v>
      </c>
      <c r="Q34" s="8">
        <f>VLOOKUP(B34,'75- Deferred Amortization'!A:H,3,FALSE)</f>
        <v>7894</v>
      </c>
      <c r="R34" s="8">
        <f>VLOOKUP(B34,'75- Deferred Amortization'!A:H,4,FALSE)</f>
        <v>4119</v>
      </c>
      <c r="S34" s="8">
        <f>VLOOKUP(B34,'75- Deferred Amortization'!A:H,5,FALSE)</f>
        <v>7059</v>
      </c>
      <c r="T34" s="8">
        <f>VLOOKUP(B34,'75- Deferred Amortization'!A:H,6,FALSE)</f>
        <v>2408</v>
      </c>
      <c r="U34" s="8">
        <f>VLOOKUP(B34,'75- Deferred Amortization'!A:H,7,FALSE)</f>
        <v>1518</v>
      </c>
      <c r="V34" s="8">
        <f>VLOOKUP(B34,'75- Deferred Amortization'!A:H,8,FALSE)</f>
        <v>734</v>
      </c>
      <c r="X34">
        <v>2</v>
      </c>
      <c r="Y34" s="8">
        <f t="shared" si="1"/>
        <v>-37</v>
      </c>
      <c r="Z34" s="8">
        <f t="shared" si="2"/>
        <v>0</v>
      </c>
      <c r="AB34" s="8">
        <f t="shared" si="12"/>
        <v>-92</v>
      </c>
      <c r="AC34" s="8">
        <v>16055</v>
      </c>
      <c r="AD34" s="10">
        <v>17996</v>
      </c>
      <c r="AE34" s="10">
        <v>16981</v>
      </c>
      <c r="AF34" s="10">
        <v>1032</v>
      </c>
      <c r="AG34" s="8">
        <v>4287</v>
      </c>
      <c r="AH34" s="8">
        <v>0</v>
      </c>
      <c r="AI34" s="8">
        <v>0</v>
      </c>
      <c r="AJ34" s="8">
        <v>2974</v>
      </c>
      <c r="AK34" s="8">
        <v>3245</v>
      </c>
      <c r="AM34" s="8">
        <f t="shared" si="3"/>
        <v>-1261</v>
      </c>
      <c r="AN34" s="8">
        <f t="shared" si="4"/>
        <v>484</v>
      </c>
      <c r="AO34" s="10">
        <f t="shared" si="5"/>
        <v>-4007</v>
      </c>
      <c r="AP34" s="8">
        <f t="shared" si="6"/>
        <v>8842</v>
      </c>
      <c r="AQ34" s="10">
        <f t="shared" si="7"/>
        <v>131</v>
      </c>
      <c r="AR34" s="8">
        <f t="shared" si="8"/>
        <v>-249</v>
      </c>
      <c r="AS34" s="8">
        <f t="shared" si="9"/>
        <v>-92</v>
      </c>
      <c r="AT34" s="10">
        <f t="shared" si="10"/>
        <v>3869</v>
      </c>
      <c r="AU34" s="8">
        <f t="shared" si="11"/>
        <v>0</v>
      </c>
      <c r="AV34" s="8">
        <f t="shared" si="13"/>
        <v>15963</v>
      </c>
    </row>
    <row r="35" spans="1:48">
      <c r="A35" t="s">
        <v>93</v>
      </c>
      <c r="B35">
        <v>36705</v>
      </c>
      <c r="C35" s="8">
        <f>VLOOKUP(B35,'ER Contributions'!A:D,4,FALSE)</f>
        <v>16390</v>
      </c>
      <c r="D35" s="9">
        <f>VLOOKUP(B35,'ER Contributions'!A:D,3,FALSE)</f>
        <v>8.0139999999999996E-4</v>
      </c>
      <c r="E35" s="8">
        <f>VLOOKUP(B35,'75 - Summary Exhibit'!A:N,3,FALSE)</f>
        <v>21314</v>
      </c>
      <c r="F35" s="10">
        <f>VLOOKUP(B35,'75 - Summary Exhibit'!A:N,4,FALSE)</f>
        <v>18679</v>
      </c>
      <c r="G35" s="10">
        <f>VLOOKUP(B35,'75 - Summary Exhibit'!A:N,5,FALSE)</f>
        <v>27839</v>
      </c>
      <c r="H35" s="10">
        <f>VLOOKUP(B35,'75 - Summary Exhibit'!A:N,6,FALSE)</f>
        <v>1553</v>
      </c>
      <c r="I35" s="8">
        <f>VLOOKUP(B35,'75 - Summary Exhibit'!A:N,7,FALSE)</f>
        <v>9115</v>
      </c>
      <c r="J35" s="8">
        <f>VLOOKUP(B35,'75 - Summary Exhibit'!A:N,8,FALSE)</f>
        <v>11805</v>
      </c>
      <c r="K35" s="8">
        <f>VLOOKUP(B35,'75 - Summary Exhibit'!A:N,9,FALSE)</f>
        <v>0</v>
      </c>
      <c r="L35" s="8">
        <f>VLOOKUP(B35,'75 - Summary Exhibit'!A:N,10,FALSE)</f>
        <v>3638</v>
      </c>
      <c r="M35" s="8">
        <f>VLOOKUP(B35,'75 - Summary Exhibit'!A:N,11,FALSE)</f>
        <v>3715</v>
      </c>
      <c r="N35" s="8">
        <f>VLOOKUP(B35,'75 - Summary Exhibit'!A:N,12,FALSE)</f>
        <v>29648</v>
      </c>
      <c r="O35" s="8">
        <f>VLOOKUP(B35,'75 - Summary Exhibit'!A:N,13,FALSE)</f>
        <v>1758</v>
      </c>
      <c r="P35" s="8">
        <f t="shared" ref="P35:P66" si="14">N35+O35</f>
        <v>31406</v>
      </c>
      <c r="Q35" s="8">
        <f>VLOOKUP(B35,'75- Deferred Amortization'!A:H,3,FALSE)</f>
        <v>12140</v>
      </c>
      <c r="R35" s="8">
        <f>VLOOKUP(B35,'75- Deferred Amortization'!A:H,4,FALSE)</f>
        <v>8629</v>
      </c>
      <c r="S35" s="8">
        <f>VLOOKUP(B35,'75- Deferred Amortization'!A:H,5,FALSE)</f>
        <v>9881</v>
      </c>
      <c r="T35" s="8">
        <f>VLOOKUP(B35,'75- Deferred Amortization'!A:H,6,FALSE)</f>
        <v>3671</v>
      </c>
      <c r="U35" s="8">
        <f>VLOOKUP(B35,'75- Deferred Amortization'!A:H,7,FALSE)</f>
        <v>2355</v>
      </c>
      <c r="V35" s="8">
        <f>VLOOKUP(B35,'75- Deferred Amortization'!A:H,8,FALSE)</f>
        <v>1350</v>
      </c>
      <c r="X35">
        <v>2</v>
      </c>
      <c r="Y35" s="8">
        <f t="shared" si="1"/>
        <v>-46</v>
      </c>
      <c r="Z35" s="8">
        <f t="shared" si="2"/>
        <v>2</v>
      </c>
      <c r="AB35" s="8">
        <f t="shared" si="12"/>
        <v>-7494</v>
      </c>
      <c r="AC35" s="8">
        <v>28808</v>
      </c>
      <c r="AD35" s="10">
        <v>32291</v>
      </c>
      <c r="AE35" s="10">
        <v>30470</v>
      </c>
      <c r="AF35" s="10">
        <v>1852</v>
      </c>
      <c r="AG35" s="8">
        <v>6277</v>
      </c>
      <c r="AH35" s="8">
        <v>0</v>
      </c>
      <c r="AI35" s="8">
        <v>0</v>
      </c>
      <c r="AJ35" s="8">
        <v>5337</v>
      </c>
      <c r="AK35" s="8">
        <v>4969</v>
      </c>
      <c r="AM35" s="8">
        <f t="shared" si="3"/>
        <v>2838</v>
      </c>
      <c r="AN35" s="8">
        <f t="shared" si="4"/>
        <v>-1254</v>
      </c>
      <c r="AO35" s="10">
        <f t="shared" si="5"/>
        <v>-13612</v>
      </c>
      <c r="AP35" s="8">
        <f t="shared" si="6"/>
        <v>11805</v>
      </c>
      <c r="AQ35" s="10">
        <f t="shared" si="7"/>
        <v>-299</v>
      </c>
      <c r="AR35" s="8">
        <f t="shared" si="8"/>
        <v>-1699</v>
      </c>
      <c r="AS35" s="8">
        <f t="shared" si="9"/>
        <v>-7494</v>
      </c>
      <c r="AT35" s="10">
        <f t="shared" si="10"/>
        <v>-2631</v>
      </c>
      <c r="AU35" s="8">
        <f t="shared" si="11"/>
        <v>0</v>
      </c>
      <c r="AV35" s="8">
        <f t="shared" si="13"/>
        <v>21314</v>
      </c>
    </row>
    <row r="36" spans="1:48">
      <c r="A36" t="s">
        <v>95</v>
      </c>
      <c r="B36">
        <v>37005</v>
      </c>
      <c r="C36" s="8">
        <f>VLOOKUP(B36,'ER Contributions'!A:D,4,FALSE)</f>
        <v>10928</v>
      </c>
      <c r="D36" s="9">
        <f>VLOOKUP(B36,'ER Contributions'!A:D,3,FALSE)</f>
        <v>5.2300000000000003E-4</v>
      </c>
      <c r="E36" s="8">
        <f>VLOOKUP(B36,'75 - Summary Exhibit'!A:N,3,FALSE)</f>
        <v>13910</v>
      </c>
      <c r="F36" s="10">
        <f>VLOOKUP(B36,'75 - Summary Exhibit'!A:N,4,FALSE)</f>
        <v>12190</v>
      </c>
      <c r="G36" s="10">
        <f>VLOOKUP(B36,'75 - Summary Exhibit'!A:N,5,FALSE)</f>
        <v>18168</v>
      </c>
      <c r="H36" s="10">
        <f>VLOOKUP(B36,'75 - Summary Exhibit'!A:N,6,FALSE)</f>
        <v>1014</v>
      </c>
      <c r="I36" s="8">
        <f>VLOOKUP(B36,'75 - Summary Exhibit'!A:N,7,FALSE)</f>
        <v>1313</v>
      </c>
      <c r="J36" s="8">
        <f>VLOOKUP(B36,'75 - Summary Exhibit'!A:N,8,FALSE)</f>
        <v>7704</v>
      </c>
      <c r="K36" s="8">
        <f>VLOOKUP(B36,'75 - Summary Exhibit'!A:N,9,FALSE)</f>
        <v>0</v>
      </c>
      <c r="L36" s="8">
        <f>VLOOKUP(B36,'75 - Summary Exhibit'!A:N,10,FALSE)</f>
        <v>2374</v>
      </c>
      <c r="M36" s="8">
        <f>VLOOKUP(B36,'75 - Summary Exhibit'!A:N,11,FALSE)</f>
        <v>1361</v>
      </c>
      <c r="N36" s="8">
        <f>VLOOKUP(B36,'75 - Summary Exhibit'!A:N,12,FALSE)</f>
        <v>19348</v>
      </c>
      <c r="O36" s="8">
        <f>VLOOKUP(B36,'75 - Summary Exhibit'!A:N,13,FALSE)</f>
        <v>341</v>
      </c>
      <c r="P36" s="8">
        <f t="shared" si="14"/>
        <v>19689</v>
      </c>
      <c r="Q36" s="8">
        <f>VLOOKUP(B36,'75- Deferred Amortization'!A:H,3,FALSE)</f>
        <v>7117</v>
      </c>
      <c r="R36" s="8">
        <f>VLOOKUP(B36,'75- Deferred Amortization'!A:H,4,FALSE)</f>
        <v>4165</v>
      </c>
      <c r="S36" s="8">
        <f>VLOOKUP(B36,'75- Deferred Amortization'!A:H,5,FALSE)</f>
        <v>6308</v>
      </c>
      <c r="T36" s="8">
        <f>VLOOKUP(B36,'75- Deferred Amortization'!A:H,6,FALSE)</f>
        <v>2258</v>
      </c>
      <c r="U36" s="8">
        <f>VLOOKUP(B36,'75- Deferred Amortization'!A:H,7,FALSE)</f>
        <v>864</v>
      </c>
      <c r="V36" s="8">
        <f>VLOOKUP(B36,'75- Deferred Amortization'!A:H,8,FALSE)</f>
        <v>532</v>
      </c>
      <c r="X36">
        <v>2</v>
      </c>
      <c r="Y36" s="8">
        <f t="shared" ref="Y36:Y67" si="15">ROUND(((F36-AD36)+(G36-AE36)+(H36-AF36)+(I36-AG36)+(AI36-K36)+P36-(E36-AC36)-(J36-AH36)-(L36-AJ36)-(M36-AK36)-C36),0)</f>
        <v>-31</v>
      </c>
      <c r="Z36" s="8">
        <f t="shared" ref="Z36:Z67" si="16">ROUND((F36+G36+H36+I36-J36-K36-L36-M36-Q36-R36-S36-T36-U36-V36),0)</f>
        <v>2</v>
      </c>
      <c r="AB36" s="8">
        <f t="shared" si="12"/>
        <v>-907</v>
      </c>
      <c r="AC36" s="8">
        <v>14817</v>
      </c>
      <c r="AD36" s="10">
        <v>16609</v>
      </c>
      <c r="AE36" s="10">
        <v>15672</v>
      </c>
      <c r="AF36" s="10">
        <v>952</v>
      </c>
      <c r="AG36" s="8">
        <v>1917</v>
      </c>
      <c r="AH36" s="8">
        <v>0</v>
      </c>
      <c r="AI36" s="8">
        <v>0</v>
      </c>
      <c r="AJ36" s="8">
        <v>2745</v>
      </c>
      <c r="AK36" s="8">
        <v>1460</v>
      </c>
      <c r="AM36" s="8">
        <f t="shared" ref="AM36:AM67" si="17">I36-AG36</f>
        <v>-604</v>
      </c>
      <c r="AN36" s="8">
        <f t="shared" ref="AN36:AN67" si="18">M36-AK36</f>
        <v>-99</v>
      </c>
      <c r="AO36" s="10">
        <f t="shared" ref="AO36:AO67" si="19">F36-AD36</f>
        <v>-4419</v>
      </c>
      <c r="AP36" s="8">
        <f t="shared" ref="AP36:AP67" si="20">J36-AH36</f>
        <v>7704</v>
      </c>
      <c r="AQ36" s="10">
        <f t="shared" ref="AQ36:AQ67" si="21">H36-AF36</f>
        <v>62</v>
      </c>
      <c r="AR36" s="8">
        <f t="shared" ref="AR36:AR67" si="22">L36-AJ36</f>
        <v>-371</v>
      </c>
      <c r="AS36" s="8">
        <f t="shared" ref="AS36:AS67" si="23">E36-AC36</f>
        <v>-907</v>
      </c>
      <c r="AT36" s="10">
        <f t="shared" ref="AT36:AT67" si="24">G36-AE36</f>
        <v>2496</v>
      </c>
      <c r="AU36" s="8">
        <f t="shared" ref="AU36:AU67" si="25">K36-AI36</f>
        <v>0</v>
      </c>
      <c r="AV36" s="8">
        <f t="shared" si="13"/>
        <v>13910</v>
      </c>
    </row>
    <row r="37" spans="1:48">
      <c r="A37" t="s">
        <v>67</v>
      </c>
      <c r="B37">
        <v>32505</v>
      </c>
      <c r="C37" s="8">
        <f>VLOOKUP(B37,'ER Contributions'!A:D,4,FALSE)</f>
        <v>13623</v>
      </c>
      <c r="D37" s="9">
        <f>VLOOKUP(B37,'ER Contributions'!A:D,3,FALSE)</f>
        <v>6.669E-4</v>
      </c>
      <c r="E37" s="8">
        <f>VLOOKUP(B37,'75 - Summary Exhibit'!A:N,3,FALSE)</f>
        <v>17737</v>
      </c>
      <c r="F37" s="10">
        <f>VLOOKUP(B37,'75 - Summary Exhibit'!A:N,4,FALSE)</f>
        <v>15544</v>
      </c>
      <c r="G37" s="10">
        <f>VLOOKUP(B37,'75 - Summary Exhibit'!A:N,5,FALSE)</f>
        <v>23167</v>
      </c>
      <c r="H37" s="10">
        <f>VLOOKUP(B37,'75 - Summary Exhibit'!A:N,6,FALSE)</f>
        <v>1292</v>
      </c>
      <c r="I37" s="8">
        <f>VLOOKUP(B37,'75 - Summary Exhibit'!A:N,7,FALSE)</f>
        <v>3588</v>
      </c>
      <c r="J37" s="8">
        <f>VLOOKUP(B37,'75 - Summary Exhibit'!A:N,8,FALSE)</f>
        <v>9824</v>
      </c>
      <c r="K37" s="8">
        <f>VLOOKUP(B37,'75 - Summary Exhibit'!A:N,9,FALSE)</f>
        <v>0</v>
      </c>
      <c r="L37" s="8">
        <f>VLOOKUP(B37,'75 - Summary Exhibit'!A:N,10,FALSE)</f>
        <v>3028</v>
      </c>
      <c r="M37" s="8">
        <f>VLOOKUP(B37,'75 - Summary Exhibit'!A:N,11,FALSE)</f>
        <v>1248</v>
      </c>
      <c r="N37" s="8">
        <f>VLOOKUP(B37,'75 - Summary Exhibit'!A:N,12,FALSE)</f>
        <v>24672</v>
      </c>
      <c r="O37" s="8">
        <f>VLOOKUP(B37,'75 - Summary Exhibit'!A:N,13,FALSE)</f>
        <v>493</v>
      </c>
      <c r="P37" s="8">
        <f t="shared" si="14"/>
        <v>25165</v>
      </c>
      <c r="Q37" s="8">
        <f>VLOOKUP(B37,'75- Deferred Amortization'!A:H,3,FALSE)</f>
        <v>9138</v>
      </c>
      <c r="R37" s="8">
        <f>VLOOKUP(B37,'75- Deferred Amortization'!A:H,4,FALSE)</f>
        <v>6016</v>
      </c>
      <c r="S37" s="8">
        <f>VLOOKUP(B37,'75- Deferred Amortization'!A:H,5,FALSE)</f>
        <v>8647</v>
      </c>
      <c r="T37" s="8">
        <f>VLOOKUP(B37,'75- Deferred Amortization'!A:H,6,FALSE)</f>
        <v>3480</v>
      </c>
      <c r="U37" s="8">
        <f>VLOOKUP(B37,'75- Deferred Amortization'!A:H,7,FALSE)</f>
        <v>1413</v>
      </c>
      <c r="V37" s="8">
        <f>VLOOKUP(B37,'75- Deferred Amortization'!A:H,8,FALSE)</f>
        <v>796</v>
      </c>
      <c r="X37">
        <v>2</v>
      </c>
      <c r="Y37" s="8">
        <f t="shared" si="15"/>
        <v>-41</v>
      </c>
      <c r="Z37" s="8">
        <f t="shared" si="16"/>
        <v>1</v>
      </c>
      <c r="AB37" s="8">
        <f t="shared" si="12"/>
        <v>-1739</v>
      </c>
      <c r="AC37" s="8">
        <v>19476</v>
      </c>
      <c r="AD37" s="10">
        <v>21831</v>
      </c>
      <c r="AE37" s="10">
        <v>20599</v>
      </c>
      <c r="AF37" s="10">
        <v>1252</v>
      </c>
      <c r="AG37" s="8">
        <v>4347</v>
      </c>
      <c r="AH37" s="8">
        <v>0</v>
      </c>
      <c r="AI37" s="8">
        <v>0</v>
      </c>
      <c r="AJ37" s="8">
        <v>3608</v>
      </c>
      <c r="AK37" s="8">
        <v>1608</v>
      </c>
      <c r="AM37" s="8">
        <f t="shared" si="17"/>
        <v>-759</v>
      </c>
      <c r="AN37" s="8">
        <f t="shared" si="18"/>
        <v>-360</v>
      </c>
      <c r="AO37" s="10">
        <f t="shared" si="19"/>
        <v>-6287</v>
      </c>
      <c r="AP37" s="8">
        <f t="shared" si="20"/>
        <v>9824</v>
      </c>
      <c r="AQ37" s="10">
        <f t="shared" si="21"/>
        <v>40</v>
      </c>
      <c r="AR37" s="8">
        <f t="shared" si="22"/>
        <v>-580</v>
      </c>
      <c r="AS37" s="8">
        <f t="shared" si="23"/>
        <v>-1739</v>
      </c>
      <c r="AT37" s="10">
        <f t="shared" si="24"/>
        <v>2568</v>
      </c>
      <c r="AU37" s="8">
        <f t="shared" si="25"/>
        <v>0</v>
      </c>
      <c r="AV37" s="8">
        <f t="shared" si="13"/>
        <v>17737</v>
      </c>
    </row>
    <row r="38" spans="1:48">
      <c r="A38" t="s">
        <v>69</v>
      </c>
      <c r="B38">
        <v>32905</v>
      </c>
      <c r="C38" s="8">
        <f>VLOOKUP(B38,'ER Contributions'!A:D,4,FALSE)</f>
        <v>15506</v>
      </c>
      <c r="D38" s="9">
        <f>VLOOKUP(B38,'ER Contributions'!A:D,3,FALSE)</f>
        <v>7.517E-4</v>
      </c>
      <c r="E38" s="8">
        <f>VLOOKUP(B38,'75 - Summary Exhibit'!A:N,3,FALSE)</f>
        <v>19992</v>
      </c>
      <c r="F38" s="10">
        <f>VLOOKUP(B38,'75 - Summary Exhibit'!A:N,4,FALSE)</f>
        <v>17521</v>
      </c>
      <c r="G38" s="10">
        <f>VLOOKUP(B38,'75 - Summary Exhibit'!A:N,5,FALSE)</f>
        <v>26113</v>
      </c>
      <c r="H38" s="10">
        <f>VLOOKUP(B38,'75 - Summary Exhibit'!A:N,6,FALSE)</f>
        <v>1457</v>
      </c>
      <c r="I38" s="8">
        <f>VLOOKUP(B38,'75 - Summary Exhibit'!A:N,7,FALSE)</f>
        <v>6174</v>
      </c>
      <c r="J38" s="8">
        <f>VLOOKUP(B38,'75 - Summary Exhibit'!A:N,8,FALSE)</f>
        <v>11073</v>
      </c>
      <c r="K38" s="8">
        <f>VLOOKUP(B38,'75 - Summary Exhibit'!A:N,9,FALSE)</f>
        <v>0</v>
      </c>
      <c r="L38" s="8">
        <f>VLOOKUP(B38,'75 - Summary Exhibit'!A:N,10,FALSE)</f>
        <v>3413</v>
      </c>
      <c r="M38" s="8">
        <f>VLOOKUP(B38,'75 - Summary Exhibit'!A:N,11,FALSE)</f>
        <v>654</v>
      </c>
      <c r="N38" s="8">
        <f>VLOOKUP(B38,'75 - Summary Exhibit'!A:N,12,FALSE)</f>
        <v>27809</v>
      </c>
      <c r="O38" s="8">
        <f>VLOOKUP(B38,'75 - Summary Exhibit'!A:N,13,FALSE)</f>
        <v>2015</v>
      </c>
      <c r="P38" s="8">
        <f t="shared" si="14"/>
        <v>29824</v>
      </c>
      <c r="Q38" s="8">
        <f>VLOOKUP(B38,'75- Deferred Amortization'!A:H,3,FALSE)</f>
        <v>11754</v>
      </c>
      <c r="R38" s="8">
        <f>VLOOKUP(B38,'75- Deferred Amortization'!A:H,4,FALSE)</f>
        <v>7383</v>
      </c>
      <c r="S38" s="8">
        <f>VLOOKUP(B38,'75- Deferred Amortization'!A:H,5,FALSE)</f>
        <v>10089</v>
      </c>
      <c r="T38" s="8">
        <f>VLOOKUP(B38,'75- Deferred Amortization'!A:H,6,FALSE)</f>
        <v>4265</v>
      </c>
      <c r="U38" s="8">
        <f>VLOOKUP(B38,'75- Deferred Amortization'!A:H,7,FALSE)</f>
        <v>1673</v>
      </c>
      <c r="V38" s="8">
        <f>VLOOKUP(B38,'75- Deferred Amortization'!A:H,8,FALSE)</f>
        <v>960</v>
      </c>
      <c r="X38">
        <v>2</v>
      </c>
      <c r="Y38" s="8">
        <f t="shared" si="15"/>
        <v>-43</v>
      </c>
      <c r="Z38" s="8">
        <f t="shared" si="16"/>
        <v>1</v>
      </c>
      <c r="AB38" s="8">
        <f t="shared" si="12"/>
        <v>-2557</v>
      </c>
      <c r="AC38" s="8">
        <v>22549</v>
      </c>
      <c r="AD38" s="10">
        <v>25276</v>
      </c>
      <c r="AE38" s="10">
        <v>23850</v>
      </c>
      <c r="AF38" s="10">
        <v>1449</v>
      </c>
      <c r="AG38" s="8">
        <v>7408</v>
      </c>
      <c r="AH38" s="8">
        <v>0</v>
      </c>
      <c r="AI38" s="8">
        <v>0</v>
      </c>
      <c r="AJ38" s="8">
        <v>4177</v>
      </c>
      <c r="AK38" s="8">
        <v>763</v>
      </c>
      <c r="AM38" s="8">
        <f t="shared" si="17"/>
        <v>-1234</v>
      </c>
      <c r="AN38" s="8">
        <f t="shared" si="18"/>
        <v>-109</v>
      </c>
      <c r="AO38" s="10">
        <f t="shared" si="19"/>
        <v>-7755</v>
      </c>
      <c r="AP38" s="8">
        <f t="shared" si="20"/>
        <v>11073</v>
      </c>
      <c r="AQ38" s="10">
        <f t="shared" si="21"/>
        <v>8</v>
      </c>
      <c r="AR38" s="8">
        <f t="shared" si="22"/>
        <v>-764</v>
      </c>
      <c r="AS38" s="8">
        <f t="shared" si="23"/>
        <v>-2557</v>
      </c>
      <c r="AT38" s="10">
        <f t="shared" si="24"/>
        <v>2263</v>
      </c>
      <c r="AU38" s="8">
        <f t="shared" si="25"/>
        <v>0</v>
      </c>
      <c r="AV38" s="8">
        <f t="shared" si="13"/>
        <v>19992</v>
      </c>
    </row>
    <row r="39" spans="1:48">
      <c r="A39" t="s">
        <v>71</v>
      </c>
      <c r="B39">
        <v>33205</v>
      </c>
      <c r="C39" s="8">
        <f>VLOOKUP(B39,'ER Contributions'!A:D,4,FALSE)</f>
        <v>23717</v>
      </c>
      <c r="D39" s="9">
        <f>VLOOKUP(B39,'ER Contributions'!A:D,3,FALSE)</f>
        <v>1.1379999999999999E-3</v>
      </c>
      <c r="E39" s="8">
        <f>VLOOKUP(B39,'75 - Summary Exhibit'!A:N,3,FALSE)</f>
        <v>30266</v>
      </c>
      <c r="F39" s="10">
        <f>VLOOKUP(B39,'75 - Summary Exhibit'!A:N,4,FALSE)</f>
        <v>26525</v>
      </c>
      <c r="G39" s="10">
        <f>VLOOKUP(B39,'75 - Summary Exhibit'!A:N,5,FALSE)</f>
        <v>39532</v>
      </c>
      <c r="H39" s="10">
        <f>VLOOKUP(B39,'75 - Summary Exhibit'!A:N,6,FALSE)</f>
        <v>2205</v>
      </c>
      <c r="I39" s="8">
        <f>VLOOKUP(B39,'75 - Summary Exhibit'!A:N,7,FALSE)</f>
        <v>6767</v>
      </c>
      <c r="J39" s="8">
        <f>VLOOKUP(B39,'75 - Summary Exhibit'!A:N,8,FALSE)</f>
        <v>16764</v>
      </c>
      <c r="K39" s="8">
        <f>VLOOKUP(B39,'75 - Summary Exhibit'!A:N,9,FALSE)</f>
        <v>0</v>
      </c>
      <c r="L39" s="8">
        <f>VLOOKUP(B39,'75 - Summary Exhibit'!A:N,10,FALSE)</f>
        <v>5167</v>
      </c>
      <c r="M39" s="8">
        <f>VLOOKUP(B39,'75 - Summary Exhibit'!A:N,11,FALSE)</f>
        <v>2151</v>
      </c>
      <c r="N39" s="8">
        <f>VLOOKUP(B39,'75 - Summary Exhibit'!A:N,12,FALSE)</f>
        <v>42100</v>
      </c>
      <c r="O39" s="8">
        <f>VLOOKUP(B39,'75 - Summary Exhibit'!A:N,13,FALSE)</f>
        <v>1996</v>
      </c>
      <c r="P39" s="8">
        <f t="shared" si="14"/>
        <v>44096</v>
      </c>
      <c r="Q39" s="8">
        <f>VLOOKUP(B39,'75- Deferred Amortization'!A:H,3,FALSE)</f>
        <v>16744</v>
      </c>
      <c r="R39" s="8">
        <f>VLOOKUP(B39,'75- Deferred Amortization'!A:H,4,FALSE)</f>
        <v>10174</v>
      </c>
      <c r="S39" s="8">
        <f>VLOOKUP(B39,'75- Deferred Amortization'!A:H,5,FALSE)</f>
        <v>14746</v>
      </c>
      <c r="T39" s="8">
        <f>VLOOKUP(B39,'75- Deferred Amortization'!A:H,6,FALSE)</f>
        <v>5931</v>
      </c>
      <c r="U39" s="8">
        <f>VLOOKUP(B39,'75- Deferred Amortization'!A:H,7,FALSE)</f>
        <v>2086</v>
      </c>
      <c r="V39" s="8">
        <f>VLOOKUP(B39,'75- Deferred Amortization'!A:H,8,FALSE)</f>
        <v>1267</v>
      </c>
      <c r="X39">
        <v>2</v>
      </c>
      <c r="Y39" s="8">
        <f t="shared" si="15"/>
        <v>-69</v>
      </c>
      <c r="Z39" s="8">
        <f t="shared" si="16"/>
        <v>-1</v>
      </c>
      <c r="AB39" s="8">
        <f t="shared" si="12"/>
        <v>-2296</v>
      </c>
      <c r="AC39" s="8">
        <v>32562</v>
      </c>
      <c r="AD39" s="10">
        <v>36499</v>
      </c>
      <c r="AE39" s="10">
        <v>34440</v>
      </c>
      <c r="AF39" s="10">
        <v>2093</v>
      </c>
      <c r="AG39" s="8">
        <v>9138</v>
      </c>
      <c r="AH39" s="8">
        <v>0</v>
      </c>
      <c r="AI39" s="8">
        <v>0</v>
      </c>
      <c r="AJ39" s="8">
        <v>6032</v>
      </c>
      <c r="AK39" s="8">
        <v>2447</v>
      </c>
      <c r="AM39" s="8">
        <f t="shared" si="17"/>
        <v>-2371</v>
      </c>
      <c r="AN39" s="8">
        <f t="shared" si="18"/>
        <v>-296</v>
      </c>
      <c r="AO39" s="10">
        <f t="shared" si="19"/>
        <v>-9974</v>
      </c>
      <c r="AP39" s="8">
        <f t="shared" si="20"/>
        <v>16764</v>
      </c>
      <c r="AQ39" s="10">
        <f t="shared" si="21"/>
        <v>112</v>
      </c>
      <c r="AR39" s="8">
        <f t="shared" si="22"/>
        <v>-865</v>
      </c>
      <c r="AS39" s="8">
        <f t="shared" si="23"/>
        <v>-2296</v>
      </c>
      <c r="AT39" s="10">
        <f t="shared" si="24"/>
        <v>5092</v>
      </c>
      <c r="AU39" s="8">
        <f t="shared" si="25"/>
        <v>0</v>
      </c>
      <c r="AV39" s="8">
        <f t="shared" si="13"/>
        <v>30266</v>
      </c>
    </row>
    <row r="40" spans="1:48">
      <c r="A40" t="s">
        <v>72</v>
      </c>
      <c r="B40">
        <v>33305</v>
      </c>
      <c r="C40" s="8">
        <f>VLOOKUP(B40,'ER Contributions'!A:D,4,FALSE)</f>
        <v>8492</v>
      </c>
      <c r="D40" s="9">
        <f>VLOOKUP(B40,'ER Contributions'!A:D,3,FALSE)</f>
        <v>4.0230000000000002E-4</v>
      </c>
      <c r="E40" s="8">
        <f>VLOOKUP(B40,'75 - Summary Exhibit'!A:N,3,FALSE)</f>
        <v>10700</v>
      </c>
      <c r="F40" s="10">
        <f>VLOOKUP(B40,'75 - Summary Exhibit'!A:N,4,FALSE)</f>
        <v>9377</v>
      </c>
      <c r="G40" s="10">
        <f>VLOOKUP(B40,'75 - Summary Exhibit'!A:N,5,FALSE)</f>
        <v>13975</v>
      </c>
      <c r="H40" s="10">
        <f>VLOOKUP(B40,'75 - Summary Exhibit'!A:N,6,FALSE)</f>
        <v>780</v>
      </c>
      <c r="I40" s="8">
        <f>VLOOKUP(B40,'75 - Summary Exhibit'!A:N,7,FALSE)</f>
        <v>8827</v>
      </c>
      <c r="J40" s="8">
        <f>VLOOKUP(B40,'75 - Summary Exhibit'!A:N,8,FALSE)</f>
        <v>5926</v>
      </c>
      <c r="K40" s="8">
        <f>VLOOKUP(B40,'75 - Summary Exhibit'!A:N,9,FALSE)</f>
        <v>0</v>
      </c>
      <c r="L40" s="8">
        <f>VLOOKUP(B40,'75 - Summary Exhibit'!A:N,10,FALSE)</f>
        <v>1826</v>
      </c>
      <c r="M40" s="8">
        <f>VLOOKUP(B40,'75 - Summary Exhibit'!A:N,11,FALSE)</f>
        <v>315</v>
      </c>
      <c r="N40" s="8">
        <f>VLOOKUP(B40,'75 - Summary Exhibit'!A:N,12,FALSE)</f>
        <v>14883</v>
      </c>
      <c r="O40" s="8">
        <f>VLOOKUP(B40,'75 - Summary Exhibit'!A:N,13,FALSE)</f>
        <v>2156</v>
      </c>
      <c r="P40" s="8">
        <f t="shared" si="14"/>
        <v>17039</v>
      </c>
      <c r="Q40" s="8">
        <f>VLOOKUP(B40,'75- Deferred Amortization'!A:H,3,FALSE)</f>
        <v>7370</v>
      </c>
      <c r="R40" s="8">
        <f>VLOOKUP(B40,'75- Deferred Amortization'!A:H,4,FALSE)</f>
        <v>4747</v>
      </c>
      <c r="S40" s="8">
        <f>VLOOKUP(B40,'75- Deferred Amortization'!A:H,5,FALSE)</f>
        <v>6512</v>
      </c>
      <c r="T40" s="8">
        <f>VLOOKUP(B40,'75- Deferred Amortization'!A:H,6,FALSE)</f>
        <v>3392</v>
      </c>
      <c r="U40" s="8">
        <f>VLOOKUP(B40,'75- Deferred Amortization'!A:H,7,FALSE)</f>
        <v>1902</v>
      </c>
      <c r="V40" s="8">
        <f>VLOOKUP(B40,'75- Deferred Amortization'!A:H,8,FALSE)</f>
        <v>967</v>
      </c>
      <c r="X40">
        <v>2</v>
      </c>
      <c r="Y40" s="8">
        <f t="shared" si="15"/>
        <v>-23</v>
      </c>
      <c r="Z40" s="8">
        <f t="shared" si="16"/>
        <v>2</v>
      </c>
      <c r="AB40" s="8">
        <f t="shared" si="12"/>
        <v>-289</v>
      </c>
      <c r="AC40" s="8">
        <v>10989</v>
      </c>
      <c r="AD40" s="10">
        <v>12318</v>
      </c>
      <c r="AE40" s="10">
        <v>11623</v>
      </c>
      <c r="AF40" s="10">
        <v>706</v>
      </c>
      <c r="AG40" s="8">
        <v>11140</v>
      </c>
      <c r="AH40" s="8">
        <v>0</v>
      </c>
      <c r="AI40" s="8">
        <v>0</v>
      </c>
      <c r="AJ40" s="8">
        <v>2036</v>
      </c>
      <c r="AK40" s="8">
        <v>0</v>
      </c>
      <c r="AM40" s="8">
        <f t="shared" si="17"/>
        <v>-2313</v>
      </c>
      <c r="AN40" s="8">
        <f t="shared" si="18"/>
        <v>315</v>
      </c>
      <c r="AO40" s="10">
        <f t="shared" si="19"/>
        <v>-2941</v>
      </c>
      <c r="AP40" s="8">
        <f t="shared" si="20"/>
        <v>5926</v>
      </c>
      <c r="AQ40" s="10">
        <f t="shared" si="21"/>
        <v>74</v>
      </c>
      <c r="AR40" s="8">
        <f t="shared" si="22"/>
        <v>-210</v>
      </c>
      <c r="AS40" s="8">
        <f t="shared" si="23"/>
        <v>-289</v>
      </c>
      <c r="AT40" s="10">
        <f t="shared" si="24"/>
        <v>2352</v>
      </c>
      <c r="AU40" s="8">
        <f t="shared" si="25"/>
        <v>0</v>
      </c>
      <c r="AV40" s="8">
        <f t="shared" si="13"/>
        <v>10700</v>
      </c>
    </row>
    <row r="41" spans="1:48">
      <c r="A41" t="s">
        <v>68</v>
      </c>
      <c r="B41">
        <v>32605</v>
      </c>
      <c r="C41" s="8">
        <f>VLOOKUP(B41,'ER Contributions'!A:D,4,FALSE)</f>
        <v>53502</v>
      </c>
      <c r="D41" s="9">
        <f>VLOOKUP(B41,'ER Contributions'!A:D,3,FALSE)</f>
        <v>2.6773000000000001E-3</v>
      </c>
      <c r="E41" s="8">
        <f>VLOOKUP(B41,'75 - Summary Exhibit'!A:N,3,FALSE)</f>
        <v>71205</v>
      </c>
      <c r="F41" s="10">
        <f>VLOOKUP(B41,'75 - Summary Exhibit'!A:N,4,FALSE)</f>
        <v>62403</v>
      </c>
      <c r="G41" s="10">
        <f>VLOOKUP(B41,'75 - Summary Exhibit'!A:N,5,FALSE)</f>
        <v>93004</v>
      </c>
      <c r="H41" s="10">
        <f>VLOOKUP(B41,'75 - Summary Exhibit'!A:N,6,FALSE)</f>
        <v>5189</v>
      </c>
      <c r="I41" s="8">
        <f>VLOOKUP(B41,'75 - Summary Exhibit'!A:N,7,FALSE)</f>
        <v>5442</v>
      </c>
      <c r="J41" s="8">
        <f>VLOOKUP(B41,'75 - Summary Exhibit'!A:N,8,FALSE)</f>
        <v>39439</v>
      </c>
      <c r="K41" s="8">
        <f>VLOOKUP(B41,'75 - Summary Exhibit'!A:N,9,FALSE)</f>
        <v>0</v>
      </c>
      <c r="L41" s="8">
        <f>VLOOKUP(B41,'75 - Summary Exhibit'!A:N,10,FALSE)</f>
        <v>12155</v>
      </c>
      <c r="M41" s="8">
        <f>VLOOKUP(B41,'75 - Summary Exhibit'!A:N,11,FALSE)</f>
        <v>11842</v>
      </c>
      <c r="N41" s="8">
        <f>VLOOKUP(B41,'75 - Summary Exhibit'!A:N,12,FALSE)</f>
        <v>99047</v>
      </c>
      <c r="O41" s="8">
        <f>VLOOKUP(B41,'75 - Summary Exhibit'!A:N,13,FALSE)</f>
        <v>-1480</v>
      </c>
      <c r="P41" s="8">
        <f t="shared" si="14"/>
        <v>97567</v>
      </c>
      <c r="Q41" s="8">
        <f>VLOOKUP(B41,'75- Deferred Amortization'!A:H,3,FALSE)</f>
        <v>33218</v>
      </c>
      <c r="R41" s="8">
        <f>VLOOKUP(B41,'75- Deferred Amortization'!A:H,4,FALSE)</f>
        <v>19087</v>
      </c>
      <c r="S41" s="8">
        <f>VLOOKUP(B41,'75- Deferred Amortization'!A:H,5,FALSE)</f>
        <v>32073</v>
      </c>
      <c r="T41" s="8">
        <f>VLOOKUP(B41,'75- Deferred Amortization'!A:H,6,FALSE)</f>
        <v>11329</v>
      </c>
      <c r="U41" s="8">
        <f>VLOOKUP(B41,'75- Deferred Amortization'!A:H,7,FALSE)</f>
        <v>4293</v>
      </c>
      <c r="V41" s="8">
        <f>VLOOKUP(B41,'75- Deferred Amortization'!A:H,8,FALSE)</f>
        <v>2600</v>
      </c>
      <c r="X41">
        <v>2</v>
      </c>
      <c r="Y41" s="8">
        <f t="shared" si="15"/>
        <v>-158</v>
      </c>
      <c r="Z41" s="8">
        <f t="shared" si="16"/>
        <v>2</v>
      </c>
      <c r="AB41" s="8">
        <f t="shared" si="12"/>
        <v>-1246</v>
      </c>
      <c r="AC41" s="8">
        <v>72451</v>
      </c>
      <c r="AD41" s="10">
        <v>81212</v>
      </c>
      <c r="AE41" s="10">
        <v>76631</v>
      </c>
      <c r="AF41" s="10">
        <v>4657</v>
      </c>
      <c r="AG41" s="8">
        <v>7463</v>
      </c>
      <c r="AH41" s="8">
        <v>0</v>
      </c>
      <c r="AI41" s="8">
        <v>0</v>
      </c>
      <c r="AJ41" s="8">
        <v>13422</v>
      </c>
      <c r="AK41" s="8">
        <v>8470</v>
      </c>
      <c r="AM41" s="8">
        <f t="shared" si="17"/>
        <v>-2021</v>
      </c>
      <c r="AN41" s="8">
        <f t="shared" si="18"/>
        <v>3372</v>
      </c>
      <c r="AO41" s="10">
        <f t="shared" si="19"/>
        <v>-18809</v>
      </c>
      <c r="AP41" s="8">
        <f t="shared" si="20"/>
        <v>39439</v>
      </c>
      <c r="AQ41" s="10">
        <f t="shared" si="21"/>
        <v>532</v>
      </c>
      <c r="AR41" s="8">
        <f t="shared" si="22"/>
        <v>-1267</v>
      </c>
      <c r="AS41" s="8">
        <f t="shared" si="23"/>
        <v>-1246</v>
      </c>
      <c r="AT41" s="10">
        <f t="shared" si="24"/>
        <v>16373</v>
      </c>
      <c r="AU41" s="8">
        <f t="shared" si="25"/>
        <v>0</v>
      </c>
      <c r="AV41" s="8">
        <f t="shared" si="13"/>
        <v>71205</v>
      </c>
    </row>
    <row r="42" spans="1:48">
      <c r="A42" t="s">
        <v>73</v>
      </c>
      <c r="B42">
        <v>33405</v>
      </c>
      <c r="C42" s="8">
        <f>VLOOKUP(B42,'ER Contributions'!A:D,4,FALSE)</f>
        <v>33698</v>
      </c>
      <c r="D42" s="9">
        <f>VLOOKUP(B42,'ER Contributions'!A:D,3,FALSE)</f>
        <v>1.6325999999999999E-3</v>
      </c>
      <c r="E42" s="8">
        <f>VLOOKUP(B42,'75 - Summary Exhibit'!A:N,3,FALSE)</f>
        <v>43421</v>
      </c>
      <c r="F42" s="10">
        <f>VLOOKUP(B42,'75 - Summary Exhibit'!A:N,4,FALSE)</f>
        <v>38053</v>
      </c>
      <c r="G42" s="10">
        <f>VLOOKUP(B42,'75 - Summary Exhibit'!A:N,5,FALSE)</f>
        <v>56713</v>
      </c>
      <c r="H42" s="10">
        <f>VLOOKUP(B42,'75 - Summary Exhibit'!A:N,6,FALSE)</f>
        <v>3164</v>
      </c>
      <c r="I42" s="8">
        <f>VLOOKUP(B42,'75 - Summary Exhibit'!A:N,7,FALSE)</f>
        <v>9813</v>
      </c>
      <c r="J42" s="8">
        <f>VLOOKUP(B42,'75 - Summary Exhibit'!A:N,8,FALSE)</f>
        <v>24050</v>
      </c>
      <c r="K42" s="8">
        <f>VLOOKUP(B42,'75 - Summary Exhibit'!A:N,9,FALSE)</f>
        <v>0</v>
      </c>
      <c r="L42" s="8">
        <f>VLOOKUP(B42,'75 - Summary Exhibit'!A:N,10,FALSE)</f>
        <v>7412</v>
      </c>
      <c r="M42" s="8">
        <f>VLOOKUP(B42,'75 - Summary Exhibit'!A:N,11,FALSE)</f>
        <v>5472</v>
      </c>
      <c r="N42" s="8">
        <f>VLOOKUP(B42,'75 - Summary Exhibit'!A:N,12,FALSE)</f>
        <v>60398</v>
      </c>
      <c r="O42" s="8">
        <f>VLOOKUP(B42,'75 - Summary Exhibit'!A:N,13,FALSE)</f>
        <v>3306</v>
      </c>
      <c r="P42" s="8">
        <f t="shared" si="14"/>
        <v>63704</v>
      </c>
      <c r="Q42" s="8">
        <f>VLOOKUP(B42,'75- Deferred Amortization'!A:H,3,FALSE)</f>
        <v>24464</v>
      </c>
      <c r="R42" s="8">
        <f>VLOOKUP(B42,'75- Deferred Amortization'!A:H,4,FALSE)</f>
        <v>14219</v>
      </c>
      <c r="S42" s="8">
        <f>VLOOKUP(B42,'75- Deferred Amortization'!A:H,5,FALSE)</f>
        <v>20311</v>
      </c>
      <c r="T42" s="8">
        <f>VLOOKUP(B42,'75- Deferred Amortization'!A:H,6,FALSE)</f>
        <v>7668</v>
      </c>
      <c r="U42" s="8">
        <f>VLOOKUP(B42,'75- Deferred Amortization'!A:H,7,FALSE)</f>
        <v>2737</v>
      </c>
      <c r="V42" s="8">
        <f>VLOOKUP(B42,'75- Deferred Amortization'!A:H,8,FALSE)</f>
        <v>1411</v>
      </c>
      <c r="X42">
        <v>2</v>
      </c>
      <c r="Y42" s="8">
        <f t="shared" si="15"/>
        <v>-99</v>
      </c>
      <c r="Z42" s="8">
        <f t="shared" si="16"/>
        <v>-1</v>
      </c>
      <c r="AB42" s="8">
        <f t="shared" si="12"/>
        <v>-4931</v>
      </c>
      <c r="AC42" s="8">
        <v>48352</v>
      </c>
      <c r="AD42" s="10">
        <v>54199</v>
      </c>
      <c r="AE42" s="10">
        <v>51142</v>
      </c>
      <c r="AF42" s="10">
        <v>3108</v>
      </c>
      <c r="AG42" s="8">
        <v>12738</v>
      </c>
      <c r="AH42" s="8">
        <v>0</v>
      </c>
      <c r="AI42" s="8">
        <v>0</v>
      </c>
      <c r="AJ42" s="8">
        <v>8958</v>
      </c>
      <c r="AK42" s="8">
        <v>6384</v>
      </c>
      <c r="AM42" s="8">
        <f t="shared" si="17"/>
        <v>-2925</v>
      </c>
      <c r="AN42" s="8">
        <f t="shared" si="18"/>
        <v>-912</v>
      </c>
      <c r="AO42" s="10">
        <f t="shared" si="19"/>
        <v>-16146</v>
      </c>
      <c r="AP42" s="8">
        <f t="shared" si="20"/>
        <v>24050</v>
      </c>
      <c r="AQ42" s="10">
        <f t="shared" si="21"/>
        <v>56</v>
      </c>
      <c r="AR42" s="8">
        <f t="shared" si="22"/>
        <v>-1546</v>
      </c>
      <c r="AS42" s="8">
        <f t="shared" si="23"/>
        <v>-4931</v>
      </c>
      <c r="AT42" s="10">
        <f t="shared" si="24"/>
        <v>5571</v>
      </c>
      <c r="AU42" s="8">
        <f t="shared" si="25"/>
        <v>0</v>
      </c>
      <c r="AV42" s="8">
        <f t="shared" si="13"/>
        <v>43421</v>
      </c>
    </row>
    <row r="43" spans="1:48">
      <c r="A43" t="s">
        <v>74</v>
      </c>
      <c r="B43">
        <v>33605</v>
      </c>
      <c r="C43" s="8">
        <f>VLOOKUP(B43,'ER Contributions'!A:D,4,FALSE)</f>
        <v>25952</v>
      </c>
      <c r="D43" s="9">
        <f>VLOOKUP(B43,'ER Contributions'!A:D,3,FALSE)</f>
        <v>1.1222000000000001E-3</v>
      </c>
      <c r="E43" s="8">
        <f>VLOOKUP(B43,'75 - Summary Exhibit'!A:N,3,FALSE)</f>
        <v>29846</v>
      </c>
      <c r="F43" s="10">
        <f>VLOOKUP(B43,'75 - Summary Exhibit'!A:N,4,FALSE)</f>
        <v>26156</v>
      </c>
      <c r="G43" s="10">
        <f>VLOOKUP(B43,'75 - Summary Exhibit'!A:N,5,FALSE)</f>
        <v>38983</v>
      </c>
      <c r="H43" s="10">
        <f>VLOOKUP(B43,'75 - Summary Exhibit'!A:N,6,FALSE)</f>
        <v>2175</v>
      </c>
      <c r="I43" s="8">
        <f>VLOOKUP(B43,'75 - Summary Exhibit'!A:N,7,FALSE)</f>
        <v>16707</v>
      </c>
      <c r="J43" s="8">
        <f>VLOOKUP(B43,'75 - Summary Exhibit'!A:N,8,FALSE)</f>
        <v>16531</v>
      </c>
      <c r="K43" s="8">
        <f>VLOOKUP(B43,'75 - Summary Exhibit'!A:N,9,FALSE)</f>
        <v>0</v>
      </c>
      <c r="L43" s="8">
        <f>VLOOKUP(B43,'75 - Summary Exhibit'!A:N,10,FALSE)</f>
        <v>5095</v>
      </c>
      <c r="M43" s="8">
        <f>VLOOKUP(B43,'75 - Summary Exhibit'!A:N,11,FALSE)</f>
        <v>0</v>
      </c>
      <c r="N43" s="8">
        <f>VLOOKUP(B43,'75 - Summary Exhibit'!A:N,12,FALSE)</f>
        <v>41516</v>
      </c>
      <c r="O43" s="8">
        <f>VLOOKUP(B43,'75 - Summary Exhibit'!A:N,13,FALSE)</f>
        <v>5269</v>
      </c>
      <c r="P43" s="8">
        <f t="shared" si="14"/>
        <v>46785</v>
      </c>
      <c r="Q43" s="8">
        <f>VLOOKUP(B43,'75- Deferred Amortization'!A:H,3,FALSE)</f>
        <v>19808</v>
      </c>
      <c r="R43" s="8">
        <f>VLOOKUP(B43,'75- Deferred Amortization'!A:H,4,FALSE)</f>
        <v>12817</v>
      </c>
      <c r="S43" s="8">
        <f>VLOOKUP(B43,'75- Deferred Amortization'!A:H,5,FALSE)</f>
        <v>16628</v>
      </c>
      <c r="T43" s="8">
        <f>VLOOKUP(B43,'75- Deferred Amortization'!A:H,6,FALSE)</f>
        <v>7942</v>
      </c>
      <c r="U43" s="8">
        <f>VLOOKUP(B43,'75- Deferred Amortization'!A:H,7,FALSE)</f>
        <v>3453</v>
      </c>
      <c r="V43" s="8">
        <f>VLOOKUP(B43,'75- Deferred Amortization'!A:H,8,FALSE)</f>
        <v>1746</v>
      </c>
      <c r="X43">
        <v>2</v>
      </c>
      <c r="Y43" s="8">
        <f t="shared" si="15"/>
        <v>-67</v>
      </c>
      <c r="Z43" s="8">
        <f t="shared" si="16"/>
        <v>1</v>
      </c>
      <c r="AB43" s="8">
        <f t="shared" si="12"/>
        <v>-1821</v>
      </c>
      <c r="AC43" s="8">
        <v>31667</v>
      </c>
      <c r="AD43" s="10">
        <v>35496</v>
      </c>
      <c r="AE43" s="10">
        <v>33493</v>
      </c>
      <c r="AF43" s="10">
        <v>2035</v>
      </c>
      <c r="AG43" s="8">
        <v>19958</v>
      </c>
      <c r="AH43" s="8">
        <v>0</v>
      </c>
      <c r="AI43" s="8">
        <v>0</v>
      </c>
      <c r="AJ43" s="8">
        <v>5866</v>
      </c>
      <c r="AK43" s="8">
        <v>0</v>
      </c>
      <c r="AM43" s="8">
        <f t="shared" si="17"/>
        <v>-3251</v>
      </c>
      <c r="AN43" s="8">
        <f t="shared" si="18"/>
        <v>0</v>
      </c>
      <c r="AO43" s="10">
        <f t="shared" si="19"/>
        <v>-9340</v>
      </c>
      <c r="AP43" s="8">
        <f t="shared" si="20"/>
        <v>16531</v>
      </c>
      <c r="AQ43" s="10">
        <f t="shared" si="21"/>
        <v>140</v>
      </c>
      <c r="AR43" s="8">
        <f t="shared" si="22"/>
        <v>-771</v>
      </c>
      <c r="AS43" s="8">
        <f t="shared" si="23"/>
        <v>-1821</v>
      </c>
      <c r="AT43" s="10">
        <f t="shared" si="24"/>
        <v>5490</v>
      </c>
      <c r="AU43" s="8">
        <f t="shared" si="25"/>
        <v>0</v>
      </c>
      <c r="AV43" s="8">
        <f t="shared" si="13"/>
        <v>29846</v>
      </c>
    </row>
    <row r="44" spans="1:48">
      <c r="A44" t="s">
        <v>75</v>
      </c>
      <c r="B44">
        <v>34105</v>
      </c>
      <c r="C44" s="8">
        <f>VLOOKUP(B44,'ER Contributions'!A:D,4,FALSE)</f>
        <v>42214</v>
      </c>
      <c r="D44" s="9">
        <f>VLOOKUP(B44,'ER Contributions'!A:D,3,FALSE)</f>
        <v>1.8462999999999999E-3</v>
      </c>
      <c r="E44" s="8">
        <f>VLOOKUP(B44,'75 - Summary Exhibit'!A:N,3,FALSE)</f>
        <v>49104</v>
      </c>
      <c r="F44" s="10">
        <f>VLOOKUP(B44,'75 - Summary Exhibit'!A:N,4,FALSE)</f>
        <v>43034</v>
      </c>
      <c r="G44" s="10">
        <f>VLOOKUP(B44,'75 - Summary Exhibit'!A:N,5,FALSE)</f>
        <v>64137</v>
      </c>
      <c r="H44" s="10">
        <f>VLOOKUP(B44,'75 - Summary Exhibit'!A:N,6,FALSE)</f>
        <v>3578</v>
      </c>
      <c r="I44" s="8">
        <f>VLOOKUP(B44,'75 - Summary Exhibit'!A:N,7,FALSE)</f>
        <v>26498</v>
      </c>
      <c r="J44" s="8">
        <f>VLOOKUP(B44,'75 - Summary Exhibit'!A:N,8,FALSE)</f>
        <v>27198</v>
      </c>
      <c r="K44" s="8">
        <f>VLOOKUP(B44,'75 - Summary Exhibit'!A:N,9,FALSE)</f>
        <v>0</v>
      </c>
      <c r="L44" s="8">
        <f>VLOOKUP(B44,'75 - Summary Exhibit'!A:N,10,FALSE)</f>
        <v>8382</v>
      </c>
      <c r="M44" s="8">
        <f>VLOOKUP(B44,'75 - Summary Exhibit'!A:N,11,FALSE)</f>
        <v>0</v>
      </c>
      <c r="N44" s="8">
        <f>VLOOKUP(B44,'75 - Summary Exhibit'!A:N,12,FALSE)</f>
        <v>68304</v>
      </c>
      <c r="O44" s="8">
        <f>VLOOKUP(B44,'75 - Summary Exhibit'!A:N,13,FALSE)</f>
        <v>9400</v>
      </c>
      <c r="P44" s="8">
        <f t="shared" si="14"/>
        <v>77704</v>
      </c>
      <c r="Q44" s="8">
        <f>VLOOKUP(B44,'75- Deferred Amortization'!A:H,3,FALSE)</f>
        <v>33328</v>
      </c>
      <c r="R44" s="8">
        <f>VLOOKUP(B44,'75- Deferred Amortization'!A:H,4,FALSE)</f>
        <v>21080</v>
      </c>
      <c r="S44" s="8">
        <f>VLOOKUP(B44,'75- Deferred Amortization'!A:H,5,FALSE)</f>
        <v>26924</v>
      </c>
      <c r="T44" s="8">
        <f>VLOOKUP(B44,'75- Deferred Amortization'!A:H,6,FALSE)</f>
        <v>12623</v>
      </c>
      <c r="U44" s="8">
        <f>VLOOKUP(B44,'75- Deferred Amortization'!A:H,7,FALSE)</f>
        <v>4956</v>
      </c>
      <c r="V44" s="8">
        <f>VLOOKUP(B44,'75- Deferred Amortization'!A:H,8,FALSE)</f>
        <v>2755</v>
      </c>
      <c r="X44">
        <v>2</v>
      </c>
      <c r="Y44" s="8">
        <f t="shared" si="15"/>
        <v>-110</v>
      </c>
      <c r="Z44" s="8">
        <f t="shared" si="16"/>
        <v>1</v>
      </c>
      <c r="AB44" s="8">
        <f t="shared" si="12"/>
        <v>-4660</v>
      </c>
      <c r="AC44" s="8">
        <v>53764</v>
      </c>
      <c r="AD44" s="10">
        <v>60264</v>
      </c>
      <c r="AE44" s="10">
        <v>56865</v>
      </c>
      <c r="AF44" s="10">
        <v>3456</v>
      </c>
      <c r="AG44" s="8">
        <v>31302</v>
      </c>
      <c r="AH44" s="8">
        <v>0</v>
      </c>
      <c r="AI44" s="8">
        <v>0</v>
      </c>
      <c r="AJ44" s="8">
        <v>9960</v>
      </c>
      <c r="AK44" s="8">
        <v>0</v>
      </c>
      <c r="AM44" s="8">
        <f t="shared" si="17"/>
        <v>-4804</v>
      </c>
      <c r="AN44" s="8">
        <f t="shared" si="18"/>
        <v>0</v>
      </c>
      <c r="AO44" s="10">
        <f t="shared" si="19"/>
        <v>-17230</v>
      </c>
      <c r="AP44" s="8">
        <f t="shared" si="20"/>
        <v>27198</v>
      </c>
      <c r="AQ44" s="10">
        <f t="shared" si="21"/>
        <v>122</v>
      </c>
      <c r="AR44" s="8">
        <f t="shared" si="22"/>
        <v>-1578</v>
      </c>
      <c r="AS44" s="8">
        <f t="shared" si="23"/>
        <v>-4660</v>
      </c>
      <c r="AT44" s="10">
        <f t="shared" si="24"/>
        <v>7272</v>
      </c>
      <c r="AU44" s="8">
        <f t="shared" si="25"/>
        <v>0</v>
      </c>
      <c r="AV44" s="8">
        <f t="shared" si="13"/>
        <v>49104</v>
      </c>
    </row>
    <row r="45" spans="1:48">
      <c r="A45" t="s">
        <v>76</v>
      </c>
      <c r="B45">
        <v>34205</v>
      </c>
      <c r="C45" s="8">
        <f>VLOOKUP(B45,'ER Contributions'!A:D,4,FALSE)</f>
        <v>6600</v>
      </c>
      <c r="D45" s="9">
        <f>VLOOKUP(B45,'ER Contributions'!A:D,3,FALSE)</f>
        <v>2.9960000000000002E-4</v>
      </c>
      <c r="E45" s="8">
        <f>VLOOKUP(B45,'75 - Summary Exhibit'!A:N,3,FALSE)</f>
        <v>7968</v>
      </c>
      <c r="F45" s="10">
        <f>VLOOKUP(B45,'75 - Summary Exhibit'!A:N,4,FALSE)</f>
        <v>6983</v>
      </c>
      <c r="G45" s="10">
        <f>VLOOKUP(B45,'75 - Summary Exhibit'!A:N,5,FALSE)</f>
        <v>10408</v>
      </c>
      <c r="H45" s="10">
        <f>VLOOKUP(B45,'75 - Summary Exhibit'!A:N,6,FALSE)</f>
        <v>581</v>
      </c>
      <c r="I45" s="8">
        <f>VLOOKUP(B45,'75 - Summary Exhibit'!A:N,7,FALSE)</f>
        <v>6384</v>
      </c>
      <c r="J45" s="8">
        <f>VLOOKUP(B45,'75 - Summary Exhibit'!A:N,8,FALSE)</f>
        <v>4413</v>
      </c>
      <c r="K45" s="8">
        <f>VLOOKUP(B45,'75 - Summary Exhibit'!A:N,9,FALSE)</f>
        <v>0</v>
      </c>
      <c r="L45" s="8">
        <f>VLOOKUP(B45,'75 - Summary Exhibit'!A:N,10,FALSE)</f>
        <v>1360</v>
      </c>
      <c r="M45" s="8">
        <f>VLOOKUP(B45,'75 - Summary Exhibit'!A:N,11,FALSE)</f>
        <v>1395</v>
      </c>
      <c r="N45" s="8">
        <f>VLOOKUP(B45,'75 - Summary Exhibit'!A:N,12,FALSE)</f>
        <v>11084</v>
      </c>
      <c r="O45" s="8">
        <f>VLOOKUP(B45,'75 - Summary Exhibit'!A:N,13,FALSE)</f>
        <v>1927</v>
      </c>
      <c r="P45" s="8">
        <f t="shared" si="14"/>
        <v>13011</v>
      </c>
      <c r="Q45" s="8">
        <f>VLOOKUP(B45,'75- Deferred Amortization'!A:H,3,FALSE)</f>
        <v>5812</v>
      </c>
      <c r="R45" s="8">
        <f>VLOOKUP(B45,'75- Deferred Amortization'!A:H,4,FALSE)</f>
        <v>3751</v>
      </c>
      <c r="S45" s="8">
        <f>VLOOKUP(B45,'75- Deferred Amortization'!A:H,5,FALSE)</f>
        <v>4486</v>
      </c>
      <c r="T45" s="8">
        <f>VLOOKUP(B45,'75- Deferred Amortization'!A:H,6,FALSE)</f>
        <v>2167</v>
      </c>
      <c r="U45" s="8">
        <f>VLOOKUP(B45,'75- Deferred Amortization'!A:H,7,FALSE)</f>
        <v>779</v>
      </c>
      <c r="V45" s="8">
        <f>VLOOKUP(B45,'75- Deferred Amortization'!A:H,8,FALSE)</f>
        <v>191</v>
      </c>
      <c r="X45">
        <v>2</v>
      </c>
      <c r="Y45" s="8">
        <f t="shared" si="15"/>
        <v>-16</v>
      </c>
      <c r="Z45" s="8">
        <f t="shared" si="16"/>
        <v>2</v>
      </c>
      <c r="AB45" s="8">
        <f t="shared" si="12"/>
        <v>-1599</v>
      </c>
      <c r="AC45" s="8">
        <v>9567</v>
      </c>
      <c r="AD45" s="10">
        <v>10724</v>
      </c>
      <c r="AE45" s="10">
        <v>10119</v>
      </c>
      <c r="AF45" s="10">
        <v>615</v>
      </c>
      <c r="AG45" s="8">
        <v>7155</v>
      </c>
      <c r="AH45" s="8">
        <v>0</v>
      </c>
      <c r="AI45" s="8">
        <v>0</v>
      </c>
      <c r="AJ45" s="8">
        <v>1772</v>
      </c>
      <c r="AK45" s="8">
        <v>1627</v>
      </c>
      <c r="AM45" s="8">
        <f t="shared" si="17"/>
        <v>-771</v>
      </c>
      <c r="AN45" s="8">
        <f t="shared" si="18"/>
        <v>-232</v>
      </c>
      <c r="AO45" s="10">
        <f t="shared" si="19"/>
        <v>-3741</v>
      </c>
      <c r="AP45" s="8">
        <f t="shared" si="20"/>
        <v>4413</v>
      </c>
      <c r="AQ45" s="10">
        <f t="shared" si="21"/>
        <v>-34</v>
      </c>
      <c r="AR45" s="8">
        <f t="shared" si="22"/>
        <v>-412</v>
      </c>
      <c r="AS45" s="8">
        <f t="shared" si="23"/>
        <v>-1599</v>
      </c>
      <c r="AT45" s="10">
        <f t="shared" si="24"/>
        <v>289</v>
      </c>
      <c r="AU45" s="8">
        <f t="shared" si="25"/>
        <v>0</v>
      </c>
      <c r="AV45" s="8">
        <f t="shared" si="13"/>
        <v>7968</v>
      </c>
    </row>
    <row r="46" spans="1:48">
      <c r="A46" t="s">
        <v>77</v>
      </c>
      <c r="B46">
        <v>34405</v>
      </c>
      <c r="C46" s="8">
        <f>VLOOKUP(B46,'ER Contributions'!A:D,4,FALSE)</f>
        <v>8245</v>
      </c>
      <c r="D46" s="9">
        <f>VLOOKUP(B46,'ER Contributions'!A:D,3,FALSE)</f>
        <v>4.349E-4</v>
      </c>
      <c r="E46" s="8">
        <f>VLOOKUP(B46,'75 - Summary Exhibit'!A:N,3,FALSE)</f>
        <v>11567</v>
      </c>
      <c r="F46" s="10">
        <f>VLOOKUP(B46,'75 - Summary Exhibit'!A:N,4,FALSE)</f>
        <v>10137</v>
      </c>
      <c r="G46" s="10">
        <f>VLOOKUP(B46,'75 - Summary Exhibit'!A:N,5,FALSE)</f>
        <v>15108</v>
      </c>
      <c r="H46" s="10">
        <f>VLOOKUP(B46,'75 - Summary Exhibit'!A:N,6,FALSE)</f>
        <v>843</v>
      </c>
      <c r="I46" s="8">
        <f>VLOOKUP(B46,'75 - Summary Exhibit'!A:N,7,FALSE)</f>
        <v>3114</v>
      </c>
      <c r="J46" s="8">
        <f>VLOOKUP(B46,'75 - Summary Exhibit'!A:N,8,FALSE)</f>
        <v>6407</v>
      </c>
      <c r="K46" s="8">
        <f>VLOOKUP(B46,'75 - Summary Exhibit'!A:N,9,FALSE)</f>
        <v>0</v>
      </c>
      <c r="L46" s="8">
        <f>VLOOKUP(B46,'75 - Summary Exhibit'!A:N,10,FALSE)</f>
        <v>1974</v>
      </c>
      <c r="M46" s="8">
        <f>VLOOKUP(B46,'75 - Summary Exhibit'!A:N,11,FALSE)</f>
        <v>755</v>
      </c>
      <c r="N46" s="8">
        <f>VLOOKUP(B46,'75 - Summary Exhibit'!A:N,12,FALSE)</f>
        <v>16089</v>
      </c>
      <c r="O46" s="8">
        <f>VLOOKUP(B46,'75 - Summary Exhibit'!A:N,13,FALSE)</f>
        <v>510</v>
      </c>
      <c r="P46" s="8">
        <f t="shared" si="14"/>
        <v>16599</v>
      </c>
      <c r="Q46" s="8">
        <f>VLOOKUP(B46,'75- Deferred Amortization'!A:H,3,FALSE)</f>
        <v>6148</v>
      </c>
      <c r="R46" s="8">
        <f>VLOOKUP(B46,'75- Deferred Amortization'!A:H,4,FALSE)</f>
        <v>3913</v>
      </c>
      <c r="S46" s="8">
        <f>VLOOKUP(B46,'75- Deferred Amortization'!A:H,5,FALSE)</f>
        <v>5627</v>
      </c>
      <c r="T46" s="8">
        <f>VLOOKUP(B46,'75- Deferred Amortization'!A:H,6,FALSE)</f>
        <v>2254</v>
      </c>
      <c r="U46" s="8">
        <f>VLOOKUP(B46,'75- Deferred Amortization'!A:H,7,FALSE)</f>
        <v>1447</v>
      </c>
      <c r="V46" s="8">
        <f>VLOOKUP(B46,'75- Deferred Amortization'!A:H,8,FALSE)</f>
        <v>677</v>
      </c>
      <c r="X46">
        <v>2</v>
      </c>
      <c r="Y46" s="8">
        <f t="shared" si="15"/>
        <v>-26</v>
      </c>
      <c r="Z46" s="8">
        <f t="shared" si="16"/>
        <v>0</v>
      </c>
      <c r="AB46" s="8">
        <f t="shared" si="12"/>
        <v>-1748</v>
      </c>
      <c r="AC46" s="8">
        <v>13315</v>
      </c>
      <c r="AD46" s="10">
        <v>14925</v>
      </c>
      <c r="AE46" s="10">
        <v>14083</v>
      </c>
      <c r="AF46" s="10">
        <v>856</v>
      </c>
      <c r="AG46" s="8">
        <v>3740</v>
      </c>
      <c r="AH46" s="8">
        <v>0</v>
      </c>
      <c r="AI46" s="8">
        <v>0</v>
      </c>
      <c r="AJ46" s="8">
        <v>2467</v>
      </c>
      <c r="AK46" s="8">
        <v>943</v>
      </c>
      <c r="AM46" s="8">
        <f t="shared" si="17"/>
        <v>-626</v>
      </c>
      <c r="AN46" s="8">
        <f t="shared" si="18"/>
        <v>-188</v>
      </c>
      <c r="AO46" s="10">
        <f t="shared" si="19"/>
        <v>-4788</v>
      </c>
      <c r="AP46" s="8">
        <f t="shared" si="20"/>
        <v>6407</v>
      </c>
      <c r="AQ46" s="10">
        <f t="shared" si="21"/>
        <v>-13</v>
      </c>
      <c r="AR46" s="8">
        <f t="shared" si="22"/>
        <v>-493</v>
      </c>
      <c r="AS46" s="8">
        <f t="shared" si="23"/>
        <v>-1748</v>
      </c>
      <c r="AT46" s="10">
        <f t="shared" si="24"/>
        <v>1025</v>
      </c>
      <c r="AU46" s="8">
        <f t="shared" si="25"/>
        <v>0</v>
      </c>
      <c r="AV46" s="8">
        <f t="shared" si="13"/>
        <v>11567</v>
      </c>
    </row>
    <row r="47" spans="1:48">
      <c r="A47" t="s">
        <v>103</v>
      </c>
      <c r="B47">
        <v>38105</v>
      </c>
      <c r="C47" s="8">
        <f>VLOOKUP(B47,'ER Contributions'!A:D,4,FALSE)</f>
        <v>10785</v>
      </c>
      <c r="D47" s="9">
        <f>VLOOKUP(B47,'ER Contributions'!A:D,3,FALSE)</f>
        <v>5.1000000000000004E-4</v>
      </c>
      <c r="E47" s="8">
        <f>VLOOKUP(B47,'75 - Summary Exhibit'!A:N,3,FALSE)</f>
        <v>13564</v>
      </c>
      <c r="F47" s="10">
        <f>VLOOKUP(B47,'75 - Summary Exhibit'!A:N,4,FALSE)</f>
        <v>11887</v>
      </c>
      <c r="G47" s="10">
        <f>VLOOKUP(B47,'75 - Summary Exhibit'!A:N,5,FALSE)</f>
        <v>17716</v>
      </c>
      <c r="H47" s="10">
        <f>VLOOKUP(B47,'75 - Summary Exhibit'!A:N,6,FALSE)</f>
        <v>988</v>
      </c>
      <c r="I47" s="8">
        <f>VLOOKUP(B47,'75 - Summary Exhibit'!A:N,7,FALSE)</f>
        <v>4585</v>
      </c>
      <c r="J47" s="8">
        <f>VLOOKUP(B47,'75 - Summary Exhibit'!A:N,8,FALSE)</f>
        <v>7513</v>
      </c>
      <c r="K47" s="8">
        <f>VLOOKUP(B47,'75 - Summary Exhibit'!A:N,9,FALSE)</f>
        <v>0</v>
      </c>
      <c r="L47" s="8">
        <f>VLOOKUP(B47,'75 - Summary Exhibit'!A:N,10,FALSE)</f>
        <v>2315</v>
      </c>
      <c r="M47" s="8">
        <f>VLOOKUP(B47,'75 - Summary Exhibit'!A:N,11,FALSE)</f>
        <v>0</v>
      </c>
      <c r="N47" s="8">
        <f>VLOOKUP(B47,'75 - Summary Exhibit'!A:N,12,FALSE)</f>
        <v>18867</v>
      </c>
      <c r="O47" s="8">
        <f>VLOOKUP(B47,'75 - Summary Exhibit'!A:N,13,FALSE)</f>
        <v>1322</v>
      </c>
      <c r="P47" s="8">
        <f t="shared" si="14"/>
        <v>20189</v>
      </c>
      <c r="Q47" s="8">
        <f>VLOOKUP(B47,'75- Deferred Amortization'!A:H,3,FALSE)</f>
        <v>7931</v>
      </c>
      <c r="R47" s="8">
        <f>VLOOKUP(B47,'75- Deferred Amortization'!A:H,4,FALSE)</f>
        <v>5036</v>
      </c>
      <c r="S47" s="8">
        <f>VLOOKUP(B47,'75- Deferred Amortization'!A:H,5,FALSE)</f>
        <v>7011</v>
      </c>
      <c r="T47" s="8">
        <f>VLOOKUP(B47,'75- Deferred Amortization'!A:H,6,FALSE)</f>
        <v>3062</v>
      </c>
      <c r="U47" s="8">
        <f>VLOOKUP(B47,'75- Deferred Amortization'!A:H,7,FALSE)</f>
        <v>1473</v>
      </c>
      <c r="V47" s="8">
        <f>VLOOKUP(B47,'75- Deferred Amortization'!A:H,8,FALSE)</f>
        <v>837</v>
      </c>
      <c r="X47">
        <v>2</v>
      </c>
      <c r="Y47" s="8">
        <f t="shared" si="15"/>
        <v>-32</v>
      </c>
      <c r="Z47" s="8">
        <f t="shared" si="16"/>
        <v>-2</v>
      </c>
      <c r="AB47" s="8">
        <f t="shared" si="12"/>
        <v>-1093</v>
      </c>
      <c r="AC47" s="8">
        <v>14657</v>
      </c>
      <c r="AD47" s="10">
        <v>16429</v>
      </c>
      <c r="AE47" s="10">
        <v>15502</v>
      </c>
      <c r="AF47" s="10">
        <v>942</v>
      </c>
      <c r="AG47" s="8">
        <v>5719</v>
      </c>
      <c r="AH47" s="8">
        <v>0</v>
      </c>
      <c r="AI47" s="8">
        <v>0</v>
      </c>
      <c r="AJ47" s="8">
        <v>2715</v>
      </c>
      <c r="AK47" s="8">
        <v>0</v>
      </c>
      <c r="AM47" s="8">
        <f t="shared" si="17"/>
        <v>-1134</v>
      </c>
      <c r="AN47" s="8">
        <f t="shared" si="18"/>
        <v>0</v>
      </c>
      <c r="AO47" s="10">
        <f t="shared" si="19"/>
        <v>-4542</v>
      </c>
      <c r="AP47" s="8">
        <f t="shared" si="20"/>
        <v>7513</v>
      </c>
      <c r="AQ47" s="10">
        <f t="shared" si="21"/>
        <v>46</v>
      </c>
      <c r="AR47" s="8">
        <f t="shared" si="22"/>
        <v>-400</v>
      </c>
      <c r="AS47" s="8">
        <f t="shared" si="23"/>
        <v>-1093</v>
      </c>
      <c r="AT47" s="10">
        <f t="shared" si="24"/>
        <v>2214</v>
      </c>
      <c r="AU47" s="8">
        <f t="shared" si="25"/>
        <v>0</v>
      </c>
      <c r="AV47" s="8">
        <f t="shared" si="13"/>
        <v>13564</v>
      </c>
    </row>
    <row r="48" spans="1:48">
      <c r="A48" t="s">
        <v>70</v>
      </c>
      <c r="B48">
        <v>33105</v>
      </c>
      <c r="C48" s="8">
        <f>VLOOKUP(B48,'ER Contributions'!A:D,4,FALSE)</f>
        <v>7533</v>
      </c>
      <c r="D48" s="9">
        <f>VLOOKUP(B48,'ER Contributions'!A:D,3,FALSE)</f>
        <v>3.7760000000000002E-4</v>
      </c>
      <c r="E48" s="8">
        <f>VLOOKUP(B48,'75 - Summary Exhibit'!A:N,3,FALSE)</f>
        <v>10043</v>
      </c>
      <c r="F48" s="10">
        <f>VLOOKUP(B48,'75 - Summary Exhibit'!A:N,4,FALSE)</f>
        <v>8801</v>
      </c>
      <c r="G48" s="10">
        <f>VLOOKUP(B48,'75 - Summary Exhibit'!A:N,5,FALSE)</f>
        <v>13117</v>
      </c>
      <c r="H48" s="10">
        <f>VLOOKUP(B48,'75 - Summary Exhibit'!A:N,6,FALSE)</f>
        <v>732</v>
      </c>
      <c r="I48" s="8">
        <f>VLOOKUP(B48,'75 - Summary Exhibit'!A:N,7,FALSE)</f>
        <v>1438</v>
      </c>
      <c r="J48" s="8">
        <f>VLOOKUP(B48,'75 - Summary Exhibit'!A:N,8,FALSE)</f>
        <v>5562</v>
      </c>
      <c r="K48" s="8">
        <f>VLOOKUP(B48,'75 - Summary Exhibit'!A:N,9,FALSE)</f>
        <v>0</v>
      </c>
      <c r="L48" s="8">
        <f>VLOOKUP(B48,'75 - Summary Exhibit'!A:N,10,FALSE)</f>
        <v>1714</v>
      </c>
      <c r="M48" s="8">
        <f>VLOOKUP(B48,'75 - Summary Exhibit'!A:N,11,FALSE)</f>
        <v>1579</v>
      </c>
      <c r="N48" s="8">
        <f>VLOOKUP(B48,'75 - Summary Exhibit'!A:N,12,FALSE)</f>
        <v>13969</v>
      </c>
      <c r="O48" s="8">
        <f>VLOOKUP(B48,'75 - Summary Exhibit'!A:N,13,FALSE)</f>
        <v>48</v>
      </c>
      <c r="P48" s="8">
        <f t="shared" si="14"/>
        <v>14017</v>
      </c>
      <c r="Q48" s="8">
        <f>VLOOKUP(B48,'75- Deferred Amortization'!A:H,3,FALSE)</f>
        <v>4941</v>
      </c>
      <c r="R48" s="8">
        <f>VLOOKUP(B48,'75- Deferred Amortization'!A:H,4,FALSE)</f>
        <v>2897</v>
      </c>
      <c r="S48" s="8">
        <f>VLOOKUP(B48,'75- Deferred Amortization'!A:H,5,FALSE)</f>
        <v>4627</v>
      </c>
      <c r="T48" s="8">
        <f>VLOOKUP(B48,'75- Deferred Amortization'!A:H,6,FALSE)</f>
        <v>1702</v>
      </c>
      <c r="U48" s="8">
        <f>VLOOKUP(B48,'75- Deferred Amortization'!A:H,7,FALSE)</f>
        <v>623</v>
      </c>
      <c r="V48" s="8">
        <f>VLOOKUP(B48,'75- Deferred Amortization'!A:H,8,FALSE)</f>
        <v>443</v>
      </c>
      <c r="X48">
        <v>2</v>
      </c>
      <c r="Y48" s="8">
        <f t="shared" si="15"/>
        <v>-23</v>
      </c>
      <c r="Z48" s="8">
        <f t="shared" si="16"/>
        <v>0</v>
      </c>
      <c r="AB48" s="8">
        <f t="shared" si="12"/>
        <v>-473</v>
      </c>
      <c r="AC48" s="8">
        <v>10516</v>
      </c>
      <c r="AD48" s="10">
        <v>11787</v>
      </c>
      <c r="AE48" s="10">
        <v>11123</v>
      </c>
      <c r="AF48" s="10">
        <v>676</v>
      </c>
      <c r="AG48" s="8">
        <v>1936</v>
      </c>
      <c r="AH48" s="8">
        <v>0</v>
      </c>
      <c r="AI48" s="8">
        <v>0</v>
      </c>
      <c r="AJ48" s="8">
        <v>1948</v>
      </c>
      <c r="AK48" s="8">
        <v>1361</v>
      </c>
      <c r="AM48" s="8">
        <f t="shared" si="17"/>
        <v>-498</v>
      </c>
      <c r="AN48" s="8">
        <f t="shared" si="18"/>
        <v>218</v>
      </c>
      <c r="AO48" s="10">
        <f t="shared" si="19"/>
        <v>-2986</v>
      </c>
      <c r="AP48" s="8">
        <f t="shared" si="20"/>
        <v>5562</v>
      </c>
      <c r="AQ48" s="10">
        <f t="shared" si="21"/>
        <v>56</v>
      </c>
      <c r="AR48" s="8">
        <f t="shared" si="22"/>
        <v>-234</v>
      </c>
      <c r="AS48" s="8">
        <f t="shared" si="23"/>
        <v>-473</v>
      </c>
      <c r="AT48" s="10">
        <f t="shared" si="24"/>
        <v>1994</v>
      </c>
      <c r="AU48" s="8">
        <f t="shared" si="25"/>
        <v>0</v>
      </c>
      <c r="AV48" s="8">
        <f t="shared" si="13"/>
        <v>10043</v>
      </c>
    </row>
    <row r="49" spans="1:48">
      <c r="A49" t="s">
        <v>82</v>
      </c>
      <c r="B49">
        <v>35105</v>
      </c>
      <c r="C49" s="8">
        <f>VLOOKUP(B49,'ER Contributions'!A:D,4,FALSE)</f>
        <v>19150</v>
      </c>
      <c r="D49" s="9">
        <f>VLOOKUP(B49,'ER Contributions'!A:D,3,FALSE)</f>
        <v>9.3829999999999998E-4</v>
      </c>
      <c r="E49" s="8">
        <f>VLOOKUP(B49,'75 - Summary Exhibit'!A:N,3,FALSE)</f>
        <v>24955</v>
      </c>
      <c r="F49" s="10">
        <f>VLOOKUP(B49,'75 - Summary Exhibit'!A:N,4,FALSE)</f>
        <v>21870</v>
      </c>
      <c r="G49" s="10">
        <f>VLOOKUP(B49,'75 - Summary Exhibit'!A:N,5,FALSE)</f>
        <v>32595</v>
      </c>
      <c r="H49" s="10">
        <f>VLOOKUP(B49,'75 - Summary Exhibit'!A:N,6,FALSE)</f>
        <v>1818</v>
      </c>
      <c r="I49" s="8">
        <f>VLOOKUP(B49,'75 - Summary Exhibit'!A:N,7,FALSE)</f>
        <v>3543</v>
      </c>
      <c r="J49" s="8">
        <f>VLOOKUP(B49,'75 - Summary Exhibit'!A:N,8,FALSE)</f>
        <v>13822</v>
      </c>
      <c r="K49" s="8">
        <f>VLOOKUP(B49,'75 - Summary Exhibit'!A:N,9,FALSE)</f>
        <v>0</v>
      </c>
      <c r="L49" s="8">
        <f>VLOOKUP(B49,'75 - Summary Exhibit'!A:N,10,FALSE)</f>
        <v>4260</v>
      </c>
      <c r="M49" s="8">
        <f>VLOOKUP(B49,'75 - Summary Exhibit'!A:N,11,FALSE)</f>
        <v>1959</v>
      </c>
      <c r="N49" s="8">
        <f>VLOOKUP(B49,'75 - Summary Exhibit'!A:N,12,FALSE)</f>
        <v>34712</v>
      </c>
      <c r="O49" s="8">
        <f>VLOOKUP(B49,'75 - Summary Exhibit'!A:N,13,FALSE)</f>
        <v>767</v>
      </c>
      <c r="P49" s="8">
        <f t="shared" si="14"/>
        <v>35479</v>
      </c>
      <c r="Q49" s="8">
        <f>VLOOKUP(B49,'75- Deferred Amortization'!A:H,3,FALSE)</f>
        <v>12929</v>
      </c>
      <c r="R49" s="8">
        <f>VLOOKUP(B49,'75- Deferred Amortization'!A:H,4,FALSE)</f>
        <v>8245</v>
      </c>
      <c r="S49" s="8">
        <f>VLOOKUP(B49,'75- Deferred Amortization'!A:H,5,FALSE)</f>
        <v>11497</v>
      </c>
      <c r="T49" s="8">
        <f>VLOOKUP(B49,'75- Deferred Amortization'!A:H,6,FALSE)</f>
        <v>4231</v>
      </c>
      <c r="U49" s="8">
        <f>VLOOKUP(B49,'75- Deferred Amortization'!A:H,7,FALSE)</f>
        <v>1707</v>
      </c>
      <c r="V49" s="8">
        <f>VLOOKUP(B49,'75- Deferred Amortization'!A:H,8,FALSE)</f>
        <v>1176</v>
      </c>
      <c r="X49">
        <v>2</v>
      </c>
      <c r="Y49" s="8">
        <f t="shared" si="15"/>
        <v>-56</v>
      </c>
      <c r="Z49" s="8">
        <f t="shared" si="16"/>
        <v>0</v>
      </c>
      <c r="AB49" s="8">
        <f t="shared" si="12"/>
        <v>-3743</v>
      </c>
      <c r="AC49" s="8">
        <v>28698</v>
      </c>
      <c r="AD49" s="10">
        <v>32168</v>
      </c>
      <c r="AE49" s="10">
        <v>30353</v>
      </c>
      <c r="AF49" s="10">
        <v>1845</v>
      </c>
      <c r="AG49" s="8">
        <v>3231</v>
      </c>
      <c r="AH49" s="8">
        <v>0</v>
      </c>
      <c r="AI49" s="8">
        <v>0</v>
      </c>
      <c r="AJ49" s="8">
        <v>5316</v>
      </c>
      <c r="AK49" s="8">
        <v>2368</v>
      </c>
      <c r="AM49" s="8">
        <f t="shared" si="17"/>
        <v>312</v>
      </c>
      <c r="AN49" s="8">
        <f t="shared" si="18"/>
        <v>-409</v>
      </c>
      <c r="AO49" s="10">
        <f t="shared" si="19"/>
        <v>-10298</v>
      </c>
      <c r="AP49" s="8">
        <f t="shared" si="20"/>
        <v>13822</v>
      </c>
      <c r="AQ49" s="10">
        <f t="shared" si="21"/>
        <v>-27</v>
      </c>
      <c r="AR49" s="8">
        <f t="shared" si="22"/>
        <v>-1056</v>
      </c>
      <c r="AS49" s="8">
        <f t="shared" si="23"/>
        <v>-3743</v>
      </c>
      <c r="AT49" s="10">
        <f t="shared" si="24"/>
        <v>2242</v>
      </c>
      <c r="AU49" s="8">
        <f t="shared" si="25"/>
        <v>0</v>
      </c>
      <c r="AV49" s="8">
        <f t="shared" si="13"/>
        <v>24955</v>
      </c>
    </row>
    <row r="50" spans="1:48">
      <c r="A50" t="s">
        <v>84</v>
      </c>
      <c r="B50">
        <v>35405</v>
      </c>
      <c r="C50" s="8">
        <f>VLOOKUP(B50,'ER Contributions'!A:D,4,FALSE)</f>
        <v>14277</v>
      </c>
      <c r="D50" s="9">
        <f>VLOOKUP(B50,'ER Contributions'!A:D,3,FALSE)</f>
        <v>7.3700000000000002E-4</v>
      </c>
      <c r="E50" s="8">
        <f>VLOOKUP(B50,'75 - Summary Exhibit'!A:N,3,FALSE)</f>
        <v>19601</v>
      </c>
      <c r="F50" s="10">
        <f>VLOOKUP(B50,'75 - Summary Exhibit'!A:N,4,FALSE)</f>
        <v>17178</v>
      </c>
      <c r="G50" s="10">
        <f>VLOOKUP(B50,'75 - Summary Exhibit'!A:N,5,FALSE)</f>
        <v>25602</v>
      </c>
      <c r="H50" s="10">
        <f>VLOOKUP(B50,'75 - Summary Exhibit'!A:N,6,FALSE)</f>
        <v>1428</v>
      </c>
      <c r="I50" s="8">
        <f>VLOOKUP(B50,'75 - Summary Exhibit'!A:N,7,FALSE)</f>
        <v>6421</v>
      </c>
      <c r="J50" s="8">
        <f>VLOOKUP(B50,'75 - Summary Exhibit'!A:N,8,FALSE)</f>
        <v>10857</v>
      </c>
      <c r="K50" s="8">
        <f>VLOOKUP(B50,'75 - Summary Exhibit'!A:N,9,FALSE)</f>
        <v>0</v>
      </c>
      <c r="L50" s="8">
        <f>VLOOKUP(B50,'75 - Summary Exhibit'!A:N,10,FALSE)</f>
        <v>3346</v>
      </c>
      <c r="M50" s="8">
        <f>VLOOKUP(B50,'75 - Summary Exhibit'!A:N,11,FALSE)</f>
        <v>945</v>
      </c>
      <c r="N50" s="8">
        <f>VLOOKUP(B50,'75 - Summary Exhibit'!A:N,12,FALSE)</f>
        <v>27265</v>
      </c>
      <c r="O50" s="8">
        <f>VLOOKUP(B50,'75 - Summary Exhibit'!A:N,13,FALSE)</f>
        <v>1718</v>
      </c>
      <c r="P50" s="8">
        <f t="shared" si="14"/>
        <v>28983</v>
      </c>
      <c r="Q50" s="8">
        <f>VLOOKUP(B50,'75- Deferred Amortization'!A:H,3,FALSE)</f>
        <v>11266</v>
      </c>
      <c r="R50" s="8">
        <f>VLOOKUP(B50,'75- Deferred Amortization'!A:H,4,FALSE)</f>
        <v>7264</v>
      </c>
      <c r="S50" s="8">
        <f>VLOOKUP(B50,'75- Deferred Amortization'!A:H,5,FALSE)</f>
        <v>10059</v>
      </c>
      <c r="T50" s="8">
        <f>VLOOKUP(B50,'75- Deferred Amortization'!A:H,6,FALSE)</f>
        <v>4346</v>
      </c>
      <c r="U50" s="8">
        <f>VLOOKUP(B50,'75- Deferred Amortization'!A:H,7,FALSE)</f>
        <v>1652</v>
      </c>
      <c r="V50" s="8">
        <f>VLOOKUP(B50,'75- Deferred Amortization'!A:H,8,FALSE)</f>
        <v>894</v>
      </c>
      <c r="X50">
        <v>2</v>
      </c>
      <c r="Y50" s="8">
        <f t="shared" si="15"/>
        <v>-45</v>
      </c>
      <c r="Z50" s="8">
        <f t="shared" si="16"/>
        <v>0</v>
      </c>
      <c r="AB50" s="8">
        <f t="shared" si="12"/>
        <v>-2981</v>
      </c>
      <c r="AC50" s="8">
        <v>22582</v>
      </c>
      <c r="AD50" s="10">
        <v>25312</v>
      </c>
      <c r="AE50" s="10">
        <v>23884</v>
      </c>
      <c r="AF50" s="10">
        <v>1451</v>
      </c>
      <c r="AG50" s="8">
        <v>7852</v>
      </c>
      <c r="AH50" s="8">
        <v>0</v>
      </c>
      <c r="AI50" s="8">
        <v>0</v>
      </c>
      <c r="AJ50" s="8">
        <v>4183</v>
      </c>
      <c r="AK50" s="8">
        <v>1103</v>
      </c>
      <c r="AM50" s="8">
        <f t="shared" si="17"/>
        <v>-1431</v>
      </c>
      <c r="AN50" s="8">
        <f t="shared" si="18"/>
        <v>-158</v>
      </c>
      <c r="AO50" s="10">
        <f t="shared" si="19"/>
        <v>-8134</v>
      </c>
      <c r="AP50" s="8">
        <f t="shared" si="20"/>
        <v>10857</v>
      </c>
      <c r="AQ50" s="10">
        <f t="shared" si="21"/>
        <v>-23</v>
      </c>
      <c r="AR50" s="8">
        <f t="shared" si="22"/>
        <v>-837</v>
      </c>
      <c r="AS50" s="8">
        <f t="shared" si="23"/>
        <v>-2981</v>
      </c>
      <c r="AT50" s="10">
        <f t="shared" si="24"/>
        <v>1718</v>
      </c>
      <c r="AU50" s="8">
        <f t="shared" si="25"/>
        <v>0</v>
      </c>
      <c r="AV50" s="8">
        <f t="shared" si="13"/>
        <v>19601</v>
      </c>
    </row>
    <row r="51" spans="1:48">
      <c r="A51" t="s">
        <v>85</v>
      </c>
      <c r="B51">
        <v>35805</v>
      </c>
      <c r="C51" s="8">
        <f>VLOOKUP(B51,'ER Contributions'!A:D,4,FALSE)</f>
        <v>4799</v>
      </c>
      <c r="D51" s="9">
        <f>VLOOKUP(B51,'ER Contributions'!A:D,3,FALSE)</f>
        <v>1.8900000000000001E-4</v>
      </c>
      <c r="E51" s="8">
        <f>VLOOKUP(B51,'75 - Summary Exhibit'!A:N,3,FALSE)</f>
        <v>5027</v>
      </c>
      <c r="F51" s="10">
        <f>VLOOKUP(B51,'75 - Summary Exhibit'!A:N,4,FALSE)</f>
        <v>4405</v>
      </c>
      <c r="G51" s="10">
        <f>VLOOKUP(B51,'75 - Summary Exhibit'!A:N,5,FALSE)</f>
        <v>6565</v>
      </c>
      <c r="H51" s="10">
        <f>VLOOKUP(B51,'75 - Summary Exhibit'!A:N,6,FALSE)</f>
        <v>366</v>
      </c>
      <c r="I51" s="8">
        <f>VLOOKUP(B51,'75 - Summary Exhibit'!A:N,7,FALSE)</f>
        <v>3318</v>
      </c>
      <c r="J51" s="8">
        <f>VLOOKUP(B51,'75 - Summary Exhibit'!A:N,8,FALSE)</f>
        <v>2784</v>
      </c>
      <c r="K51" s="8">
        <f>VLOOKUP(B51,'75 - Summary Exhibit'!A:N,9,FALSE)</f>
        <v>0</v>
      </c>
      <c r="L51" s="8">
        <f>VLOOKUP(B51,'75 - Summary Exhibit'!A:N,10,FALSE)</f>
        <v>858</v>
      </c>
      <c r="M51" s="8">
        <f>VLOOKUP(B51,'75 - Summary Exhibit'!A:N,11,FALSE)</f>
        <v>520</v>
      </c>
      <c r="N51" s="8">
        <f>VLOOKUP(B51,'75 - Summary Exhibit'!A:N,12,FALSE)</f>
        <v>6992</v>
      </c>
      <c r="O51" s="8">
        <f>VLOOKUP(B51,'75 - Summary Exhibit'!A:N,13,FALSE)</f>
        <v>1042</v>
      </c>
      <c r="P51" s="8">
        <f t="shared" si="14"/>
        <v>8034</v>
      </c>
      <c r="Q51" s="8">
        <f>VLOOKUP(B51,'75- Deferred Amortization'!A:H,3,FALSE)</f>
        <v>3491</v>
      </c>
      <c r="R51" s="8">
        <f>VLOOKUP(B51,'75- Deferred Amortization'!A:H,4,FALSE)</f>
        <v>2368</v>
      </c>
      <c r="S51" s="8">
        <f>VLOOKUP(B51,'75- Deferred Amortization'!A:H,5,FALSE)</f>
        <v>2625</v>
      </c>
      <c r="T51" s="8">
        <f>VLOOKUP(B51,'75- Deferred Amortization'!A:H,6,FALSE)</f>
        <v>1164</v>
      </c>
      <c r="U51" s="8">
        <f>VLOOKUP(B51,'75- Deferred Amortization'!A:H,7,FALSE)</f>
        <v>576</v>
      </c>
      <c r="V51" s="8">
        <f>VLOOKUP(B51,'75- Deferred Amortization'!A:H,8,FALSE)</f>
        <v>268</v>
      </c>
      <c r="X51">
        <v>2</v>
      </c>
      <c r="Y51" s="8">
        <f t="shared" si="15"/>
        <v>-13</v>
      </c>
      <c r="Z51" s="8">
        <f t="shared" si="16"/>
        <v>0</v>
      </c>
      <c r="AB51" s="8">
        <f t="shared" si="12"/>
        <v>-991</v>
      </c>
      <c r="AC51" s="8">
        <v>6018</v>
      </c>
      <c r="AD51" s="10">
        <v>6746</v>
      </c>
      <c r="AE51" s="10">
        <v>6365</v>
      </c>
      <c r="AF51" s="10">
        <v>387</v>
      </c>
      <c r="AG51" s="8">
        <v>2998</v>
      </c>
      <c r="AH51" s="8">
        <v>0</v>
      </c>
      <c r="AI51" s="8">
        <v>0</v>
      </c>
      <c r="AJ51" s="8">
        <v>1115</v>
      </c>
      <c r="AK51" s="8">
        <v>650</v>
      </c>
      <c r="AM51" s="8">
        <f t="shared" si="17"/>
        <v>320</v>
      </c>
      <c r="AN51" s="8">
        <f t="shared" si="18"/>
        <v>-130</v>
      </c>
      <c r="AO51" s="10">
        <f t="shared" si="19"/>
        <v>-2341</v>
      </c>
      <c r="AP51" s="8">
        <f t="shared" si="20"/>
        <v>2784</v>
      </c>
      <c r="AQ51" s="10">
        <f t="shared" si="21"/>
        <v>-21</v>
      </c>
      <c r="AR51" s="8">
        <f t="shared" si="22"/>
        <v>-257</v>
      </c>
      <c r="AS51" s="8">
        <f t="shared" si="23"/>
        <v>-991</v>
      </c>
      <c r="AT51" s="10">
        <f t="shared" si="24"/>
        <v>200</v>
      </c>
      <c r="AU51" s="8">
        <f t="shared" si="25"/>
        <v>0</v>
      </c>
      <c r="AV51" s="8">
        <f t="shared" si="13"/>
        <v>5027</v>
      </c>
    </row>
    <row r="52" spans="1:48">
      <c r="A52" t="s">
        <v>88</v>
      </c>
      <c r="B52">
        <v>36105</v>
      </c>
      <c r="C52" s="8">
        <f>VLOOKUP(B52,'ER Contributions'!A:D,4,FALSE)</f>
        <v>6172</v>
      </c>
      <c r="D52" s="9">
        <f>VLOOKUP(B52,'ER Contributions'!A:D,3,FALSE)</f>
        <v>2.7799999999999998E-4</v>
      </c>
      <c r="E52" s="8">
        <f>VLOOKUP(B52,'75 - Summary Exhibit'!A:N,3,FALSE)</f>
        <v>7394</v>
      </c>
      <c r="F52" s="10">
        <f>VLOOKUP(B52,'75 - Summary Exhibit'!A:N,4,FALSE)</f>
        <v>6480</v>
      </c>
      <c r="G52" s="10">
        <f>VLOOKUP(B52,'75 - Summary Exhibit'!A:N,5,FALSE)</f>
        <v>9657</v>
      </c>
      <c r="H52" s="10">
        <f>VLOOKUP(B52,'75 - Summary Exhibit'!A:N,6,FALSE)</f>
        <v>539</v>
      </c>
      <c r="I52" s="8">
        <f>VLOOKUP(B52,'75 - Summary Exhibit'!A:N,7,FALSE)</f>
        <v>5071</v>
      </c>
      <c r="J52" s="8">
        <f>VLOOKUP(B52,'75 - Summary Exhibit'!A:N,8,FALSE)</f>
        <v>4095</v>
      </c>
      <c r="K52" s="8">
        <f>VLOOKUP(B52,'75 - Summary Exhibit'!A:N,9,FALSE)</f>
        <v>0</v>
      </c>
      <c r="L52" s="8">
        <f>VLOOKUP(B52,'75 - Summary Exhibit'!A:N,10,FALSE)</f>
        <v>1262</v>
      </c>
      <c r="M52" s="8">
        <f>VLOOKUP(B52,'75 - Summary Exhibit'!A:N,11,FALSE)</f>
        <v>0</v>
      </c>
      <c r="N52" s="8">
        <f>VLOOKUP(B52,'75 - Summary Exhibit'!A:N,12,FALSE)</f>
        <v>10285</v>
      </c>
      <c r="O52" s="8">
        <f>VLOOKUP(B52,'75 - Summary Exhibit'!A:N,13,FALSE)</f>
        <v>1476</v>
      </c>
      <c r="P52" s="8">
        <f t="shared" si="14"/>
        <v>11761</v>
      </c>
      <c r="Q52" s="8">
        <f>VLOOKUP(B52,'75- Deferred Amortization'!A:H,3,FALSE)</f>
        <v>5077</v>
      </c>
      <c r="R52" s="8">
        <f>VLOOKUP(B52,'75- Deferred Amortization'!A:H,4,FALSE)</f>
        <v>3398</v>
      </c>
      <c r="S52" s="8">
        <f>VLOOKUP(B52,'75- Deferred Amortization'!A:H,5,FALSE)</f>
        <v>4336</v>
      </c>
      <c r="T52" s="8">
        <f>VLOOKUP(B52,'75- Deferred Amortization'!A:H,6,FALSE)</f>
        <v>2184</v>
      </c>
      <c r="U52" s="8">
        <f>VLOOKUP(B52,'75- Deferred Amortization'!A:H,7,FALSE)</f>
        <v>784</v>
      </c>
      <c r="V52" s="8">
        <f>VLOOKUP(B52,'75- Deferred Amortization'!A:H,8,FALSE)</f>
        <v>611</v>
      </c>
      <c r="X52">
        <v>2</v>
      </c>
      <c r="Y52" s="8">
        <f t="shared" si="15"/>
        <v>-15</v>
      </c>
      <c r="Z52" s="8">
        <f t="shared" si="16"/>
        <v>0</v>
      </c>
      <c r="AB52" s="8">
        <f t="shared" si="12"/>
        <v>-712</v>
      </c>
      <c r="AC52" s="8">
        <v>8106</v>
      </c>
      <c r="AD52" s="10">
        <v>9087</v>
      </c>
      <c r="AE52" s="10">
        <v>8574</v>
      </c>
      <c r="AF52" s="10">
        <v>521</v>
      </c>
      <c r="AG52" s="8">
        <v>6026</v>
      </c>
      <c r="AH52" s="8">
        <v>0</v>
      </c>
      <c r="AI52" s="8">
        <v>0</v>
      </c>
      <c r="AJ52" s="8">
        <v>1502</v>
      </c>
      <c r="AK52" s="8">
        <v>0</v>
      </c>
      <c r="AM52" s="8">
        <f t="shared" si="17"/>
        <v>-955</v>
      </c>
      <c r="AN52" s="8">
        <f t="shared" si="18"/>
        <v>0</v>
      </c>
      <c r="AO52" s="10">
        <f t="shared" si="19"/>
        <v>-2607</v>
      </c>
      <c r="AP52" s="8">
        <f t="shared" si="20"/>
        <v>4095</v>
      </c>
      <c r="AQ52" s="10">
        <f t="shared" si="21"/>
        <v>18</v>
      </c>
      <c r="AR52" s="8">
        <f t="shared" si="22"/>
        <v>-240</v>
      </c>
      <c r="AS52" s="8">
        <f t="shared" si="23"/>
        <v>-712</v>
      </c>
      <c r="AT52" s="10">
        <f t="shared" si="24"/>
        <v>1083</v>
      </c>
      <c r="AU52" s="8">
        <f t="shared" si="25"/>
        <v>0</v>
      </c>
      <c r="AV52" s="8">
        <f t="shared" si="13"/>
        <v>7394</v>
      </c>
    </row>
    <row r="53" spans="1:48">
      <c r="A53" t="s">
        <v>86</v>
      </c>
      <c r="B53">
        <v>35905</v>
      </c>
      <c r="C53" s="8">
        <f>VLOOKUP(B53,'ER Contributions'!A:D,4,FALSE)</f>
        <v>6728</v>
      </c>
      <c r="D53" s="9">
        <f>VLOOKUP(B53,'ER Contributions'!A:D,3,FALSE)</f>
        <v>2.9179999999999999E-4</v>
      </c>
      <c r="E53" s="8">
        <f>VLOOKUP(B53,'75 - Summary Exhibit'!A:N,3,FALSE)</f>
        <v>7761</v>
      </c>
      <c r="F53" s="10">
        <f>VLOOKUP(B53,'75 - Summary Exhibit'!A:N,4,FALSE)</f>
        <v>6801</v>
      </c>
      <c r="G53" s="10">
        <f>VLOOKUP(B53,'75 - Summary Exhibit'!A:N,5,FALSE)</f>
        <v>10137</v>
      </c>
      <c r="H53" s="10">
        <f>VLOOKUP(B53,'75 - Summary Exhibit'!A:N,6,FALSE)</f>
        <v>566</v>
      </c>
      <c r="I53" s="8">
        <f>VLOOKUP(B53,'75 - Summary Exhibit'!A:N,7,FALSE)</f>
        <v>4871</v>
      </c>
      <c r="J53" s="8">
        <f>VLOOKUP(B53,'75 - Summary Exhibit'!A:N,8,FALSE)</f>
        <v>4299</v>
      </c>
      <c r="K53" s="8">
        <f>VLOOKUP(B53,'75 - Summary Exhibit'!A:N,9,FALSE)</f>
        <v>0</v>
      </c>
      <c r="L53" s="8">
        <f>VLOOKUP(B53,'75 - Summary Exhibit'!A:N,10,FALSE)</f>
        <v>1325</v>
      </c>
      <c r="M53" s="8">
        <f>VLOOKUP(B53,'75 - Summary Exhibit'!A:N,11,FALSE)</f>
        <v>359</v>
      </c>
      <c r="N53" s="8">
        <f>VLOOKUP(B53,'75 - Summary Exhibit'!A:N,12,FALSE)</f>
        <v>10795</v>
      </c>
      <c r="O53" s="8">
        <f>VLOOKUP(B53,'75 - Summary Exhibit'!A:N,13,FALSE)</f>
        <v>1499</v>
      </c>
      <c r="P53" s="8">
        <f t="shared" si="14"/>
        <v>12294</v>
      </c>
      <c r="Q53" s="8">
        <f>VLOOKUP(B53,'75- Deferred Amortization'!A:H,3,FALSE)</f>
        <v>5282</v>
      </c>
      <c r="R53" s="8">
        <f>VLOOKUP(B53,'75- Deferred Amortization'!A:H,4,FALSE)</f>
        <v>3088</v>
      </c>
      <c r="S53" s="8">
        <f>VLOOKUP(B53,'75- Deferred Amortization'!A:H,5,FALSE)</f>
        <v>4433</v>
      </c>
      <c r="T53" s="8">
        <f>VLOOKUP(B53,'75- Deferred Amortization'!A:H,6,FALSE)</f>
        <v>2170</v>
      </c>
      <c r="U53" s="8">
        <f>VLOOKUP(B53,'75- Deferred Amortization'!A:H,7,FALSE)</f>
        <v>942</v>
      </c>
      <c r="V53" s="8">
        <f>VLOOKUP(B53,'75- Deferred Amortization'!A:H,8,FALSE)</f>
        <v>480</v>
      </c>
      <c r="X53">
        <v>2</v>
      </c>
      <c r="Y53" s="8">
        <f t="shared" si="15"/>
        <v>-18</v>
      </c>
      <c r="Z53" s="8">
        <f t="shared" si="16"/>
        <v>-3</v>
      </c>
      <c r="AB53" s="8">
        <f t="shared" si="12"/>
        <v>514</v>
      </c>
      <c r="AC53" s="8">
        <v>7247</v>
      </c>
      <c r="AD53" s="10">
        <v>8123</v>
      </c>
      <c r="AE53" s="10">
        <v>7665</v>
      </c>
      <c r="AF53" s="10">
        <v>466</v>
      </c>
      <c r="AG53" s="8">
        <v>6550</v>
      </c>
      <c r="AH53" s="8">
        <v>0</v>
      </c>
      <c r="AI53" s="8">
        <v>0</v>
      </c>
      <c r="AJ53" s="8">
        <v>1342</v>
      </c>
      <c r="AK53" s="8">
        <v>0</v>
      </c>
      <c r="AM53" s="8">
        <f t="shared" si="17"/>
        <v>-1679</v>
      </c>
      <c r="AN53" s="8">
        <f t="shared" si="18"/>
        <v>359</v>
      </c>
      <c r="AO53" s="10">
        <f t="shared" si="19"/>
        <v>-1322</v>
      </c>
      <c r="AP53" s="8">
        <f t="shared" si="20"/>
        <v>4299</v>
      </c>
      <c r="AQ53" s="10">
        <f t="shared" si="21"/>
        <v>100</v>
      </c>
      <c r="AR53" s="8">
        <f t="shared" si="22"/>
        <v>-17</v>
      </c>
      <c r="AS53" s="8">
        <f t="shared" si="23"/>
        <v>514</v>
      </c>
      <c r="AT53" s="10">
        <f t="shared" si="24"/>
        <v>2472</v>
      </c>
      <c r="AU53" s="8">
        <f t="shared" si="25"/>
        <v>0</v>
      </c>
      <c r="AV53" s="8">
        <f t="shared" si="13"/>
        <v>7761</v>
      </c>
    </row>
    <row r="54" spans="1:48">
      <c r="A54" t="s">
        <v>80</v>
      </c>
      <c r="B54">
        <v>34905</v>
      </c>
      <c r="C54" s="8">
        <f>VLOOKUP(B54,'ER Contributions'!A:D,4,FALSE)</f>
        <v>11726</v>
      </c>
      <c r="D54" s="9">
        <f>VLOOKUP(B54,'ER Contributions'!A:D,3,FALSE)</f>
        <v>5.6099999999999998E-4</v>
      </c>
      <c r="E54" s="8">
        <f>VLOOKUP(B54,'75 - Summary Exhibit'!A:N,3,FALSE)</f>
        <v>14920</v>
      </c>
      <c r="F54" s="10">
        <f>VLOOKUP(B54,'75 - Summary Exhibit'!A:N,4,FALSE)</f>
        <v>13076</v>
      </c>
      <c r="G54" s="10">
        <f>VLOOKUP(B54,'75 - Summary Exhibit'!A:N,5,FALSE)</f>
        <v>19488</v>
      </c>
      <c r="H54" s="10">
        <f>VLOOKUP(B54,'75 - Summary Exhibit'!A:N,6,FALSE)</f>
        <v>1087</v>
      </c>
      <c r="I54" s="8">
        <f>VLOOKUP(B54,'75 - Summary Exhibit'!A:N,7,FALSE)</f>
        <v>4405</v>
      </c>
      <c r="J54" s="8">
        <f>VLOOKUP(B54,'75 - Summary Exhibit'!A:N,8,FALSE)</f>
        <v>8264</v>
      </c>
      <c r="K54" s="8">
        <f>VLOOKUP(B54,'75 - Summary Exhibit'!A:N,9,FALSE)</f>
        <v>0</v>
      </c>
      <c r="L54" s="8">
        <f>VLOOKUP(B54,'75 - Summary Exhibit'!A:N,10,FALSE)</f>
        <v>2547</v>
      </c>
      <c r="M54" s="8">
        <f>VLOOKUP(B54,'75 - Summary Exhibit'!A:N,11,FALSE)</f>
        <v>0</v>
      </c>
      <c r="N54" s="8">
        <f>VLOOKUP(B54,'75 - Summary Exhibit'!A:N,12,FALSE)</f>
        <v>20754</v>
      </c>
      <c r="O54" s="8">
        <f>VLOOKUP(B54,'75 - Summary Exhibit'!A:N,13,FALSE)</f>
        <v>1366</v>
      </c>
      <c r="P54" s="8">
        <f t="shared" si="14"/>
        <v>22120</v>
      </c>
      <c r="Q54" s="8">
        <f>VLOOKUP(B54,'75- Deferred Amortization'!A:H,3,FALSE)</f>
        <v>8635</v>
      </c>
      <c r="R54" s="8">
        <f>VLOOKUP(B54,'75- Deferred Amortization'!A:H,4,FALSE)</f>
        <v>5467</v>
      </c>
      <c r="S54" s="8">
        <f>VLOOKUP(B54,'75- Deferred Amortization'!A:H,5,FALSE)</f>
        <v>7639</v>
      </c>
      <c r="T54" s="8">
        <f>VLOOKUP(B54,'75- Deferred Amortization'!A:H,6,FALSE)</f>
        <v>3289</v>
      </c>
      <c r="U54" s="8">
        <f>VLOOKUP(B54,'75- Deferred Amortization'!A:H,7,FALSE)</f>
        <v>1278</v>
      </c>
      <c r="V54" s="8">
        <f>VLOOKUP(B54,'75- Deferred Amortization'!A:H,8,FALSE)</f>
        <v>939</v>
      </c>
      <c r="X54">
        <v>2</v>
      </c>
      <c r="Y54" s="8">
        <f t="shared" si="15"/>
        <v>-32</v>
      </c>
      <c r="Z54" s="8">
        <f t="shared" si="16"/>
        <v>-2</v>
      </c>
      <c r="AB54" s="8">
        <f t="shared" si="12"/>
        <v>-1328</v>
      </c>
      <c r="AC54" s="8">
        <v>16248</v>
      </c>
      <c r="AD54" s="10">
        <v>18213</v>
      </c>
      <c r="AE54" s="10">
        <v>17186</v>
      </c>
      <c r="AF54" s="10">
        <v>1044</v>
      </c>
      <c r="AG54" s="8">
        <v>5566</v>
      </c>
      <c r="AH54" s="8">
        <v>0</v>
      </c>
      <c r="AI54" s="8">
        <v>0</v>
      </c>
      <c r="AJ54" s="8">
        <v>3010</v>
      </c>
      <c r="AK54" s="8">
        <v>0</v>
      </c>
      <c r="AM54" s="8">
        <f t="shared" si="17"/>
        <v>-1161</v>
      </c>
      <c r="AN54" s="8">
        <f t="shared" si="18"/>
        <v>0</v>
      </c>
      <c r="AO54" s="10">
        <f t="shared" si="19"/>
        <v>-5137</v>
      </c>
      <c r="AP54" s="8">
        <f t="shared" si="20"/>
        <v>8264</v>
      </c>
      <c r="AQ54" s="10">
        <f t="shared" si="21"/>
        <v>43</v>
      </c>
      <c r="AR54" s="8">
        <f t="shared" si="22"/>
        <v>-463</v>
      </c>
      <c r="AS54" s="8">
        <f t="shared" si="23"/>
        <v>-1328</v>
      </c>
      <c r="AT54" s="10">
        <f t="shared" si="24"/>
        <v>2302</v>
      </c>
      <c r="AU54" s="8">
        <f t="shared" si="25"/>
        <v>0</v>
      </c>
      <c r="AV54" s="8">
        <f t="shared" si="13"/>
        <v>14920</v>
      </c>
    </row>
    <row r="55" spans="1:48">
      <c r="A55" t="s">
        <v>89</v>
      </c>
      <c r="B55">
        <v>36205</v>
      </c>
      <c r="C55" s="8">
        <f>VLOOKUP(B55,'ER Contributions'!A:D,4,FALSE)</f>
        <v>4858</v>
      </c>
      <c r="D55" s="9">
        <f>VLOOKUP(B55,'ER Contributions'!A:D,3,FALSE)</f>
        <v>2.5119999999999998E-4</v>
      </c>
      <c r="E55" s="8">
        <f>VLOOKUP(B55,'75 - Summary Exhibit'!A:N,3,FALSE)</f>
        <v>6681</v>
      </c>
      <c r="F55" s="10">
        <f>VLOOKUP(B55,'75 - Summary Exhibit'!A:N,4,FALSE)</f>
        <v>5855</v>
      </c>
      <c r="G55" s="10">
        <f>VLOOKUP(B55,'75 - Summary Exhibit'!A:N,5,FALSE)</f>
        <v>8726</v>
      </c>
      <c r="H55" s="10">
        <f>VLOOKUP(B55,'75 - Summary Exhibit'!A:N,6,FALSE)</f>
        <v>487</v>
      </c>
      <c r="I55" s="8">
        <f>VLOOKUP(B55,'75 - Summary Exhibit'!A:N,7,FALSE)</f>
        <v>345</v>
      </c>
      <c r="J55" s="8">
        <f>VLOOKUP(B55,'75 - Summary Exhibit'!A:N,8,FALSE)</f>
        <v>3700</v>
      </c>
      <c r="K55" s="8">
        <f>VLOOKUP(B55,'75 - Summary Exhibit'!A:N,9,FALSE)</f>
        <v>0</v>
      </c>
      <c r="L55" s="8">
        <f>VLOOKUP(B55,'75 - Summary Exhibit'!A:N,10,FALSE)</f>
        <v>1140</v>
      </c>
      <c r="M55" s="8">
        <f>VLOOKUP(B55,'75 - Summary Exhibit'!A:N,11,FALSE)</f>
        <v>1122</v>
      </c>
      <c r="N55" s="8">
        <f>VLOOKUP(B55,'75 - Summary Exhibit'!A:N,12,FALSE)</f>
        <v>9293</v>
      </c>
      <c r="O55" s="8">
        <f>VLOOKUP(B55,'75 - Summary Exhibit'!A:N,13,FALSE)</f>
        <v>-236</v>
      </c>
      <c r="P55" s="8">
        <f t="shared" si="14"/>
        <v>9057</v>
      </c>
      <c r="Q55" s="8">
        <f>VLOOKUP(B55,'75- Deferred Amortization'!A:H,3,FALSE)</f>
        <v>3023</v>
      </c>
      <c r="R55" s="8">
        <f>VLOOKUP(B55,'75- Deferred Amortization'!A:H,4,FALSE)</f>
        <v>1890</v>
      </c>
      <c r="S55" s="8">
        <f>VLOOKUP(B55,'75- Deferred Amortization'!A:H,5,FALSE)</f>
        <v>2818</v>
      </c>
      <c r="T55" s="8">
        <f>VLOOKUP(B55,'75- Deferred Amortization'!A:H,6,FALSE)</f>
        <v>869</v>
      </c>
      <c r="U55" s="8">
        <f>VLOOKUP(B55,'75- Deferred Amortization'!A:H,7,FALSE)</f>
        <v>457</v>
      </c>
      <c r="V55" s="8">
        <f>VLOOKUP(B55,'75- Deferred Amortization'!A:H,8,FALSE)</f>
        <v>393</v>
      </c>
      <c r="X55">
        <v>2</v>
      </c>
      <c r="Y55" s="8">
        <f t="shared" si="15"/>
        <v>-15</v>
      </c>
      <c r="Z55" s="8">
        <f t="shared" si="16"/>
        <v>1</v>
      </c>
      <c r="AB55" s="8">
        <f t="shared" si="12"/>
        <v>-1092</v>
      </c>
      <c r="AC55" s="8">
        <v>7773</v>
      </c>
      <c r="AD55" s="10">
        <v>8713</v>
      </c>
      <c r="AE55" s="10">
        <v>8222</v>
      </c>
      <c r="AF55" s="10">
        <v>500</v>
      </c>
      <c r="AG55" s="8">
        <v>227</v>
      </c>
      <c r="AH55" s="8">
        <v>0</v>
      </c>
      <c r="AI55" s="8">
        <v>0</v>
      </c>
      <c r="AJ55" s="8">
        <v>1440</v>
      </c>
      <c r="AK55" s="8">
        <v>1465</v>
      </c>
      <c r="AM55" s="8">
        <f t="shared" si="17"/>
        <v>118</v>
      </c>
      <c r="AN55" s="8">
        <f t="shared" si="18"/>
        <v>-343</v>
      </c>
      <c r="AO55" s="10">
        <f t="shared" si="19"/>
        <v>-2858</v>
      </c>
      <c r="AP55" s="8">
        <f t="shared" si="20"/>
        <v>3700</v>
      </c>
      <c r="AQ55" s="10">
        <f t="shared" si="21"/>
        <v>-13</v>
      </c>
      <c r="AR55" s="8">
        <f t="shared" si="22"/>
        <v>-300</v>
      </c>
      <c r="AS55" s="8">
        <f t="shared" si="23"/>
        <v>-1092</v>
      </c>
      <c r="AT55" s="10">
        <f t="shared" si="24"/>
        <v>504</v>
      </c>
      <c r="AU55" s="8">
        <f t="shared" si="25"/>
        <v>0</v>
      </c>
      <c r="AV55" s="8">
        <f t="shared" si="13"/>
        <v>6681</v>
      </c>
    </row>
    <row r="56" spans="1:48">
      <c r="A56" t="s">
        <v>91</v>
      </c>
      <c r="B56">
        <v>36405</v>
      </c>
      <c r="C56" s="8">
        <f>VLOOKUP(B56,'ER Contributions'!A:D,4,FALSE)</f>
        <v>12835</v>
      </c>
      <c r="D56" s="9">
        <f>VLOOKUP(B56,'ER Contributions'!A:D,3,FALSE)</f>
        <v>6.2560000000000003E-4</v>
      </c>
      <c r="E56" s="8">
        <f>VLOOKUP(B56,'75 - Summary Exhibit'!A:N,3,FALSE)</f>
        <v>16638</v>
      </c>
      <c r="F56" s="10">
        <f>VLOOKUP(B56,'75 - Summary Exhibit'!A:N,4,FALSE)</f>
        <v>14581</v>
      </c>
      <c r="G56" s="10">
        <f>VLOOKUP(B56,'75 - Summary Exhibit'!A:N,5,FALSE)</f>
        <v>21732</v>
      </c>
      <c r="H56" s="10">
        <f>VLOOKUP(B56,'75 - Summary Exhibit'!A:N,6,FALSE)</f>
        <v>1212</v>
      </c>
      <c r="I56" s="8">
        <f>VLOOKUP(B56,'75 - Summary Exhibit'!A:N,7,FALSE)</f>
        <v>8598</v>
      </c>
      <c r="J56" s="8">
        <f>VLOOKUP(B56,'75 - Summary Exhibit'!A:N,8,FALSE)</f>
        <v>9216</v>
      </c>
      <c r="K56" s="8">
        <f>VLOOKUP(B56,'75 - Summary Exhibit'!A:N,9,FALSE)</f>
        <v>0</v>
      </c>
      <c r="L56" s="8">
        <f>VLOOKUP(B56,'75 - Summary Exhibit'!A:N,10,FALSE)</f>
        <v>2840</v>
      </c>
      <c r="M56" s="8">
        <f>VLOOKUP(B56,'75 - Summary Exhibit'!A:N,11,FALSE)</f>
        <v>0</v>
      </c>
      <c r="N56" s="8">
        <f>VLOOKUP(B56,'75 - Summary Exhibit'!A:N,12,FALSE)</f>
        <v>23144</v>
      </c>
      <c r="O56" s="8">
        <f>VLOOKUP(B56,'75 - Summary Exhibit'!A:N,13,FALSE)</f>
        <v>2856</v>
      </c>
      <c r="P56" s="8">
        <f t="shared" si="14"/>
        <v>26000</v>
      </c>
      <c r="Q56" s="8">
        <f>VLOOKUP(B56,'75- Deferred Amortization'!A:H,3,FALSE)</f>
        <v>10962</v>
      </c>
      <c r="R56" s="8">
        <f>VLOOKUP(B56,'75- Deferred Amortization'!A:H,4,FALSE)</f>
        <v>7016</v>
      </c>
      <c r="S56" s="8">
        <f>VLOOKUP(B56,'75- Deferred Amortization'!A:H,5,FALSE)</f>
        <v>8935</v>
      </c>
      <c r="T56" s="8">
        <f>VLOOKUP(B56,'75- Deferred Amortization'!A:H,6,FALSE)</f>
        <v>4088</v>
      </c>
      <c r="U56" s="8">
        <f>VLOOKUP(B56,'75- Deferred Amortization'!A:H,7,FALSE)</f>
        <v>1795</v>
      </c>
      <c r="V56" s="8">
        <f>VLOOKUP(B56,'75- Deferred Amortization'!A:H,8,FALSE)</f>
        <v>1272</v>
      </c>
      <c r="X56">
        <v>2</v>
      </c>
      <c r="Y56" s="8">
        <f t="shared" si="15"/>
        <v>-39</v>
      </c>
      <c r="Z56" s="8">
        <f t="shared" si="16"/>
        <v>-1</v>
      </c>
      <c r="AB56" s="8">
        <f t="shared" si="12"/>
        <v>-3144</v>
      </c>
      <c r="AC56" s="8">
        <v>19782</v>
      </c>
      <c r="AD56" s="10">
        <v>22174</v>
      </c>
      <c r="AE56" s="10">
        <v>20924</v>
      </c>
      <c r="AF56" s="10">
        <v>1271</v>
      </c>
      <c r="AG56" s="8">
        <v>9711</v>
      </c>
      <c r="AH56" s="8">
        <v>0</v>
      </c>
      <c r="AI56" s="8">
        <v>0</v>
      </c>
      <c r="AJ56" s="8">
        <v>3665</v>
      </c>
      <c r="AK56" s="8">
        <v>0</v>
      </c>
      <c r="AM56" s="8">
        <f t="shared" si="17"/>
        <v>-1113</v>
      </c>
      <c r="AN56" s="8">
        <f t="shared" si="18"/>
        <v>0</v>
      </c>
      <c r="AO56" s="10">
        <f t="shared" si="19"/>
        <v>-7593</v>
      </c>
      <c r="AP56" s="8">
        <f t="shared" si="20"/>
        <v>9216</v>
      </c>
      <c r="AQ56" s="10">
        <f t="shared" si="21"/>
        <v>-59</v>
      </c>
      <c r="AR56" s="8">
        <f t="shared" si="22"/>
        <v>-825</v>
      </c>
      <c r="AS56" s="8">
        <f t="shared" si="23"/>
        <v>-3144</v>
      </c>
      <c r="AT56" s="10">
        <f t="shared" si="24"/>
        <v>808</v>
      </c>
      <c r="AU56" s="8">
        <f t="shared" si="25"/>
        <v>0</v>
      </c>
      <c r="AV56" s="8">
        <f t="shared" si="13"/>
        <v>16638</v>
      </c>
    </row>
    <row r="57" spans="1:48">
      <c r="A57" t="s">
        <v>94</v>
      </c>
      <c r="B57">
        <v>36905</v>
      </c>
      <c r="C57" s="8">
        <f>VLOOKUP(B57,'ER Contributions'!A:D,4,FALSE)</f>
        <v>3825</v>
      </c>
      <c r="D57" s="9">
        <f>VLOOKUP(B57,'ER Contributions'!A:D,3,FALSE)</f>
        <v>1.705E-4</v>
      </c>
      <c r="E57" s="8">
        <f>VLOOKUP(B57,'75 - Summary Exhibit'!A:N,3,FALSE)</f>
        <v>4535</v>
      </c>
      <c r="F57" s="10">
        <f>VLOOKUP(B57,'75 - Summary Exhibit'!A:N,4,FALSE)</f>
        <v>3974</v>
      </c>
      <c r="G57" s="10">
        <f>VLOOKUP(B57,'75 - Summary Exhibit'!A:N,5,FALSE)</f>
        <v>5923</v>
      </c>
      <c r="H57" s="10">
        <f>VLOOKUP(B57,'75 - Summary Exhibit'!A:N,6,FALSE)</f>
        <v>330</v>
      </c>
      <c r="I57" s="8">
        <f>VLOOKUP(B57,'75 - Summary Exhibit'!A:N,7,FALSE)</f>
        <v>1840</v>
      </c>
      <c r="J57" s="8">
        <f>VLOOKUP(B57,'75 - Summary Exhibit'!A:N,8,FALSE)</f>
        <v>2512</v>
      </c>
      <c r="K57" s="8">
        <f>VLOOKUP(B57,'75 - Summary Exhibit'!A:N,9,FALSE)</f>
        <v>0</v>
      </c>
      <c r="L57" s="8">
        <f>VLOOKUP(B57,'75 - Summary Exhibit'!A:N,10,FALSE)</f>
        <v>774</v>
      </c>
      <c r="M57" s="8">
        <f>VLOOKUP(B57,'75 - Summary Exhibit'!A:N,11,FALSE)</f>
        <v>82</v>
      </c>
      <c r="N57" s="8">
        <f>VLOOKUP(B57,'75 - Summary Exhibit'!A:N,12,FALSE)</f>
        <v>6308</v>
      </c>
      <c r="O57" s="8">
        <f>VLOOKUP(B57,'75 - Summary Exhibit'!A:N,13,FALSE)</f>
        <v>532</v>
      </c>
      <c r="P57" s="8">
        <f t="shared" si="14"/>
        <v>6840</v>
      </c>
      <c r="Q57" s="8">
        <f>VLOOKUP(B57,'75- Deferred Amortization'!A:H,3,FALSE)</f>
        <v>2740</v>
      </c>
      <c r="R57" s="8">
        <f>VLOOKUP(B57,'75- Deferred Amortization'!A:H,4,FALSE)</f>
        <v>1918</v>
      </c>
      <c r="S57" s="8">
        <f>VLOOKUP(B57,'75- Deferred Amortization'!A:H,5,FALSE)</f>
        <v>2347</v>
      </c>
      <c r="T57" s="8">
        <f>VLOOKUP(B57,'75- Deferred Amortization'!A:H,6,FALSE)</f>
        <v>1024</v>
      </c>
      <c r="U57" s="8">
        <f>VLOOKUP(B57,'75- Deferred Amortization'!A:H,7,FALSE)</f>
        <v>402</v>
      </c>
      <c r="V57" s="8">
        <f>VLOOKUP(B57,'75- Deferred Amortization'!A:H,8,FALSE)</f>
        <v>266</v>
      </c>
      <c r="X57">
        <v>2</v>
      </c>
      <c r="Y57" s="8">
        <f t="shared" si="15"/>
        <v>-11</v>
      </c>
      <c r="Z57" s="8">
        <f t="shared" si="16"/>
        <v>2</v>
      </c>
      <c r="AB57" s="8">
        <f t="shared" si="12"/>
        <v>-814</v>
      </c>
      <c r="AC57" s="8">
        <v>5349</v>
      </c>
      <c r="AD57" s="10">
        <v>5995</v>
      </c>
      <c r="AE57" s="10">
        <v>5657</v>
      </c>
      <c r="AF57" s="10">
        <v>344</v>
      </c>
      <c r="AG57" s="8">
        <v>1648</v>
      </c>
      <c r="AH57" s="8">
        <v>0</v>
      </c>
      <c r="AI57" s="8">
        <v>0</v>
      </c>
      <c r="AJ57" s="8">
        <v>991</v>
      </c>
      <c r="AK57" s="8">
        <v>114</v>
      </c>
      <c r="AM57" s="8">
        <f t="shared" si="17"/>
        <v>192</v>
      </c>
      <c r="AN57" s="8">
        <f t="shared" si="18"/>
        <v>-32</v>
      </c>
      <c r="AO57" s="10">
        <f t="shared" si="19"/>
        <v>-2021</v>
      </c>
      <c r="AP57" s="8">
        <f t="shared" si="20"/>
        <v>2512</v>
      </c>
      <c r="AQ57" s="10">
        <f t="shared" si="21"/>
        <v>-14</v>
      </c>
      <c r="AR57" s="8">
        <f t="shared" si="22"/>
        <v>-217</v>
      </c>
      <c r="AS57" s="8">
        <f t="shared" si="23"/>
        <v>-814</v>
      </c>
      <c r="AT57" s="10">
        <f t="shared" si="24"/>
        <v>266</v>
      </c>
      <c r="AU57" s="8">
        <f t="shared" si="25"/>
        <v>0</v>
      </c>
      <c r="AV57" s="8">
        <f t="shared" si="13"/>
        <v>4535</v>
      </c>
    </row>
    <row r="58" spans="1:48">
      <c r="A58" t="s">
        <v>96</v>
      </c>
      <c r="B58">
        <v>37305</v>
      </c>
      <c r="C58" s="8">
        <f>VLOOKUP(B58,'ER Contributions'!A:D,4,FALSE)</f>
        <v>8375</v>
      </c>
      <c r="D58" s="9">
        <f>VLOOKUP(B58,'ER Contributions'!A:D,3,FALSE)</f>
        <v>3.904E-4</v>
      </c>
      <c r="E58" s="8">
        <f>VLOOKUP(B58,'75 - Summary Exhibit'!A:N,3,FALSE)</f>
        <v>10383</v>
      </c>
      <c r="F58" s="10">
        <f>VLOOKUP(B58,'75 - Summary Exhibit'!A:N,4,FALSE)</f>
        <v>9099</v>
      </c>
      <c r="G58" s="10">
        <f>VLOOKUP(B58,'75 - Summary Exhibit'!A:N,5,FALSE)</f>
        <v>13562</v>
      </c>
      <c r="H58" s="10">
        <f>VLOOKUP(B58,'75 - Summary Exhibit'!A:N,6,FALSE)</f>
        <v>757</v>
      </c>
      <c r="I58" s="8">
        <f>VLOOKUP(B58,'75 - Summary Exhibit'!A:N,7,FALSE)</f>
        <v>5327</v>
      </c>
      <c r="J58" s="8">
        <f>VLOOKUP(B58,'75 - Summary Exhibit'!A:N,8,FALSE)</f>
        <v>5751</v>
      </c>
      <c r="K58" s="8">
        <f>VLOOKUP(B58,'75 - Summary Exhibit'!A:N,9,FALSE)</f>
        <v>0</v>
      </c>
      <c r="L58" s="8">
        <f>VLOOKUP(B58,'75 - Summary Exhibit'!A:N,10,FALSE)</f>
        <v>1772</v>
      </c>
      <c r="M58" s="8">
        <f>VLOOKUP(B58,'75 - Summary Exhibit'!A:N,11,FALSE)</f>
        <v>0</v>
      </c>
      <c r="N58" s="8">
        <f>VLOOKUP(B58,'75 - Summary Exhibit'!A:N,12,FALSE)</f>
        <v>14443</v>
      </c>
      <c r="O58" s="8">
        <f>VLOOKUP(B58,'75 - Summary Exhibit'!A:N,13,FALSE)</f>
        <v>1814</v>
      </c>
      <c r="P58" s="8">
        <f t="shared" si="14"/>
        <v>16257</v>
      </c>
      <c r="Q58" s="8">
        <f>VLOOKUP(B58,'75- Deferred Amortization'!A:H,3,FALSE)</f>
        <v>6875</v>
      </c>
      <c r="R58" s="8">
        <f>VLOOKUP(B58,'75- Deferred Amortization'!A:H,4,FALSE)</f>
        <v>4131</v>
      </c>
      <c r="S58" s="8">
        <f>VLOOKUP(B58,'75- Deferred Amortization'!A:H,5,FALSE)</f>
        <v>5557</v>
      </c>
      <c r="T58" s="8">
        <f>VLOOKUP(B58,'75- Deferred Amortization'!A:H,6,FALSE)</f>
        <v>2536</v>
      </c>
      <c r="U58" s="8">
        <f>VLOOKUP(B58,'75- Deferred Amortization'!A:H,7,FALSE)</f>
        <v>1513</v>
      </c>
      <c r="V58" s="8">
        <f>VLOOKUP(B58,'75- Deferred Amortization'!A:H,8,FALSE)</f>
        <v>612</v>
      </c>
      <c r="X58">
        <v>2</v>
      </c>
      <c r="Y58" s="8">
        <f t="shared" si="15"/>
        <v>-22</v>
      </c>
      <c r="Z58" s="8">
        <f t="shared" si="16"/>
        <v>-2</v>
      </c>
      <c r="AB58" s="8">
        <f t="shared" si="12"/>
        <v>-966</v>
      </c>
      <c r="AC58" s="8">
        <v>11349</v>
      </c>
      <c r="AD58" s="10">
        <v>12721</v>
      </c>
      <c r="AE58" s="10">
        <v>12004</v>
      </c>
      <c r="AF58" s="10">
        <v>729</v>
      </c>
      <c r="AG58" s="8">
        <v>6740</v>
      </c>
      <c r="AH58" s="8">
        <v>0</v>
      </c>
      <c r="AI58" s="8">
        <v>0</v>
      </c>
      <c r="AJ58" s="8">
        <v>2102</v>
      </c>
      <c r="AK58" s="8">
        <v>0</v>
      </c>
      <c r="AM58" s="8">
        <f t="shared" si="17"/>
        <v>-1413</v>
      </c>
      <c r="AN58" s="8">
        <f t="shared" si="18"/>
        <v>0</v>
      </c>
      <c r="AO58" s="10">
        <f t="shared" si="19"/>
        <v>-3622</v>
      </c>
      <c r="AP58" s="8">
        <f t="shared" si="20"/>
        <v>5751</v>
      </c>
      <c r="AQ58" s="10">
        <f t="shared" si="21"/>
        <v>28</v>
      </c>
      <c r="AR58" s="8">
        <f t="shared" si="22"/>
        <v>-330</v>
      </c>
      <c r="AS58" s="8">
        <f t="shared" si="23"/>
        <v>-966</v>
      </c>
      <c r="AT58" s="10">
        <f t="shared" si="24"/>
        <v>1558</v>
      </c>
      <c r="AU58" s="8">
        <f t="shared" si="25"/>
        <v>0</v>
      </c>
      <c r="AV58" s="8">
        <f t="shared" si="13"/>
        <v>10383</v>
      </c>
    </row>
    <row r="59" spans="1:48">
      <c r="A59" t="s">
        <v>97</v>
      </c>
      <c r="B59">
        <v>37405</v>
      </c>
      <c r="C59" s="8">
        <f>VLOOKUP(B59,'ER Contributions'!A:D,4,FALSE)</f>
        <v>31815</v>
      </c>
      <c r="D59" s="9">
        <f>VLOOKUP(B59,'ER Contributions'!A:D,3,FALSE)</f>
        <v>1.4945E-3</v>
      </c>
      <c r="E59" s="8">
        <f>VLOOKUP(B59,'75 - Summary Exhibit'!A:N,3,FALSE)</f>
        <v>39748</v>
      </c>
      <c r="F59" s="10">
        <f>VLOOKUP(B59,'75 - Summary Exhibit'!A:N,4,FALSE)</f>
        <v>34834</v>
      </c>
      <c r="G59" s="10">
        <f>VLOOKUP(B59,'75 - Summary Exhibit'!A:N,5,FALSE)</f>
        <v>51916</v>
      </c>
      <c r="H59" s="10">
        <f>VLOOKUP(B59,'75 - Summary Exhibit'!A:N,6,FALSE)</f>
        <v>2896</v>
      </c>
      <c r="I59" s="8">
        <f>VLOOKUP(B59,'75 - Summary Exhibit'!A:N,7,FALSE)</f>
        <v>17430</v>
      </c>
      <c r="J59" s="8">
        <f>VLOOKUP(B59,'75 - Summary Exhibit'!A:N,8,FALSE)</f>
        <v>22015</v>
      </c>
      <c r="K59" s="8">
        <f>VLOOKUP(B59,'75 - Summary Exhibit'!A:N,9,FALSE)</f>
        <v>0</v>
      </c>
      <c r="L59" s="8">
        <f>VLOOKUP(B59,'75 - Summary Exhibit'!A:N,10,FALSE)</f>
        <v>6785</v>
      </c>
      <c r="M59" s="8">
        <f>VLOOKUP(B59,'75 - Summary Exhibit'!A:N,11,FALSE)</f>
        <v>266</v>
      </c>
      <c r="N59" s="8">
        <f>VLOOKUP(B59,'75 - Summary Exhibit'!A:N,12,FALSE)</f>
        <v>55289</v>
      </c>
      <c r="O59" s="8">
        <f>VLOOKUP(B59,'75 - Summary Exhibit'!A:N,13,FALSE)</f>
        <v>5300</v>
      </c>
      <c r="P59" s="8">
        <f t="shared" si="14"/>
        <v>60589</v>
      </c>
      <c r="Q59" s="8">
        <f>VLOOKUP(B59,'75- Deferred Amortization'!A:H,3,FALSE)</f>
        <v>24665</v>
      </c>
      <c r="R59" s="8">
        <f>VLOOKUP(B59,'75- Deferred Amortization'!A:H,4,FALSE)</f>
        <v>16398</v>
      </c>
      <c r="S59" s="8">
        <f>VLOOKUP(B59,'75- Deferred Amortization'!A:H,5,FALSE)</f>
        <v>21251</v>
      </c>
      <c r="T59" s="8">
        <f>VLOOKUP(B59,'75- Deferred Amortization'!A:H,6,FALSE)</f>
        <v>9676</v>
      </c>
      <c r="U59" s="8">
        <f>VLOOKUP(B59,'75- Deferred Amortization'!A:H,7,FALSE)</f>
        <v>3934</v>
      </c>
      <c r="V59" s="8">
        <f>VLOOKUP(B59,'75- Deferred Amortization'!A:H,8,FALSE)</f>
        <v>2085</v>
      </c>
      <c r="X59">
        <v>2</v>
      </c>
      <c r="Y59" s="8">
        <f t="shared" si="15"/>
        <v>-90</v>
      </c>
      <c r="Z59" s="8">
        <f t="shared" si="16"/>
        <v>1</v>
      </c>
      <c r="AB59" s="8">
        <f t="shared" si="12"/>
        <v>-5647</v>
      </c>
      <c r="AC59" s="8">
        <v>45395</v>
      </c>
      <c r="AD59" s="10">
        <v>50884</v>
      </c>
      <c r="AE59" s="10">
        <v>48014</v>
      </c>
      <c r="AF59" s="10">
        <v>2918</v>
      </c>
      <c r="AG59" s="8">
        <v>19426</v>
      </c>
      <c r="AH59" s="8">
        <v>0</v>
      </c>
      <c r="AI59" s="8">
        <v>0</v>
      </c>
      <c r="AJ59" s="8">
        <v>8410</v>
      </c>
      <c r="AK59" s="8">
        <v>311</v>
      </c>
      <c r="AM59" s="8">
        <f t="shared" si="17"/>
        <v>-1996</v>
      </c>
      <c r="AN59" s="8">
        <f t="shared" si="18"/>
        <v>-45</v>
      </c>
      <c r="AO59" s="10">
        <f t="shared" si="19"/>
        <v>-16050</v>
      </c>
      <c r="AP59" s="8">
        <f t="shared" si="20"/>
        <v>22015</v>
      </c>
      <c r="AQ59" s="10">
        <f t="shared" si="21"/>
        <v>-22</v>
      </c>
      <c r="AR59" s="8">
        <f t="shared" si="22"/>
        <v>-1625</v>
      </c>
      <c r="AS59" s="8">
        <f t="shared" si="23"/>
        <v>-5647</v>
      </c>
      <c r="AT59" s="10">
        <f t="shared" si="24"/>
        <v>3902</v>
      </c>
      <c r="AU59" s="8">
        <f t="shared" si="25"/>
        <v>0</v>
      </c>
      <c r="AV59" s="8">
        <f t="shared" si="13"/>
        <v>39748</v>
      </c>
    </row>
    <row r="60" spans="1:48">
      <c r="A60" t="s">
        <v>98</v>
      </c>
      <c r="B60">
        <v>37605</v>
      </c>
      <c r="C60" s="8">
        <f>VLOOKUP(B60,'ER Contributions'!A:D,4,FALSE)</f>
        <v>12036</v>
      </c>
      <c r="D60" s="9">
        <f>VLOOKUP(B60,'ER Contributions'!A:D,3,FALSE)</f>
        <v>5.8379999999999999E-4</v>
      </c>
      <c r="E60" s="8">
        <f>VLOOKUP(B60,'75 - Summary Exhibit'!A:N,3,FALSE)</f>
        <v>15527</v>
      </c>
      <c r="F60" s="10">
        <f>VLOOKUP(B60,'75 - Summary Exhibit'!A:N,4,FALSE)</f>
        <v>13607</v>
      </c>
      <c r="G60" s="10">
        <f>VLOOKUP(B60,'75 - Summary Exhibit'!A:N,5,FALSE)</f>
        <v>20280</v>
      </c>
      <c r="H60" s="10">
        <f>VLOOKUP(B60,'75 - Summary Exhibit'!A:N,6,FALSE)</f>
        <v>1131</v>
      </c>
      <c r="I60" s="8">
        <f>VLOOKUP(B60,'75 - Summary Exhibit'!A:N,7,FALSE)</f>
        <v>4865</v>
      </c>
      <c r="J60" s="8">
        <f>VLOOKUP(B60,'75 - Summary Exhibit'!A:N,8,FALSE)</f>
        <v>8600</v>
      </c>
      <c r="K60" s="8">
        <f>VLOOKUP(B60,'75 - Summary Exhibit'!A:N,9,FALSE)</f>
        <v>0</v>
      </c>
      <c r="L60" s="8">
        <f>VLOOKUP(B60,'75 - Summary Exhibit'!A:N,10,FALSE)</f>
        <v>2650</v>
      </c>
      <c r="M60" s="8">
        <f>VLOOKUP(B60,'75 - Summary Exhibit'!A:N,11,FALSE)</f>
        <v>0</v>
      </c>
      <c r="N60" s="8">
        <f>VLOOKUP(B60,'75 - Summary Exhibit'!A:N,12,FALSE)</f>
        <v>21598</v>
      </c>
      <c r="O60" s="8">
        <f>VLOOKUP(B60,'75 - Summary Exhibit'!A:N,13,FALSE)</f>
        <v>1390</v>
      </c>
      <c r="P60" s="8">
        <f t="shared" si="14"/>
        <v>22988</v>
      </c>
      <c r="Q60" s="8">
        <f>VLOOKUP(B60,'75- Deferred Amortization'!A:H,3,FALSE)</f>
        <v>8956</v>
      </c>
      <c r="R60" s="8">
        <f>VLOOKUP(B60,'75- Deferred Amortization'!A:H,4,FALSE)</f>
        <v>5962</v>
      </c>
      <c r="S60" s="8">
        <f>VLOOKUP(B60,'75- Deferred Amortization'!A:H,5,FALSE)</f>
        <v>7982</v>
      </c>
      <c r="T60" s="8">
        <f>VLOOKUP(B60,'75- Deferred Amortization'!A:H,6,FALSE)</f>
        <v>3455</v>
      </c>
      <c r="U60" s="8">
        <f>VLOOKUP(B60,'75- Deferred Amortization'!A:H,7,FALSE)</f>
        <v>1347</v>
      </c>
      <c r="V60" s="8">
        <f>VLOOKUP(B60,'75- Deferred Amortization'!A:H,8,FALSE)</f>
        <v>932</v>
      </c>
      <c r="X60">
        <v>2</v>
      </c>
      <c r="Y60" s="8">
        <f t="shared" si="15"/>
        <v>-35</v>
      </c>
      <c r="Z60" s="8">
        <f t="shared" si="16"/>
        <v>-1</v>
      </c>
      <c r="AB60" s="8">
        <f t="shared" si="12"/>
        <v>-2224</v>
      </c>
      <c r="AC60" s="8">
        <v>17751</v>
      </c>
      <c r="AD60" s="10">
        <v>19897</v>
      </c>
      <c r="AE60" s="10">
        <v>18775</v>
      </c>
      <c r="AF60" s="10">
        <v>1141</v>
      </c>
      <c r="AG60" s="8">
        <v>5319</v>
      </c>
      <c r="AH60" s="8">
        <v>0</v>
      </c>
      <c r="AI60" s="8">
        <v>0</v>
      </c>
      <c r="AJ60" s="8">
        <v>3288</v>
      </c>
      <c r="AK60" s="8">
        <v>0</v>
      </c>
      <c r="AM60" s="8">
        <f t="shared" si="17"/>
        <v>-454</v>
      </c>
      <c r="AN60" s="8">
        <f t="shared" si="18"/>
        <v>0</v>
      </c>
      <c r="AO60" s="10">
        <f t="shared" si="19"/>
        <v>-6290</v>
      </c>
      <c r="AP60" s="8">
        <f t="shared" si="20"/>
        <v>8600</v>
      </c>
      <c r="AQ60" s="10">
        <f t="shared" si="21"/>
        <v>-10</v>
      </c>
      <c r="AR60" s="8">
        <f t="shared" si="22"/>
        <v>-638</v>
      </c>
      <c r="AS60" s="8">
        <f t="shared" si="23"/>
        <v>-2224</v>
      </c>
      <c r="AT60" s="10">
        <f t="shared" si="24"/>
        <v>1505</v>
      </c>
      <c r="AU60" s="8">
        <f t="shared" si="25"/>
        <v>0</v>
      </c>
      <c r="AV60" s="8">
        <f t="shared" si="13"/>
        <v>15527</v>
      </c>
    </row>
    <row r="61" spans="1:48">
      <c r="A61" t="s">
        <v>99</v>
      </c>
      <c r="B61">
        <v>37705</v>
      </c>
      <c r="C61" s="8">
        <f>VLOOKUP(B61,'ER Contributions'!A:D,4,FALSE)</f>
        <v>13171</v>
      </c>
      <c r="D61" s="9">
        <f>VLOOKUP(B61,'ER Contributions'!A:D,3,FALSE)</f>
        <v>6.3719999999999998E-4</v>
      </c>
      <c r="E61" s="8">
        <f>VLOOKUP(B61,'75 - Summary Exhibit'!A:N,3,FALSE)</f>
        <v>16947</v>
      </c>
      <c r="F61" s="10">
        <f>VLOOKUP(B61,'75 - Summary Exhibit'!A:N,4,FALSE)</f>
        <v>14852</v>
      </c>
      <c r="G61" s="10">
        <f>VLOOKUP(B61,'75 - Summary Exhibit'!A:N,5,FALSE)</f>
        <v>22135</v>
      </c>
      <c r="H61" s="10">
        <f>VLOOKUP(B61,'75 - Summary Exhibit'!A:N,6,FALSE)</f>
        <v>1235</v>
      </c>
      <c r="I61" s="8">
        <f>VLOOKUP(B61,'75 - Summary Exhibit'!A:N,7,FALSE)</f>
        <v>7213</v>
      </c>
      <c r="J61" s="8">
        <f>VLOOKUP(B61,'75 - Summary Exhibit'!A:N,8,FALSE)</f>
        <v>9387</v>
      </c>
      <c r="K61" s="8">
        <f>VLOOKUP(B61,'75 - Summary Exhibit'!A:N,9,FALSE)</f>
        <v>0</v>
      </c>
      <c r="L61" s="8">
        <f>VLOOKUP(B61,'75 - Summary Exhibit'!A:N,10,FALSE)</f>
        <v>2893</v>
      </c>
      <c r="M61" s="8">
        <f>VLOOKUP(B61,'75 - Summary Exhibit'!A:N,11,FALSE)</f>
        <v>502</v>
      </c>
      <c r="N61" s="8">
        <f>VLOOKUP(B61,'75 - Summary Exhibit'!A:N,12,FALSE)</f>
        <v>23573</v>
      </c>
      <c r="O61" s="8">
        <f>VLOOKUP(B61,'75 - Summary Exhibit'!A:N,13,FALSE)</f>
        <v>1319</v>
      </c>
      <c r="P61" s="8">
        <f t="shared" si="14"/>
        <v>24892</v>
      </c>
      <c r="Q61" s="8">
        <f>VLOOKUP(B61,'75- Deferred Amortization'!A:H,3,FALSE)</f>
        <v>9578</v>
      </c>
      <c r="R61" s="8">
        <f>VLOOKUP(B61,'75- Deferred Amortization'!A:H,4,FALSE)</f>
        <v>6646</v>
      </c>
      <c r="S61" s="8">
        <f>VLOOKUP(B61,'75- Deferred Amortization'!A:H,5,FALSE)</f>
        <v>9338</v>
      </c>
      <c r="T61" s="8">
        <f>VLOOKUP(B61,'75- Deferred Amortization'!A:H,6,FALSE)</f>
        <v>4407</v>
      </c>
      <c r="U61" s="8">
        <f>VLOOKUP(B61,'75- Deferred Amortization'!A:H,7,FALSE)</f>
        <v>1667</v>
      </c>
      <c r="V61" s="8">
        <f>VLOOKUP(B61,'75- Deferred Amortization'!A:H,8,FALSE)</f>
        <v>1015</v>
      </c>
      <c r="X61">
        <v>2</v>
      </c>
      <c r="Y61" s="8">
        <f t="shared" si="15"/>
        <v>-39</v>
      </c>
      <c r="Z61" s="8">
        <f t="shared" si="16"/>
        <v>2</v>
      </c>
      <c r="AB61" s="8">
        <f t="shared" si="12"/>
        <v>-1012</v>
      </c>
      <c r="AC61" s="8">
        <v>17959</v>
      </c>
      <c r="AD61" s="10">
        <v>20130</v>
      </c>
      <c r="AE61" s="10">
        <v>18995</v>
      </c>
      <c r="AF61" s="10">
        <v>1154</v>
      </c>
      <c r="AG61" s="8">
        <v>8889</v>
      </c>
      <c r="AH61" s="8">
        <v>0</v>
      </c>
      <c r="AI61" s="8">
        <v>0</v>
      </c>
      <c r="AJ61" s="8">
        <v>3327</v>
      </c>
      <c r="AK61" s="8">
        <v>416</v>
      </c>
      <c r="AM61" s="8">
        <f t="shared" si="17"/>
        <v>-1676</v>
      </c>
      <c r="AN61" s="8">
        <f t="shared" si="18"/>
        <v>86</v>
      </c>
      <c r="AO61" s="10">
        <f t="shared" si="19"/>
        <v>-5278</v>
      </c>
      <c r="AP61" s="8">
        <f t="shared" si="20"/>
        <v>9387</v>
      </c>
      <c r="AQ61" s="10">
        <f t="shared" si="21"/>
        <v>81</v>
      </c>
      <c r="AR61" s="8">
        <f t="shared" si="22"/>
        <v>-434</v>
      </c>
      <c r="AS61" s="8">
        <f t="shared" si="23"/>
        <v>-1012</v>
      </c>
      <c r="AT61" s="10">
        <f t="shared" si="24"/>
        <v>3140</v>
      </c>
      <c r="AU61" s="8">
        <f t="shared" si="25"/>
        <v>0</v>
      </c>
      <c r="AV61" s="8">
        <f t="shared" si="13"/>
        <v>16947</v>
      </c>
    </row>
    <row r="62" spans="1:48">
      <c r="A62" t="s">
        <v>79</v>
      </c>
      <c r="B62">
        <v>34605</v>
      </c>
      <c r="C62" s="8">
        <f>VLOOKUP(B62,'ER Contributions'!A:D,4,FALSE)</f>
        <v>3528</v>
      </c>
      <c r="D62" s="9">
        <f>VLOOKUP(B62,'ER Contributions'!A:D,3,FALSE)</f>
        <v>1.6789999999999999E-4</v>
      </c>
      <c r="E62" s="8">
        <f>VLOOKUP(B62,'75 - Summary Exhibit'!A:N,3,FALSE)</f>
        <v>4465</v>
      </c>
      <c r="F62" s="10">
        <f>VLOOKUP(B62,'75 - Summary Exhibit'!A:N,4,FALSE)</f>
        <v>3913</v>
      </c>
      <c r="G62" s="10">
        <f>VLOOKUP(B62,'75 - Summary Exhibit'!A:N,5,FALSE)</f>
        <v>5833</v>
      </c>
      <c r="H62" s="10">
        <f>VLOOKUP(B62,'75 - Summary Exhibit'!A:N,6,FALSE)</f>
        <v>325</v>
      </c>
      <c r="I62" s="8">
        <f>VLOOKUP(B62,'75 - Summary Exhibit'!A:N,7,FALSE)</f>
        <v>3869</v>
      </c>
      <c r="J62" s="8">
        <f>VLOOKUP(B62,'75 - Summary Exhibit'!A:N,8,FALSE)</f>
        <v>2473</v>
      </c>
      <c r="K62" s="8">
        <f>VLOOKUP(B62,'75 - Summary Exhibit'!A:N,9,FALSE)</f>
        <v>0</v>
      </c>
      <c r="L62" s="8">
        <f>VLOOKUP(B62,'75 - Summary Exhibit'!A:N,10,FALSE)</f>
        <v>762</v>
      </c>
      <c r="M62" s="8">
        <f>VLOOKUP(B62,'75 - Summary Exhibit'!A:N,11,FALSE)</f>
        <v>108</v>
      </c>
      <c r="N62" s="8">
        <f>VLOOKUP(B62,'75 - Summary Exhibit'!A:N,12,FALSE)</f>
        <v>6211</v>
      </c>
      <c r="O62" s="8">
        <f>VLOOKUP(B62,'75 - Summary Exhibit'!A:N,13,FALSE)</f>
        <v>995</v>
      </c>
      <c r="P62" s="8">
        <f t="shared" si="14"/>
        <v>7206</v>
      </c>
      <c r="Q62" s="8">
        <f>VLOOKUP(B62,'75- Deferred Amortization'!A:H,3,FALSE)</f>
        <v>3170</v>
      </c>
      <c r="R62" s="8">
        <f>VLOOKUP(B62,'75- Deferred Amortization'!A:H,4,FALSE)</f>
        <v>2060</v>
      </c>
      <c r="S62" s="8">
        <f>VLOOKUP(B62,'75- Deferred Amortization'!A:H,5,FALSE)</f>
        <v>2784</v>
      </c>
      <c r="T62" s="8">
        <f>VLOOKUP(B62,'75- Deferred Amortization'!A:H,6,FALSE)</f>
        <v>1481</v>
      </c>
      <c r="U62" s="8">
        <f>VLOOKUP(B62,'75- Deferred Amortization'!A:H,7,FALSE)</f>
        <v>764</v>
      </c>
      <c r="V62" s="8">
        <f>VLOOKUP(B62,'75- Deferred Amortization'!A:H,8,FALSE)</f>
        <v>337</v>
      </c>
      <c r="X62">
        <v>2</v>
      </c>
      <c r="Y62" s="8">
        <f t="shared" si="15"/>
        <v>-10</v>
      </c>
      <c r="Z62" s="8">
        <f t="shared" si="16"/>
        <v>1</v>
      </c>
      <c r="AB62" s="8">
        <f t="shared" si="12"/>
        <v>-176</v>
      </c>
      <c r="AC62" s="8">
        <v>4641</v>
      </c>
      <c r="AD62" s="10">
        <v>5202</v>
      </c>
      <c r="AE62" s="10">
        <v>4908</v>
      </c>
      <c r="AF62" s="10">
        <v>298</v>
      </c>
      <c r="AG62" s="8">
        <v>4916</v>
      </c>
      <c r="AH62" s="8">
        <v>0</v>
      </c>
      <c r="AI62" s="8">
        <v>0</v>
      </c>
      <c r="AJ62" s="8">
        <v>860</v>
      </c>
      <c r="AK62" s="8">
        <v>3</v>
      </c>
      <c r="AM62" s="8">
        <f t="shared" si="17"/>
        <v>-1047</v>
      </c>
      <c r="AN62" s="8">
        <f t="shared" si="18"/>
        <v>105</v>
      </c>
      <c r="AO62" s="10">
        <f t="shared" si="19"/>
        <v>-1289</v>
      </c>
      <c r="AP62" s="8">
        <f t="shared" si="20"/>
        <v>2473</v>
      </c>
      <c r="AQ62" s="10">
        <f t="shared" si="21"/>
        <v>27</v>
      </c>
      <c r="AR62" s="8">
        <f t="shared" si="22"/>
        <v>-98</v>
      </c>
      <c r="AS62" s="8">
        <f t="shared" si="23"/>
        <v>-176</v>
      </c>
      <c r="AT62" s="10">
        <f t="shared" si="24"/>
        <v>925</v>
      </c>
      <c r="AU62" s="8">
        <f t="shared" si="25"/>
        <v>0</v>
      </c>
      <c r="AV62" s="8">
        <f t="shared" si="13"/>
        <v>4465</v>
      </c>
    </row>
    <row r="63" spans="1:48">
      <c r="A63" t="s">
        <v>100</v>
      </c>
      <c r="B63">
        <v>37805</v>
      </c>
      <c r="C63" s="8">
        <f>VLOOKUP(B63,'ER Contributions'!A:D,4,FALSE)</f>
        <v>11396</v>
      </c>
      <c r="D63" s="9">
        <f>VLOOKUP(B63,'ER Contributions'!A:D,3,FALSE)</f>
        <v>5.4040000000000002E-4</v>
      </c>
      <c r="E63" s="8">
        <f>VLOOKUP(B63,'75 - Summary Exhibit'!A:N,3,FALSE)</f>
        <v>14372</v>
      </c>
      <c r="F63" s="10">
        <f>VLOOKUP(B63,'75 - Summary Exhibit'!A:N,4,FALSE)</f>
        <v>12596</v>
      </c>
      <c r="G63" s="10">
        <f>VLOOKUP(B63,'75 - Summary Exhibit'!A:N,5,FALSE)</f>
        <v>18772</v>
      </c>
      <c r="H63" s="10">
        <f>VLOOKUP(B63,'75 - Summary Exhibit'!A:N,6,FALSE)</f>
        <v>1047</v>
      </c>
      <c r="I63" s="8">
        <f>VLOOKUP(B63,'75 - Summary Exhibit'!A:N,7,FALSE)</f>
        <v>2819</v>
      </c>
      <c r="J63" s="8">
        <f>VLOOKUP(B63,'75 - Summary Exhibit'!A:N,8,FALSE)</f>
        <v>7961</v>
      </c>
      <c r="K63" s="8">
        <f>VLOOKUP(B63,'75 - Summary Exhibit'!A:N,9,FALSE)</f>
        <v>0</v>
      </c>
      <c r="L63" s="8">
        <f>VLOOKUP(B63,'75 - Summary Exhibit'!A:N,10,FALSE)</f>
        <v>2453</v>
      </c>
      <c r="M63" s="8">
        <f>VLOOKUP(B63,'75 - Summary Exhibit'!A:N,11,FALSE)</f>
        <v>809</v>
      </c>
      <c r="N63" s="8">
        <f>VLOOKUP(B63,'75 - Summary Exhibit'!A:N,12,FALSE)</f>
        <v>19992</v>
      </c>
      <c r="O63" s="8">
        <f>VLOOKUP(B63,'75 - Summary Exhibit'!A:N,13,FALSE)</f>
        <v>1024</v>
      </c>
      <c r="P63" s="8">
        <f t="shared" si="14"/>
        <v>21016</v>
      </c>
      <c r="Q63" s="8">
        <f>VLOOKUP(B63,'75- Deferred Amortization'!A:H,3,FALSE)</f>
        <v>8025</v>
      </c>
      <c r="R63" s="8">
        <f>VLOOKUP(B63,'75- Deferred Amortization'!A:H,4,FALSE)</f>
        <v>4867</v>
      </c>
      <c r="S63" s="8">
        <f>VLOOKUP(B63,'75- Deferred Amortization'!A:H,5,FALSE)</f>
        <v>6815</v>
      </c>
      <c r="T63" s="8">
        <f>VLOOKUP(B63,'75- Deferred Amortization'!A:H,6,FALSE)</f>
        <v>2624</v>
      </c>
      <c r="U63" s="8">
        <f>VLOOKUP(B63,'75- Deferred Amortization'!A:H,7,FALSE)</f>
        <v>993</v>
      </c>
      <c r="V63" s="8">
        <f>VLOOKUP(B63,'75- Deferred Amortization'!A:H,8,FALSE)</f>
        <v>687</v>
      </c>
      <c r="X63">
        <v>2</v>
      </c>
      <c r="Y63" s="8">
        <f t="shared" si="15"/>
        <v>-32</v>
      </c>
      <c r="Z63" s="8">
        <f t="shared" si="16"/>
        <v>0</v>
      </c>
      <c r="AB63" s="8">
        <f t="shared" si="12"/>
        <v>-1594</v>
      </c>
      <c r="AC63" s="8">
        <v>15966</v>
      </c>
      <c r="AD63" s="10">
        <v>17896</v>
      </c>
      <c r="AE63" s="10">
        <v>16887</v>
      </c>
      <c r="AF63" s="10">
        <v>1026</v>
      </c>
      <c r="AG63" s="8">
        <v>3375</v>
      </c>
      <c r="AH63" s="8">
        <v>0</v>
      </c>
      <c r="AI63" s="8">
        <v>0</v>
      </c>
      <c r="AJ63" s="8">
        <v>2958</v>
      </c>
      <c r="AK63" s="8">
        <v>969</v>
      </c>
      <c r="AM63" s="8">
        <f t="shared" si="17"/>
        <v>-556</v>
      </c>
      <c r="AN63" s="8">
        <f t="shared" si="18"/>
        <v>-160</v>
      </c>
      <c r="AO63" s="10">
        <f t="shared" si="19"/>
        <v>-5300</v>
      </c>
      <c r="AP63" s="8">
        <f t="shared" si="20"/>
        <v>7961</v>
      </c>
      <c r="AQ63" s="10">
        <f t="shared" si="21"/>
        <v>21</v>
      </c>
      <c r="AR63" s="8">
        <f t="shared" si="22"/>
        <v>-505</v>
      </c>
      <c r="AS63" s="8">
        <f t="shared" si="23"/>
        <v>-1594</v>
      </c>
      <c r="AT63" s="10">
        <f t="shared" si="24"/>
        <v>1885</v>
      </c>
      <c r="AU63" s="8">
        <f t="shared" si="25"/>
        <v>0</v>
      </c>
      <c r="AV63" s="8">
        <f t="shared" si="13"/>
        <v>14372</v>
      </c>
    </row>
    <row r="64" spans="1:48">
      <c r="A64" t="s">
        <v>101</v>
      </c>
      <c r="B64">
        <v>37905</v>
      </c>
      <c r="C64" s="8">
        <f>VLOOKUP(B64,'ER Contributions'!A:D,4,FALSE)</f>
        <v>8379</v>
      </c>
      <c r="D64" s="9">
        <f>VLOOKUP(B64,'ER Contributions'!A:D,3,FALSE)</f>
        <v>3.7849999999999998E-4</v>
      </c>
      <c r="E64" s="8">
        <f>VLOOKUP(B64,'75 - Summary Exhibit'!A:N,3,FALSE)</f>
        <v>10067</v>
      </c>
      <c r="F64" s="10">
        <f>VLOOKUP(B64,'75 - Summary Exhibit'!A:N,4,FALSE)</f>
        <v>8822</v>
      </c>
      <c r="G64" s="10">
        <f>VLOOKUP(B64,'75 - Summary Exhibit'!A:N,5,FALSE)</f>
        <v>13148</v>
      </c>
      <c r="H64" s="10">
        <f>VLOOKUP(B64,'75 - Summary Exhibit'!A:N,6,FALSE)</f>
        <v>734</v>
      </c>
      <c r="I64" s="8">
        <f>VLOOKUP(B64,'75 - Summary Exhibit'!A:N,7,FALSE)</f>
        <v>5116</v>
      </c>
      <c r="J64" s="8">
        <f>VLOOKUP(B64,'75 - Summary Exhibit'!A:N,8,FALSE)</f>
        <v>5576</v>
      </c>
      <c r="K64" s="8">
        <f>VLOOKUP(B64,'75 - Summary Exhibit'!A:N,9,FALSE)</f>
        <v>0</v>
      </c>
      <c r="L64" s="8">
        <f>VLOOKUP(B64,'75 - Summary Exhibit'!A:N,10,FALSE)</f>
        <v>1718</v>
      </c>
      <c r="M64" s="8">
        <f>VLOOKUP(B64,'75 - Summary Exhibit'!A:N,11,FALSE)</f>
        <v>453</v>
      </c>
      <c r="N64" s="8">
        <f>VLOOKUP(B64,'75 - Summary Exhibit'!A:N,12,FALSE)</f>
        <v>14003</v>
      </c>
      <c r="O64" s="8">
        <f>VLOOKUP(B64,'75 - Summary Exhibit'!A:N,13,FALSE)</f>
        <v>2128</v>
      </c>
      <c r="P64" s="8">
        <f t="shared" si="14"/>
        <v>16131</v>
      </c>
      <c r="Q64" s="8">
        <f>VLOOKUP(B64,'75- Deferred Amortization'!A:H,3,FALSE)</f>
        <v>7035</v>
      </c>
      <c r="R64" s="8">
        <f>VLOOKUP(B64,'75- Deferred Amortization'!A:H,4,FALSE)</f>
        <v>4134</v>
      </c>
      <c r="S64" s="8">
        <f>VLOOKUP(B64,'75- Deferred Amortization'!A:H,5,FALSE)</f>
        <v>5215</v>
      </c>
      <c r="T64" s="8">
        <f>VLOOKUP(B64,'75- Deferred Amortization'!A:H,6,FALSE)</f>
        <v>2280</v>
      </c>
      <c r="U64" s="8">
        <f>VLOOKUP(B64,'75- Deferred Amortization'!A:H,7,FALSE)</f>
        <v>948</v>
      </c>
      <c r="V64" s="8">
        <f>VLOOKUP(B64,'75- Deferred Amortization'!A:H,8,FALSE)</f>
        <v>460</v>
      </c>
      <c r="X64">
        <v>2</v>
      </c>
      <c r="Y64" s="8">
        <f t="shared" si="15"/>
        <v>-22</v>
      </c>
      <c r="Z64" s="8">
        <f t="shared" si="16"/>
        <v>1</v>
      </c>
      <c r="AB64" s="8">
        <f t="shared" si="12"/>
        <v>-1547</v>
      </c>
      <c r="AC64" s="8">
        <v>11614</v>
      </c>
      <c r="AD64" s="10">
        <v>13018</v>
      </c>
      <c r="AE64" s="10">
        <v>12284</v>
      </c>
      <c r="AF64" s="10">
        <v>746</v>
      </c>
      <c r="AG64" s="8">
        <v>6025</v>
      </c>
      <c r="AH64" s="8">
        <v>0</v>
      </c>
      <c r="AI64" s="8">
        <v>0</v>
      </c>
      <c r="AJ64" s="8">
        <v>2151</v>
      </c>
      <c r="AK64" s="8">
        <v>528</v>
      </c>
      <c r="AM64" s="8">
        <f t="shared" si="17"/>
        <v>-909</v>
      </c>
      <c r="AN64" s="8">
        <f t="shared" si="18"/>
        <v>-75</v>
      </c>
      <c r="AO64" s="10">
        <f t="shared" si="19"/>
        <v>-4196</v>
      </c>
      <c r="AP64" s="8">
        <f t="shared" si="20"/>
        <v>5576</v>
      </c>
      <c r="AQ64" s="10">
        <f t="shared" si="21"/>
        <v>-12</v>
      </c>
      <c r="AR64" s="8">
        <f t="shared" si="22"/>
        <v>-433</v>
      </c>
      <c r="AS64" s="8">
        <f t="shared" si="23"/>
        <v>-1547</v>
      </c>
      <c r="AT64" s="10">
        <f t="shared" si="24"/>
        <v>864</v>
      </c>
      <c r="AU64" s="8">
        <f t="shared" si="25"/>
        <v>0</v>
      </c>
      <c r="AV64" s="8">
        <f t="shared" si="13"/>
        <v>10067</v>
      </c>
    </row>
    <row r="65" spans="1:48">
      <c r="A65" t="s">
        <v>102</v>
      </c>
      <c r="B65">
        <v>38005</v>
      </c>
      <c r="C65" s="8">
        <f>VLOOKUP(B65,'ER Contributions'!A:D,4,FALSE)</f>
        <v>25684</v>
      </c>
      <c r="D65" s="9">
        <f>VLOOKUP(B65,'ER Contributions'!A:D,3,FALSE)</f>
        <v>1.2459000000000001E-3</v>
      </c>
      <c r="E65" s="8">
        <f>VLOOKUP(B65,'75 - Summary Exhibit'!A:N,3,FALSE)</f>
        <v>33136</v>
      </c>
      <c r="F65" s="10">
        <f>VLOOKUP(B65,'75 - Summary Exhibit'!A:N,4,FALSE)</f>
        <v>29039</v>
      </c>
      <c r="G65" s="10">
        <f>VLOOKUP(B65,'75 - Summary Exhibit'!A:N,5,FALSE)</f>
        <v>43280</v>
      </c>
      <c r="H65" s="10">
        <f>VLOOKUP(B65,'75 - Summary Exhibit'!A:N,6,FALSE)</f>
        <v>2415</v>
      </c>
      <c r="I65" s="8">
        <f>VLOOKUP(B65,'75 - Summary Exhibit'!A:N,7,FALSE)</f>
        <v>1712</v>
      </c>
      <c r="J65" s="8">
        <f>VLOOKUP(B65,'75 - Summary Exhibit'!A:N,8,FALSE)</f>
        <v>18353</v>
      </c>
      <c r="K65" s="8">
        <f>VLOOKUP(B65,'75 - Summary Exhibit'!A:N,9,FALSE)</f>
        <v>0</v>
      </c>
      <c r="L65" s="8">
        <f>VLOOKUP(B65,'75 - Summary Exhibit'!A:N,10,FALSE)</f>
        <v>5656</v>
      </c>
      <c r="M65" s="8">
        <f>VLOOKUP(B65,'75 - Summary Exhibit'!A:N,11,FALSE)</f>
        <v>2536</v>
      </c>
      <c r="N65" s="8">
        <f>VLOOKUP(B65,'75 - Summary Exhibit'!A:N,12,FALSE)</f>
        <v>46092</v>
      </c>
      <c r="O65" s="8">
        <f>VLOOKUP(B65,'75 - Summary Exhibit'!A:N,13,FALSE)</f>
        <v>694</v>
      </c>
      <c r="P65" s="8">
        <f t="shared" si="14"/>
        <v>46786</v>
      </c>
      <c r="Q65" s="8">
        <f>VLOOKUP(B65,'75- Deferred Amortization'!A:H,3,FALSE)</f>
        <v>16841</v>
      </c>
      <c r="R65" s="8">
        <f>VLOOKUP(B65,'75- Deferred Amortization'!A:H,4,FALSE)</f>
        <v>9959</v>
      </c>
      <c r="S65" s="8">
        <f>VLOOKUP(B65,'75- Deferred Amortization'!A:H,5,FALSE)</f>
        <v>14526</v>
      </c>
      <c r="T65" s="8">
        <f>VLOOKUP(B65,'75- Deferred Amortization'!A:H,6,FALSE)</f>
        <v>4877</v>
      </c>
      <c r="U65" s="8">
        <f>VLOOKUP(B65,'75- Deferred Amortization'!A:H,7,FALSE)</f>
        <v>2149</v>
      </c>
      <c r="V65" s="8">
        <f>VLOOKUP(B65,'75- Deferred Amortization'!A:H,8,FALSE)</f>
        <v>1548</v>
      </c>
      <c r="X65">
        <v>2</v>
      </c>
      <c r="Y65" s="8">
        <f t="shared" si="15"/>
        <v>-74</v>
      </c>
      <c r="Z65" s="8">
        <f t="shared" si="16"/>
        <v>1</v>
      </c>
      <c r="AB65" s="8">
        <f t="shared" si="12"/>
        <v>-4025</v>
      </c>
      <c r="AC65" s="8">
        <v>37161</v>
      </c>
      <c r="AD65" s="10">
        <v>41655</v>
      </c>
      <c r="AE65" s="10">
        <v>39305</v>
      </c>
      <c r="AF65" s="10">
        <v>2388</v>
      </c>
      <c r="AG65" s="8">
        <v>1669</v>
      </c>
      <c r="AH65" s="8">
        <v>0</v>
      </c>
      <c r="AI65" s="8">
        <v>0</v>
      </c>
      <c r="AJ65" s="8">
        <v>6884</v>
      </c>
      <c r="AK65" s="8">
        <v>3031</v>
      </c>
      <c r="AM65" s="8">
        <f t="shared" si="17"/>
        <v>43</v>
      </c>
      <c r="AN65" s="8">
        <f t="shared" si="18"/>
        <v>-495</v>
      </c>
      <c r="AO65" s="10">
        <f t="shared" si="19"/>
        <v>-12616</v>
      </c>
      <c r="AP65" s="8">
        <f t="shared" si="20"/>
        <v>18353</v>
      </c>
      <c r="AQ65" s="10">
        <f t="shared" si="21"/>
        <v>27</v>
      </c>
      <c r="AR65" s="8">
        <f t="shared" si="22"/>
        <v>-1228</v>
      </c>
      <c r="AS65" s="8">
        <f t="shared" si="23"/>
        <v>-4025</v>
      </c>
      <c r="AT65" s="10">
        <f t="shared" si="24"/>
        <v>3975</v>
      </c>
      <c r="AU65" s="8">
        <f t="shared" si="25"/>
        <v>0</v>
      </c>
      <c r="AV65" s="8">
        <f t="shared" si="13"/>
        <v>33136</v>
      </c>
    </row>
    <row r="66" spans="1:48">
      <c r="A66" t="s">
        <v>104</v>
      </c>
      <c r="B66">
        <v>38205</v>
      </c>
      <c r="C66" s="8">
        <f>VLOOKUP(B66,'ER Contributions'!A:D,4,FALSE)</f>
        <v>7804</v>
      </c>
      <c r="D66" s="9">
        <f>VLOOKUP(B66,'ER Contributions'!A:D,3,FALSE)</f>
        <v>3.9829999999999998E-4</v>
      </c>
      <c r="E66" s="8">
        <f>VLOOKUP(B66,'75 - Summary Exhibit'!A:N,3,FALSE)</f>
        <v>10593</v>
      </c>
      <c r="F66" s="10">
        <f>VLOOKUP(B66,'75 - Summary Exhibit'!A:N,4,FALSE)</f>
        <v>9284</v>
      </c>
      <c r="G66" s="10">
        <f>VLOOKUP(B66,'75 - Summary Exhibit'!A:N,5,FALSE)</f>
        <v>13836</v>
      </c>
      <c r="H66" s="10">
        <f>VLOOKUP(B66,'75 - Summary Exhibit'!A:N,6,FALSE)</f>
        <v>772</v>
      </c>
      <c r="I66" s="8">
        <f>VLOOKUP(B66,'75 - Summary Exhibit'!A:N,7,FALSE)</f>
        <v>2054</v>
      </c>
      <c r="J66" s="8">
        <f>VLOOKUP(B66,'75 - Summary Exhibit'!A:N,8,FALSE)</f>
        <v>5867</v>
      </c>
      <c r="K66" s="8">
        <f>VLOOKUP(B66,'75 - Summary Exhibit'!A:N,9,FALSE)</f>
        <v>0</v>
      </c>
      <c r="L66" s="8">
        <f>VLOOKUP(B66,'75 - Summary Exhibit'!A:N,10,FALSE)</f>
        <v>1808</v>
      </c>
      <c r="M66" s="8">
        <f>VLOOKUP(B66,'75 - Summary Exhibit'!A:N,11,FALSE)</f>
        <v>1029</v>
      </c>
      <c r="N66" s="8">
        <f>VLOOKUP(B66,'75 - Summary Exhibit'!A:N,12,FALSE)</f>
        <v>14735</v>
      </c>
      <c r="O66" s="8">
        <f>VLOOKUP(B66,'75 - Summary Exhibit'!A:N,13,FALSE)</f>
        <v>209</v>
      </c>
      <c r="P66" s="8">
        <f t="shared" si="14"/>
        <v>14944</v>
      </c>
      <c r="Q66" s="8">
        <f>VLOOKUP(B66,'75- Deferred Amortization'!A:H,3,FALSE)</f>
        <v>5374</v>
      </c>
      <c r="R66" s="8">
        <f>VLOOKUP(B66,'75- Deferred Amortization'!A:H,4,FALSE)</f>
        <v>3222</v>
      </c>
      <c r="S66" s="8">
        <f>VLOOKUP(B66,'75- Deferred Amortization'!A:H,5,FALSE)</f>
        <v>5113</v>
      </c>
      <c r="T66" s="8">
        <f>VLOOKUP(B66,'75- Deferred Amortization'!A:H,6,FALSE)</f>
        <v>2031</v>
      </c>
      <c r="U66" s="8">
        <f>VLOOKUP(B66,'75- Deferred Amortization'!A:H,7,FALSE)</f>
        <v>821</v>
      </c>
      <c r="V66" s="8">
        <f>VLOOKUP(B66,'75- Deferred Amortization'!A:H,8,FALSE)</f>
        <v>681</v>
      </c>
      <c r="X66">
        <v>2</v>
      </c>
      <c r="Y66" s="8">
        <f t="shared" si="15"/>
        <v>-23</v>
      </c>
      <c r="Z66" s="8">
        <f t="shared" si="16"/>
        <v>0</v>
      </c>
      <c r="AB66" s="8">
        <f t="shared" si="12"/>
        <v>-446</v>
      </c>
      <c r="AC66" s="8">
        <v>11039</v>
      </c>
      <c r="AD66" s="10">
        <v>12374</v>
      </c>
      <c r="AE66" s="10">
        <v>11676</v>
      </c>
      <c r="AF66" s="10">
        <v>710</v>
      </c>
      <c r="AG66" s="8">
        <v>2649</v>
      </c>
      <c r="AH66" s="8">
        <v>0</v>
      </c>
      <c r="AI66" s="8">
        <v>0</v>
      </c>
      <c r="AJ66" s="8">
        <v>2045</v>
      </c>
      <c r="AK66" s="8">
        <v>513</v>
      </c>
      <c r="AM66" s="8">
        <f t="shared" si="17"/>
        <v>-595</v>
      </c>
      <c r="AN66" s="8">
        <f t="shared" si="18"/>
        <v>516</v>
      </c>
      <c r="AO66" s="10">
        <f t="shared" si="19"/>
        <v>-3090</v>
      </c>
      <c r="AP66" s="8">
        <f t="shared" si="20"/>
        <v>5867</v>
      </c>
      <c r="AQ66" s="10">
        <f t="shared" si="21"/>
        <v>62</v>
      </c>
      <c r="AR66" s="8">
        <f t="shared" si="22"/>
        <v>-237</v>
      </c>
      <c r="AS66" s="8">
        <f t="shared" si="23"/>
        <v>-446</v>
      </c>
      <c r="AT66" s="10">
        <f t="shared" si="24"/>
        <v>2160</v>
      </c>
      <c r="AU66" s="8">
        <f t="shared" si="25"/>
        <v>0</v>
      </c>
      <c r="AV66" s="8">
        <f t="shared" si="13"/>
        <v>10593</v>
      </c>
    </row>
    <row r="67" spans="1:48">
      <c r="A67" t="s">
        <v>90</v>
      </c>
      <c r="B67">
        <v>36305</v>
      </c>
      <c r="C67" s="8">
        <f>VLOOKUP(B67,'ER Contributions'!A:D,4,FALSE)</f>
        <v>18634</v>
      </c>
      <c r="D67" s="9">
        <f>VLOOKUP(B67,'ER Contributions'!A:D,3,FALSE)</f>
        <v>8.9579999999999998E-4</v>
      </c>
      <c r="E67" s="8">
        <f>VLOOKUP(B67,'75 - Summary Exhibit'!A:N,3,FALSE)</f>
        <v>23825</v>
      </c>
      <c r="F67" s="10">
        <f>VLOOKUP(B67,'75 - Summary Exhibit'!A:N,4,FALSE)</f>
        <v>20879</v>
      </c>
      <c r="G67" s="10">
        <f>VLOOKUP(B67,'75 - Summary Exhibit'!A:N,5,FALSE)</f>
        <v>31118</v>
      </c>
      <c r="H67" s="10">
        <f>VLOOKUP(B67,'75 - Summary Exhibit'!A:N,6,FALSE)</f>
        <v>1736</v>
      </c>
      <c r="I67" s="8">
        <f>VLOOKUP(B67,'75 - Summary Exhibit'!A:N,7,FALSE)</f>
        <v>3790</v>
      </c>
      <c r="J67" s="8">
        <f>VLOOKUP(B67,'75 - Summary Exhibit'!A:N,8,FALSE)</f>
        <v>13196</v>
      </c>
      <c r="K67" s="8">
        <f>VLOOKUP(B67,'75 - Summary Exhibit'!A:N,9,FALSE)</f>
        <v>0</v>
      </c>
      <c r="L67" s="8">
        <f>VLOOKUP(B67,'75 - Summary Exhibit'!A:N,10,FALSE)</f>
        <v>4067</v>
      </c>
      <c r="M67" s="8">
        <f>VLOOKUP(B67,'75 - Summary Exhibit'!A:N,11,FALSE)</f>
        <v>1050</v>
      </c>
      <c r="N67" s="8">
        <f>VLOOKUP(B67,'75 - Summary Exhibit'!A:N,12,FALSE)</f>
        <v>33140</v>
      </c>
      <c r="O67" s="8">
        <f>VLOOKUP(B67,'75 - Summary Exhibit'!A:N,13,FALSE)</f>
        <v>871</v>
      </c>
      <c r="P67" s="8">
        <f t="shared" ref="P67:P80" si="26">N67+O67</f>
        <v>34011</v>
      </c>
      <c r="Q67" s="8">
        <f>VLOOKUP(B67,'75- Deferred Amortization'!A:H,3,FALSE)</f>
        <v>12478</v>
      </c>
      <c r="R67" s="8">
        <f>VLOOKUP(B67,'75- Deferred Amortization'!A:H,4,FALSE)</f>
        <v>7648</v>
      </c>
      <c r="S67" s="8">
        <f>VLOOKUP(B67,'75- Deferred Amortization'!A:H,5,FALSE)</f>
        <v>11441</v>
      </c>
      <c r="T67" s="8">
        <f>VLOOKUP(B67,'75- Deferred Amortization'!A:H,6,FALSE)</f>
        <v>4503</v>
      </c>
      <c r="U67" s="8">
        <f>VLOOKUP(B67,'75- Deferred Amortization'!A:H,7,FALSE)</f>
        <v>1969</v>
      </c>
      <c r="V67" s="8">
        <f>VLOOKUP(B67,'75- Deferred Amortization'!A:H,8,FALSE)</f>
        <v>1169</v>
      </c>
      <c r="X67">
        <v>2</v>
      </c>
      <c r="Y67" s="8">
        <f t="shared" si="15"/>
        <v>-55</v>
      </c>
      <c r="Z67" s="8">
        <f t="shared" si="16"/>
        <v>2</v>
      </c>
      <c r="AB67" s="8">
        <f t="shared" si="12"/>
        <v>-1291</v>
      </c>
      <c r="AC67" s="8">
        <v>25116</v>
      </c>
      <c r="AD67" s="10">
        <v>28153</v>
      </c>
      <c r="AE67" s="10">
        <v>26565</v>
      </c>
      <c r="AF67" s="10">
        <v>1614</v>
      </c>
      <c r="AG67" s="8">
        <v>4978</v>
      </c>
      <c r="AH67" s="8">
        <v>0</v>
      </c>
      <c r="AI67" s="8">
        <v>0</v>
      </c>
      <c r="AJ67" s="8">
        <v>4653</v>
      </c>
      <c r="AK67" s="8">
        <v>724</v>
      </c>
      <c r="AM67" s="8">
        <f t="shared" si="17"/>
        <v>-1188</v>
      </c>
      <c r="AN67" s="8">
        <f t="shared" si="18"/>
        <v>326</v>
      </c>
      <c r="AO67" s="10">
        <f t="shared" si="19"/>
        <v>-7274</v>
      </c>
      <c r="AP67" s="8">
        <f t="shared" si="20"/>
        <v>13196</v>
      </c>
      <c r="AQ67" s="10">
        <f t="shared" si="21"/>
        <v>122</v>
      </c>
      <c r="AR67" s="8">
        <f t="shared" si="22"/>
        <v>-586</v>
      </c>
      <c r="AS67" s="8">
        <f t="shared" si="23"/>
        <v>-1291</v>
      </c>
      <c r="AT67" s="10">
        <f t="shared" si="24"/>
        <v>4553</v>
      </c>
      <c r="AU67" s="8">
        <f t="shared" si="25"/>
        <v>0</v>
      </c>
      <c r="AV67" s="8">
        <f t="shared" si="13"/>
        <v>23825</v>
      </c>
    </row>
    <row r="68" spans="1:48">
      <c r="A68" t="s">
        <v>55</v>
      </c>
      <c r="B68">
        <v>30405</v>
      </c>
      <c r="C68" s="8">
        <f>VLOOKUP(B68,'ER Contributions'!A:D,4,FALSE)</f>
        <v>12772</v>
      </c>
      <c r="D68" s="9">
        <f>VLOOKUP(B68,'ER Contributions'!A:D,3,FALSE)</f>
        <v>6.29E-4</v>
      </c>
      <c r="E68" s="8">
        <f>VLOOKUP(B68,'75 - Summary Exhibit'!A:N,3,FALSE)</f>
        <v>16729</v>
      </c>
      <c r="F68" s="10">
        <f>VLOOKUP(B68,'75 - Summary Exhibit'!A:N,4,FALSE)</f>
        <v>14661</v>
      </c>
      <c r="G68" s="10">
        <f>VLOOKUP(B68,'75 - Summary Exhibit'!A:N,5,FALSE)</f>
        <v>21850</v>
      </c>
      <c r="H68" s="10">
        <f>VLOOKUP(B68,'75 - Summary Exhibit'!A:N,6,FALSE)</f>
        <v>1219</v>
      </c>
      <c r="I68" s="8">
        <f>VLOOKUP(B68,'75 - Summary Exhibit'!A:N,7,FALSE)</f>
        <v>5952</v>
      </c>
      <c r="J68" s="8">
        <f>VLOOKUP(B68,'75 - Summary Exhibit'!A:N,8,FALSE)</f>
        <v>9266</v>
      </c>
      <c r="K68" s="8">
        <f>VLOOKUP(B68,'75 - Summary Exhibit'!A:N,9,FALSE)</f>
        <v>0</v>
      </c>
      <c r="L68" s="8">
        <f>VLOOKUP(B68,'75 - Summary Exhibit'!A:N,10,FALSE)</f>
        <v>2856</v>
      </c>
      <c r="M68" s="8">
        <f>VLOOKUP(B68,'75 - Summary Exhibit'!A:N,11,FALSE)</f>
        <v>2341</v>
      </c>
      <c r="N68" s="8">
        <f>VLOOKUP(B68,'75 - Summary Exhibit'!A:N,12,FALSE)</f>
        <v>23270</v>
      </c>
      <c r="O68" s="8">
        <f>VLOOKUP(B68,'75 - Summary Exhibit'!A:N,13,FALSE)</f>
        <v>1763</v>
      </c>
      <c r="P68" s="8">
        <f t="shared" si="26"/>
        <v>25033</v>
      </c>
      <c r="Q68" s="8">
        <f>VLOOKUP(B68,'75- Deferred Amortization'!A:H,3,FALSE)</f>
        <v>9917</v>
      </c>
      <c r="R68" s="8">
        <f>VLOOKUP(B68,'75- Deferred Amortization'!A:H,4,FALSE)</f>
        <v>5962</v>
      </c>
      <c r="S68" s="8">
        <f>VLOOKUP(B68,'75- Deferred Amortization'!A:H,5,FALSE)</f>
        <v>8166</v>
      </c>
      <c r="T68" s="8">
        <f>VLOOKUP(B68,'75- Deferred Amortization'!A:H,6,FALSE)</f>
        <v>3291</v>
      </c>
      <c r="U68" s="8">
        <f>VLOOKUP(B68,'75- Deferred Amortization'!A:H,7,FALSE)</f>
        <v>1185</v>
      </c>
      <c r="V68" s="8">
        <f>VLOOKUP(B68,'75- Deferred Amortization'!A:H,8,FALSE)</f>
        <v>698</v>
      </c>
      <c r="X68">
        <v>2</v>
      </c>
      <c r="Y68" s="8">
        <f t="shared" ref="Y68:Y88" si="27">ROUND(((F68-AD68)+(G68-AE68)+(H68-AF68)+(I68-AG68)+(AI68-K68)+P68-(E68-AC68)-(J68-AH68)-(L68-AJ68)-(M68-AK68)-C68),0)</f>
        <v>-39</v>
      </c>
      <c r="Z68" s="8">
        <f t="shared" ref="Z68:Z88" si="28">ROUND((F68+G68+H68+I68-J68-K68-L68-M68-Q68-R68-S68-T68-U68-V68),0)</f>
        <v>0</v>
      </c>
      <c r="AB68" s="8">
        <f t="shared" si="12"/>
        <v>-2503</v>
      </c>
      <c r="AC68" s="8">
        <v>19232</v>
      </c>
      <c r="AD68" s="10">
        <v>21558</v>
      </c>
      <c r="AE68" s="10">
        <v>20341</v>
      </c>
      <c r="AF68" s="10">
        <v>1236</v>
      </c>
      <c r="AG68" s="8">
        <v>7277</v>
      </c>
      <c r="AH68" s="8">
        <v>0</v>
      </c>
      <c r="AI68" s="8">
        <v>0</v>
      </c>
      <c r="AJ68" s="8">
        <v>3563</v>
      </c>
      <c r="AK68" s="8">
        <v>2827</v>
      </c>
      <c r="AM68" s="8">
        <f t="shared" ref="AM68:AM85" si="29">I68-AG68</f>
        <v>-1325</v>
      </c>
      <c r="AN68" s="8">
        <f t="shared" ref="AN68:AN85" si="30">M68-AK68</f>
        <v>-486</v>
      </c>
      <c r="AO68" s="10">
        <f t="shared" ref="AO68:AO88" si="31">F68-AD68</f>
        <v>-6897</v>
      </c>
      <c r="AP68" s="8">
        <f t="shared" ref="AP68:AP88" si="32">J68-AH68</f>
        <v>9266</v>
      </c>
      <c r="AQ68" s="10">
        <f t="shared" ref="AQ68:AQ88" si="33">H68-AF68</f>
        <v>-17</v>
      </c>
      <c r="AR68" s="8">
        <f t="shared" ref="AR68:AR88" si="34">L68-AJ68</f>
        <v>-707</v>
      </c>
      <c r="AS68" s="8">
        <f t="shared" ref="AS68:AS88" si="35">E68-AC68</f>
        <v>-2503</v>
      </c>
      <c r="AT68" s="10">
        <f t="shared" ref="AT68:AT88" si="36">G68-AE68</f>
        <v>1509</v>
      </c>
      <c r="AU68" s="8">
        <f t="shared" ref="AU68:AU88" si="37">K68-AI68</f>
        <v>0</v>
      </c>
      <c r="AV68" s="8">
        <f t="shared" si="13"/>
        <v>16729</v>
      </c>
    </row>
    <row r="69" spans="1:48">
      <c r="A69" t="s">
        <v>66</v>
      </c>
      <c r="B69">
        <v>32405</v>
      </c>
      <c r="C69" s="8">
        <f>VLOOKUP(B69,'ER Contributions'!A:D,4,FALSE)</f>
        <v>9158</v>
      </c>
      <c r="D69" s="9">
        <f>VLOOKUP(B69,'ER Contributions'!A:D,3,FALSE)</f>
        <v>4.3070000000000001E-4</v>
      </c>
      <c r="E69" s="8">
        <f>VLOOKUP(B69,'75 - Summary Exhibit'!A:N,3,FALSE)</f>
        <v>11455</v>
      </c>
      <c r="F69" s="10">
        <f>VLOOKUP(B69,'75 - Summary Exhibit'!A:N,4,FALSE)</f>
        <v>10039</v>
      </c>
      <c r="G69" s="10">
        <f>VLOOKUP(B69,'75 - Summary Exhibit'!A:N,5,FALSE)</f>
        <v>14962</v>
      </c>
      <c r="H69" s="10">
        <f>VLOOKUP(B69,'75 - Summary Exhibit'!A:N,6,FALSE)</f>
        <v>835</v>
      </c>
      <c r="I69" s="8">
        <f>VLOOKUP(B69,'75 - Summary Exhibit'!A:N,7,FALSE)</f>
        <v>5416</v>
      </c>
      <c r="J69" s="8">
        <f>VLOOKUP(B69,'75 - Summary Exhibit'!A:N,8,FALSE)</f>
        <v>6345</v>
      </c>
      <c r="K69" s="8">
        <f>VLOOKUP(B69,'75 - Summary Exhibit'!A:N,9,FALSE)</f>
        <v>0</v>
      </c>
      <c r="L69" s="8">
        <f>VLOOKUP(B69,'75 - Summary Exhibit'!A:N,10,FALSE)</f>
        <v>1955</v>
      </c>
      <c r="M69" s="8">
        <f>VLOOKUP(B69,'75 - Summary Exhibit'!A:N,11,FALSE)</f>
        <v>0</v>
      </c>
      <c r="N69" s="8">
        <f>VLOOKUP(B69,'75 - Summary Exhibit'!A:N,12,FALSE)</f>
        <v>15934</v>
      </c>
      <c r="O69" s="8">
        <f>VLOOKUP(B69,'75 - Summary Exhibit'!A:N,13,FALSE)</f>
        <v>1476</v>
      </c>
      <c r="P69" s="8">
        <f t="shared" si="26"/>
        <v>17410</v>
      </c>
      <c r="Q69" s="8">
        <f>VLOOKUP(B69,'75- Deferred Amortization'!A:H,3,FALSE)</f>
        <v>7060</v>
      </c>
      <c r="R69" s="8">
        <f>VLOOKUP(B69,'75- Deferred Amortization'!A:H,4,FALSE)</f>
        <v>4634</v>
      </c>
      <c r="S69" s="8">
        <f>VLOOKUP(B69,'75- Deferred Amortization'!A:H,5,FALSE)</f>
        <v>6130</v>
      </c>
      <c r="T69" s="8">
        <f>VLOOKUP(B69,'75- Deferred Amortization'!A:H,6,FALSE)</f>
        <v>2794</v>
      </c>
      <c r="U69" s="8">
        <f>VLOOKUP(B69,'75- Deferred Amortization'!A:H,7,FALSE)</f>
        <v>1496</v>
      </c>
      <c r="V69" s="8">
        <f>VLOOKUP(B69,'75- Deferred Amortization'!A:H,8,FALSE)</f>
        <v>837</v>
      </c>
      <c r="X69">
        <v>2</v>
      </c>
      <c r="Y69" s="8">
        <f t="shared" si="27"/>
        <v>-25</v>
      </c>
      <c r="Z69" s="8">
        <f t="shared" si="28"/>
        <v>1</v>
      </c>
      <c r="AB69" s="8">
        <f t="shared" ref="AB69:AB88" si="38">E69-AC69</f>
        <v>-1363</v>
      </c>
      <c r="AC69" s="8">
        <v>12818</v>
      </c>
      <c r="AD69" s="10">
        <v>14368</v>
      </c>
      <c r="AE69" s="10">
        <v>13558</v>
      </c>
      <c r="AF69" s="10">
        <v>824</v>
      </c>
      <c r="AG69" s="8">
        <v>6217</v>
      </c>
      <c r="AH69" s="8">
        <v>0</v>
      </c>
      <c r="AI69" s="8">
        <v>0</v>
      </c>
      <c r="AJ69" s="8">
        <v>2375</v>
      </c>
      <c r="AK69" s="8">
        <v>0</v>
      </c>
      <c r="AM69" s="8">
        <f t="shared" si="29"/>
        <v>-801</v>
      </c>
      <c r="AN69" s="8">
        <f t="shared" si="30"/>
        <v>0</v>
      </c>
      <c r="AO69" s="10">
        <f t="shared" si="31"/>
        <v>-4329</v>
      </c>
      <c r="AP69" s="8">
        <f t="shared" si="32"/>
        <v>6345</v>
      </c>
      <c r="AQ69" s="10">
        <f t="shared" si="33"/>
        <v>11</v>
      </c>
      <c r="AR69" s="8">
        <f t="shared" si="34"/>
        <v>-420</v>
      </c>
      <c r="AS69" s="8">
        <f t="shared" si="35"/>
        <v>-1363</v>
      </c>
      <c r="AT69" s="10">
        <f t="shared" si="36"/>
        <v>1404</v>
      </c>
      <c r="AU69" s="8">
        <f t="shared" si="37"/>
        <v>0</v>
      </c>
      <c r="AV69" s="8">
        <f t="shared" si="13"/>
        <v>11455</v>
      </c>
    </row>
    <row r="70" spans="1:48">
      <c r="A70" t="s">
        <v>81</v>
      </c>
      <c r="B70">
        <v>35005</v>
      </c>
      <c r="C70" s="8">
        <f>VLOOKUP(B70,'ER Contributions'!A:D,4,FALSE)</f>
        <v>10999</v>
      </c>
      <c r="D70" s="9">
        <f>VLOOKUP(B70,'ER Contributions'!A:D,3,FALSE)</f>
        <v>5.0699999999999996E-4</v>
      </c>
      <c r="E70" s="8">
        <f>VLOOKUP(B70,'75 - Summary Exhibit'!A:N,3,FALSE)</f>
        <v>13484</v>
      </c>
      <c r="F70" s="10">
        <f>VLOOKUP(B70,'75 - Summary Exhibit'!A:N,4,FALSE)</f>
        <v>11817</v>
      </c>
      <c r="G70" s="10">
        <f>VLOOKUP(B70,'75 - Summary Exhibit'!A:N,5,FALSE)</f>
        <v>17612</v>
      </c>
      <c r="H70" s="10">
        <f>VLOOKUP(B70,'75 - Summary Exhibit'!A:N,6,FALSE)</f>
        <v>983</v>
      </c>
      <c r="I70" s="8">
        <f>VLOOKUP(B70,'75 - Summary Exhibit'!A:N,7,FALSE)</f>
        <v>5822</v>
      </c>
      <c r="J70" s="8">
        <f>VLOOKUP(B70,'75 - Summary Exhibit'!A:N,8,FALSE)</f>
        <v>7469</v>
      </c>
      <c r="K70" s="8">
        <f>VLOOKUP(B70,'75 - Summary Exhibit'!A:N,9,FALSE)</f>
        <v>0</v>
      </c>
      <c r="L70" s="8">
        <f>VLOOKUP(B70,'75 - Summary Exhibit'!A:N,10,FALSE)</f>
        <v>2302</v>
      </c>
      <c r="M70" s="8">
        <f>VLOOKUP(B70,'75 - Summary Exhibit'!A:N,11,FALSE)</f>
        <v>0</v>
      </c>
      <c r="N70" s="8">
        <f>VLOOKUP(B70,'75 - Summary Exhibit'!A:N,12,FALSE)</f>
        <v>18756</v>
      </c>
      <c r="O70" s="8">
        <f>VLOOKUP(B70,'75 - Summary Exhibit'!A:N,13,FALSE)</f>
        <v>1715</v>
      </c>
      <c r="P70" s="8">
        <f t="shared" si="26"/>
        <v>20471</v>
      </c>
      <c r="Q70" s="8">
        <f>VLOOKUP(B70,'75- Deferred Amortization'!A:H,3,FALSE)</f>
        <v>8285</v>
      </c>
      <c r="R70" s="8">
        <f>VLOOKUP(B70,'75- Deferred Amortization'!A:H,4,FALSE)</f>
        <v>5663</v>
      </c>
      <c r="S70" s="8">
        <f>VLOOKUP(B70,'75- Deferred Amortization'!A:H,5,FALSE)</f>
        <v>7021</v>
      </c>
      <c r="T70" s="8">
        <f>VLOOKUP(B70,'75- Deferred Amortization'!A:H,6,FALSE)</f>
        <v>3089</v>
      </c>
      <c r="U70" s="8">
        <f>VLOOKUP(B70,'75- Deferred Amortization'!A:H,7,FALSE)</f>
        <v>1617</v>
      </c>
      <c r="V70" s="8">
        <f>VLOOKUP(B70,'75- Deferred Amortization'!A:H,8,FALSE)</f>
        <v>788</v>
      </c>
      <c r="X70">
        <v>2</v>
      </c>
      <c r="Y70" s="8">
        <f t="shared" si="27"/>
        <v>-32</v>
      </c>
      <c r="Z70" s="8">
        <f t="shared" si="28"/>
        <v>0</v>
      </c>
      <c r="AB70" s="8">
        <f t="shared" si="38"/>
        <v>-2544</v>
      </c>
      <c r="AC70" s="8">
        <v>16028</v>
      </c>
      <c r="AD70" s="10">
        <v>17966</v>
      </c>
      <c r="AE70" s="10">
        <v>16953</v>
      </c>
      <c r="AF70" s="10">
        <v>1030</v>
      </c>
      <c r="AG70" s="8">
        <v>5531</v>
      </c>
      <c r="AH70" s="8">
        <v>0</v>
      </c>
      <c r="AI70" s="8">
        <v>0</v>
      </c>
      <c r="AJ70" s="8">
        <v>2969</v>
      </c>
      <c r="AK70" s="8">
        <v>0</v>
      </c>
      <c r="AM70" s="8">
        <f t="shared" si="29"/>
        <v>291</v>
      </c>
      <c r="AN70" s="8">
        <f t="shared" si="30"/>
        <v>0</v>
      </c>
      <c r="AO70" s="10">
        <f t="shared" si="31"/>
        <v>-6149</v>
      </c>
      <c r="AP70" s="8">
        <f t="shared" si="32"/>
        <v>7469</v>
      </c>
      <c r="AQ70" s="10">
        <f t="shared" si="33"/>
        <v>-47</v>
      </c>
      <c r="AR70" s="8">
        <f t="shared" si="34"/>
        <v>-667</v>
      </c>
      <c r="AS70" s="8">
        <f t="shared" si="35"/>
        <v>-2544</v>
      </c>
      <c r="AT70" s="10">
        <f t="shared" si="36"/>
        <v>659</v>
      </c>
      <c r="AU70" s="8">
        <f t="shared" si="37"/>
        <v>0</v>
      </c>
      <c r="AV70" s="8">
        <f t="shared" ref="AV70:AV88" si="39">AC70+AS70</f>
        <v>13484</v>
      </c>
    </row>
    <row r="71" spans="1:48">
      <c r="A71" t="s">
        <v>105</v>
      </c>
      <c r="B71">
        <v>38405</v>
      </c>
      <c r="C71" s="8">
        <f>VLOOKUP(B71,'ER Contributions'!A:D,4,FALSE)</f>
        <v>12167</v>
      </c>
      <c r="D71" s="9">
        <f>VLOOKUP(B71,'ER Contributions'!A:D,3,FALSE)</f>
        <v>6.1870000000000002E-4</v>
      </c>
      <c r="E71" s="8">
        <f>VLOOKUP(B71,'75 - Summary Exhibit'!A:N,3,FALSE)</f>
        <v>16455</v>
      </c>
      <c r="F71" s="10">
        <f>VLOOKUP(B71,'75 - Summary Exhibit'!A:N,4,FALSE)</f>
        <v>14421</v>
      </c>
      <c r="G71" s="10">
        <f>VLOOKUP(B71,'75 - Summary Exhibit'!A:N,5,FALSE)</f>
        <v>21492</v>
      </c>
      <c r="H71" s="10">
        <f>VLOOKUP(B71,'75 - Summary Exhibit'!A:N,6,FALSE)</f>
        <v>1199</v>
      </c>
      <c r="I71" s="8">
        <f>VLOOKUP(B71,'75 - Summary Exhibit'!A:N,7,FALSE)</f>
        <v>4884</v>
      </c>
      <c r="J71" s="8">
        <f>VLOOKUP(B71,'75 - Summary Exhibit'!A:N,8,FALSE)</f>
        <v>9114</v>
      </c>
      <c r="K71" s="8">
        <f>VLOOKUP(B71,'75 - Summary Exhibit'!A:N,9,FALSE)</f>
        <v>0</v>
      </c>
      <c r="L71" s="8">
        <f>VLOOKUP(B71,'75 - Summary Exhibit'!A:N,10,FALSE)</f>
        <v>2809</v>
      </c>
      <c r="M71" s="8">
        <f>VLOOKUP(B71,'75 - Summary Exhibit'!A:N,11,FALSE)</f>
        <v>535</v>
      </c>
      <c r="N71" s="8">
        <f>VLOOKUP(B71,'75 - Summary Exhibit'!A:N,12,FALSE)</f>
        <v>22889</v>
      </c>
      <c r="O71" s="8">
        <f>VLOOKUP(B71,'75 - Summary Exhibit'!A:N,13,FALSE)</f>
        <v>685</v>
      </c>
      <c r="P71" s="8">
        <f t="shared" si="26"/>
        <v>23574</v>
      </c>
      <c r="Q71" s="8">
        <f>VLOOKUP(B71,'75- Deferred Amortization'!A:H,3,FALSE)</f>
        <v>8705</v>
      </c>
      <c r="R71" s="8">
        <f>VLOOKUP(B71,'75- Deferred Amortization'!A:H,4,FALSE)</f>
        <v>6062</v>
      </c>
      <c r="S71" s="8">
        <f>VLOOKUP(B71,'75- Deferred Amortization'!A:H,5,FALSE)</f>
        <v>8598</v>
      </c>
      <c r="T71" s="8">
        <f>VLOOKUP(B71,'75- Deferred Amortization'!A:H,6,FALSE)</f>
        <v>3807</v>
      </c>
      <c r="U71" s="8">
        <f>VLOOKUP(B71,'75- Deferred Amortization'!A:H,7,FALSE)</f>
        <v>1477</v>
      </c>
      <c r="V71" s="8">
        <f>VLOOKUP(B71,'75- Deferred Amortization'!A:H,8,FALSE)</f>
        <v>890</v>
      </c>
      <c r="X71">
        <v>2</v>
      </c>
      <c r="Y71" s="8">
        <f t="shared" si="27"/>
        <v>-36</v>
      </c>
      <c r="Z71" s="8">
        <f t="shared" si="28"/>
        <v>-1</v>
      </c>
      <c r="AB71" s="8">
        <f t="shared" si="38"/>
        <v>-1795</v>
      </c>
      <c r="AC71" s="8">
        <v>18250</v>
      </c>
      <c r="AD71" s="10">
        <v>20457</v>
      </c>
      <c r="AE71" s="10">
        <v>19303</v>
      </c>
      <c r="AF71" s="10">
        <v>1173</v>
      </c>
      <c r="AG71" s="8">
        <v>6041</v>
      </c>
      <c r="AH71" s="8">
        <v>0</v>
      </c>
      <c r="AI71" s="8">
        <v>0</v>
      </c>
      <c r="AJ71" s="8">
        <v>3381</v>
      </c>
      <c r="AK71" s="8">
        <v>817</v>
      </c>
      <c r="AM71" s="8">
        <f t="shared" si="29"/>
        <v>-1157</v>
      </c>
      <c r="AN71" s="8">
        <f t="shared" si="30"/>
        <v>-282</v>
      </c>
      <c r="AO71" s="10">
        <f t="shared" si="31"/>
        <v>-6036</v>
      </c>
      <c r="AP71" s="8">
        <f t="shared" si="32"/>
        <v>9114</v>
      </c>
      <c r="AQ71" s="10">
        <f t="shared" si="33"/>
        <v>26</v>
      </c>
      <c r="AR71" s="8">
        <f t="shared" si="34"/>
        <v>-572</v>
      </c>
      <c r="AS71" s="8">
        <f t="shared" si="35"/>
        <v>-1795</v>
      </c>
      <c r="AT71" s="10">
        <f t="shared" si="36"/>
        <v>2189</v>
      </c>
      <c r="AU71" s="8">
        <f t="shared" si="37"/>
        <v>0</v>
      </c>
      <c r="AV71" s="8">
        <f t="shared" si="39"/>
        <v>16455</v>
      </c>
    </row>
    <row r="72" spans="1:48">
      <c r="A72" t="s">
        <v>106</v>
      </c>
      <c r="B72">
        <v>38605</v>
      </c>
      <c r="C72" s="8">
        <f>VLOOKUP(B72,'ER Contributions'!A:D,4,FALSE)</f>
        <v>12504</v>
      </c>
      <c r="D72" s="9">
        <f>VLOOKUP(B72,'ER Contributions'!A:D,3,FALSE)</f>
        <v>6.2330000000000003E-4</v>
      </c>
      <c r="E72" s="8">
        <f>VLOOKUP(B72,'75 - Summary Exhibit'!A:N,3,FALSE)</f>
        <v>16577</v>
      </c>
      <c r="F72" s="10">
        <f>VLOOKUP(B72,'75 - Summary Exhibit'!A:N,4,FALSE)</f>
        <v>14528</v>
      </c>
      <c r="G72" s="10">
        <f>VLOOKUP(B72,'75 - Summary Exhibit'!A:N,5,FALSE)</f>
        <v>21652</v>
      </c>
      <c r="H72" s="10">
        <f>VLOOKUP(B72,'75 - Summary Exhibit'!A:N,6,FALSE)</f>
        <v>1208</v>
      </c>
      <c r="I72" s="8">
        <f>VLOOKUP(B72,'75 - Summary Exhibit'!A:N,7,FALSE)</f>
        <v>6127</v>
      </c>
      <c r="J72" s="8">
        <f>VLOOKUP(B72,'75 - Summary Exhibit'!A:N,8,FALSE)</f>
        <v>9182</v>
      </c>
      <c r="K72" s="8">
        <f>VLOOKUP(B72,'75 - Summary Exhibit'!A:N,9,FALSE)</f>
        <v>0</v>
      </c>
      <c r="L72" s="8">
        <f>VLOOKUP(B72,'75 - Summary Exhibit'!A:N,10,FALSE)</f>
        <v>2830</v>
      </c>
      <c r="M72" s="8">
        <f>VLOOKUP(B72,'75 - Summary Exhibit'!A:N,11,FALSE)</f>
        <v>1860</v>
      </c>
      <c r="N72" s="8">
        <f>VLOOKUP(B72,'75 - Summary Exhibit'!A:N,12,FALSE)</f>
        <v>23059</v>
      </c>
      <c r="O72" s="8">
        <f>VLOOKUP(B72,'75 - Summary Exhibit'!A:N,13,FALSE)</f>
        <v>1867</v>
      </c>
      <c r="P72" s="8">
        <f t="shared" si="26"/>
        <v>24926</v>
      </c>
      <c r="Q72" s="8">
        <f>VLOOKUP(B72,'75- Deferred Amortization'!A:H,3,FALSE)</f>
        <v>9948</v>
      </c>
      <c r="R72" s="8">
        <f>VLOOKUP(B72,'75- Deferred Amortization'!A:H,4,FALSE)</f>
        <v>6160</v>
      </c>
      <c r="S72" s="8">
        <f>VLOOKUP(B72,'75- Deferred Amortization'!A:H,5,FALSE)</f>
        <v>8154</v>
      </c>
      <c r="T72" s="8">
        <f>VLOOKUP(B72,'75- Deferred Amortization'!A:H,6,FALSE)</f>
        <v>3331</v>
      </c>
      <c r="U72" s="8">
        <f>VLOOKUP(B72,'75- Deferred Amortization'!A:H,7,FALSE)</f>
        <v>1433</v>
      </c>
      <c r="V72" s="8">
        <f>VLOOKUP(B72,'75- Deferred Amortization'!A:H,8,FALSE)</f>
        <v>619</v>
      </c>
      <c r="X72">
        <v>2</v>
      </c>
      <c r="Y72" s="8">
        <f t="shared" si="27"/>
        <v>-37</v>
      </c>
      <c r="Z72" s="8">
        <f t="shared" si="28"/>
        <v>-2</v>
      </c>
      <c r="AB72" s="8">
        <f t="shared" si="38"/>
        <v>-3164</v>
      </c>
      <c r="AC72" s="8">
        <v>19741</v>
      </c>
      <c r="AD72" s="10">
        <v>22128</v>
      </c>
      <c r="AE72" s="10">
        <v>20880</v>
      </c>
      <c r="AF72" s="10">
        <v>1269</v>
      </c>
      <c r="AG72" s="8">
        <v>6838</v>
      </c>
      <c r="AH72" s="8">
        <v>0</v>
      </c>
      <c r="AI72" s="8">
        <v>0</v>
      </c>
      <c r="AJ72" s="8">
        <v>3657</v>
      </c>
      <c r="AK72" s="8">
        <v>2192</v>
      </c>
      <c r="AM72" s="8">
        <f t="shared" si="29"/>
        <v>-711</v>
      </c>
      <c r="AN72" s="8">
        <f t="shared" si="30"/>
        <v>-332</v>
      </c>
      <c r="AO72" s="10">
        <f t="shared" si="31"/>
        <v>-7600</v>
      </c>
      <c r="AP72" s="8">
        <f t="shared" si="32"/>
        <v>9182</v>
      </c>
      <c r="AQ72" s="10">
        <f t="shared" si="33"/>
        <v>-61</v>
      </c>
      <c r="AR72" s="8">
        <f t="shared" si="34"/>
        <v>-827</v>
      </c>
      <c r="AS72" s="8">
        <f t="shared" si="35"/>
        <v>-3164</v>
      </c>
      <c r="AT72" s="10">
        <f t="shared" si="36"/>
        <v>772</v>
      </c>
      <c r="AU72" s="8">
        <f t="shared" si="37"/>
        <v>0</v>
      </c>
      <c r="AV72" s="8">
        <f t="shared" si="39"/>
        <v>16577</v>
      </c>
    </row>
    <row r="73" spans="1:48">
      <c r="A73" t="s">
        <v>64</v>
      </c>
      <c r="B73">
        <v>32005</v>
      </c>
      <c r="C73" s="8">
        <f>VLOOKUP(B73,'ER Contributions'!A:D,4,FALSE)</f>
        <v>6056</v>
      </c>
      <c r="D73" s="9">
        <f>VLOOKUP(B73,'ER Contributions'!A:D,3,FALSE)</f>
        <v>3.1839999999999999E-4</v>
      </c>
      <c r="E73" s="8">
        <f>VLOOKUP(B73,'75 - Summary Exhibit'!A:N,3,FALSE)</f>
        <v>8468</v>
      </c>
      <c r="F73" s="10">
        <f>VLOOKUP(B73,'75 - Summary Exhibit'!A:N,4,FALSE)</f>
        <v>7421</v>
      </c>
      <c r="G73" s="10">
        <f>VLOOKUP(B73,'75 - Summary Exhibit'!A:N,5,FALSE)</f>
        <v>11061</v>
      </c>
      <c r="H73" s="10">
        <f>VLOOKUP(B73,'75 - Summary Exhibit'!A:N,6,FALSE)</f>
        <v>617</v>
      </c>
      <c r="I73" s="8">
        <f>VLOOKUP(B73,'75 - Summary Exhibit'!A:N,7,FALSE)</f>
        <v>1319</v>
      </c>
      <c r="J73" s="8">
        <f>VLOOKUP(B73,'75 - Summary Exhibit'!A:N,8,FALSE)</f>
        <v>4690</v>
      </c>
      <c r="K73" s="8">
        <f>VLOOKUP(B73,'75 - Summary Exhibit'!A:N,9,FALSE)</f>
        <v>0</v>
      </c>
      <c r="L73" s="8">
        <f>VLOOKUP(B73,'75 - Summary Exhibit'!A:N,10,FALSE)</f>
        <v>1446</v>
      </c>
      <c r="M73" s="8">
        <f>VLOOKUP(B73,'75 - Summary Exhibit'!A:N,11,FALSE)</f>
        <v>2633</v>
      </c>
      <c r="N73" s="8">
        <f>VLOOKUP(B73,'75 - Summary Exhibit'!A:N,12,FALSE)</f>
        <v>11779</v>
      </c>
      <c r="O73" s="8">
        <f>VLOOKUP(B73,'75 - Summary Exhibit'!A:N,13,FALSE)</f>
        <v>-79</v>
      </c>
      <c r="P73" s="8">
        <f t="shared" si="26"/>
        <v>11700</v>
      </c>
      <c r="Q73" s="8">
        <f>VLOOKUP(B73,'75- Deferred Amortization'!A:H,3,FALSE)</f>
        <v>4045</v>
      </c>
      <c r="R73" s="8">
        <f>VLOOKUP(B73,'75- Deferred Amortization'!A:H,4,FALSE)</f>
        <v>2281</v>
      </c>
      <c r="S73" s="8">
        <f>VLOOKUP(B73,'75- Deferred Amortization'!A:H,5,FALSE)</f>
        <v>3652</v>
      </c>
      <c r="T73" s="8">
        <f>VLOOKUP(B73,'75- Deferred Amortization'!A:H,6,FALSE)</f>
        <v>1186</v>
      </c>
      <c r="U73" s="8">
        <f>VLOOKUP(B73,'75- Deferred Amortization'!A:H,7,FALSE)</f>
        <v>311</v>
      </c>
      <c r="V73" s="8">
        <f>VLOOKUP(B73,'75- Deferred Amortization'!A:H,8,FALSE)</f>
        <v>174</v>
      </c>
      <c r="X73">
        <v>2</v>
      </c>
      <c r="Y73" s="8">
        <f t="shared" si="27"/>
        <v>-19</v>
      </c>
      <c r="Z73" s="8">
        <f t="shared" si="28"/>
        <v>0</v>
      </c>
      <c r="AB73" s="8">
        <f t="shared" si="38"/>
        <v>-932</v>
      </c>
      <c r="AC73" s="8">
        <v>9400</v>
      </c>
      <c r="AD73" s="10">
        <v>10537</v>
      </c>
      <c r="AE73" s="10">
        <v>9943</v>
      </c>
      <c r="AF73" s="10">
        <v>604</v>
      </c>
      <c r="AG73" s="8">
        <v>1796</v>
      </c>
      <c r="AH73" s="8">
        <v>0</v>
      </c>
      <c r="AI73" s="8">
        <v>0</v>
      </c>
      <c r="AJ73" s="8">
        <v>1741</v>
      </c>
      <c r="AK73" s="8">
        <v>2895</v>
      </c>
      <c r="AM73" s="8">
        <f t="shared" si="29"/>
        <v>-477</v>
      </c>
      <c r="AN73" s="8">
        <f t="shared" si="30"/>
        <v>-262</v>
      </c>
      <c r="AO73" s="10">
        <f t="shared" si="31"/>
        <v>-3116</v>
      </c>
      <c r="AP73" s="8">
        <f t="shared" si="32"/>
        <v>4690</v>
      </c>
      <c r="AQ73" s="10">
        <f t="shared" si="33"/>
        <v>13</v>
      </c>
      <c r="AR73" s="8">
        <f t="shared" si="34"/>
        <v>-295</v>
      </c>
      <c r="AS73" s="8">
        <f t="shared" si="35"/>
        <v>-932</v>
      </c>
      <c r="AT73" s="10">
        <f t="shared" si="36"/>
        <v>1118</v>
      </c>
      <c r="AU73" s="8">
        <f t="shared" si="37"/>
        <v>0</v>
      </c>
      <c r="AV73" s="8">
        <f t="shared" si="39"/>
        <v>8468</v>
      </c>
    </row>
    <row r="74" spans="1:48">
      <c r="A74" t="s">
        <v>107</v>
      </c>
      <c r="B74">
        <v>39105</v>
      </c>
      <c r="C74" s="8">
        <f>VLOOKUP(B74,'ER Contributions'!A:D,4,FALSE)</f>
        <v>12485</v>
      </c>
      <c r="D74" s="9">
        <f>VLOOKUP(B74,'ER Contributions'!A:D,3,FALSE)</f>
        <v>5.7799999999999995E-4</v>
      </c>
      <c r="E74" s="8">
        <f>VLOOKUP(B74,'75 - Summary Exhibit'!A:N,3,FALSE)</f>
        <v>15372</v>
      </c>
      <c r="F74" s="10">
        <f>VLOOKUP(B74,'75 - Summary Exhibit'!A:N,4,FALSE)</f>
        <v>13472</v>
      </c>
      <c r="G74" s="10">
        <f>VLOOKUP(B74,'75 - Summary Exhibit'!A:N,5,FALSE)</f>
        <v>20079</v>
      </c>
      <c r="H74" s="10">
        <f>VLOOKUP(B74,'75 - Summary Exhibit'!A:N,6,FALSE)</f>
        <v>1120</v>
      </c>
      <c r="I74" s="8">
        <f>VLOOKUP(B74,'75 - Summary Exhibit'!A:N,7,FALSE)</f>
        <v>12088</v>
      </c>
      <c r="J74" s="8">
        <f>VLOOKUP(B74,'75 - Summary Exhibit'!A:N,8,FALSE)</f>
        <v>8515</v>
      </c>
      <c r="K74" s="8">
        <f>VLOOKUP(B74,'75 - Summary Exhibit'!A:N,9,FALSE)</f>
        <v>0</v>
      </c>
      <c r="L74" s="8">
        <f>VLOOKUP(B74,'75 - Summary Exhibit'!A:N,10,FALSE)</f>
        <v>2624</v>
      </c>
      <c r="M74" s="8">
        <f>VLOOKUP(B74,'75 - Summary Exhibit'!A:N,11,FALSE)</f>
        <v>0</v>
      </c>
      <c r="N74" s="8">
        <f>VLOOKUP(B74,'75 - Summary Exhibit'!A:N,12,FALSE)</f>
        <v>21383</v>
      </c>
      <c r="O74" s="8">
        <f>VLOOKUP(B74,'75 - Summary Exhibit'!A:N,13,FALSE)</f>
        <v>4105</v>
      </c>
      <c r="P74" s="8">
        <f t="shared" si="26"/>
        <v>25488</v>
      </c>
      <c r="Q74" s="8">
        <f>VLOOKUP(B74,'75- Deferred Amortization'!A:H,3,FALSE)</f>
        <v>11596</v>
      </c>
      <c r="R74" s="8">
        <f>VLOOKUP(B74,'75- Deferred Amortization'!A:H,4,FALSE)</f>
        <v>7322</v>
      </c>
      <c r="S74" s="8">
        <f>VLOOKUP(B74,'75- Deferred Amortization'!A:H,5,FALSE)</f>
        <v>9424</v>
      </c>
      <c r="T74" s="8">
        <f>VLOOKUP(B74,'75- Deferred Amortization'!A:H,6,FALSE)</f>
        <v>4944</v>
      </c>
      <c r="U74" s="8">
        <f>VLOOKUP(B74,'75- Deferred Amortization'!A:H,7,FALSE)</f>
        <v>1421</v>
      </c>
      <c r="V74" s="8">
        <f>VLOOKUP(B74,'75- Deferred Amortization'!A:H,8,FALSE)</f>
        <v>915</v>
      </c>
      <c r="X74">
        <v>2</v>
      </c>
      <c r="Y74" s="8">
        <f t="shared" si="27"/>
        <v>-35</v>
      </c>
      <c r="Z74" s="8">
        <f t="shared" si="28"/>
        <v>-2</v>
      </c>
      <c r="AB74" s="8">
        <f t="shared" si="38"/>
        <v>-1376</v>
      </c>
      <c r="AC74" s="8">
        <v>16748</v>
      </c>
      <c r="AD74" s="10">
        <v>18773</v>
      </c>
      <c r="AE74" s="10">
        <v>17714</v>
      </c>
      <c r="AF74" s="10">
        <v>1076</v>
      </c>
      <c r="AG74" s="8">
        <v>15574</v>
      </c>
      <c r="AH74" s="8">
        <v>0</v>
      </c>
      <c r="AI74" s="8">
        <v>0</v>
      </c>
      <c r="AJ74" s="8">
        <v>3103</v>
      </c>
      <c r="AK74" s="8">
        <v>0</v>
      </c>
      <c r="AM74" s="8">
        <f t="shared" si="29"/>
        <v>-3486</v>
      </c>
      <c r="AN74" s="8">
        <f t="shared" si="30"/>
        <v>0</v>
      </c>
      <c r="AO74" s="10">
        <f t="shared" si="31"/>
        <v>-5301</v>
      </c>
      <c r="AP74" s="8">
        <f t="shared" si="32"/>
        <v>8515</v>
      </c>
      <c r="AQ74" s="10">
        <f t="shared" si="33"/>
        <v>44</v>
      </c>
      <c r="AR74" s="8">
        <f t="shared" si="34"/>
        <v>-479</v>
      </c>
      <c r="AS74" s="8">
        <f t="shared" si="35"/>
        <v>-1376</v>
      </c>
      <c r="AT74" s="10">
        <f t="shared" si="36"/>
        <v>2365</v>
      </c>
      <c r="AU74" s="8">
        <f t="shared" si="37"/>
        <v>0</v>
      </c>
      <c r="AV74" s="8">
        <f t="shared" si="39"/>
        <v>15372</v>
      </c>
    </row>
    <row r="75" spans="1:48">
      <c r="A75" t="s">
        <v>108</v>
      </c>
      <c r="B75">
        <v>39205</v>
      </c>
      <c r="C75" s="8">
        <f>VLOOKUP(B75,'ER Contributions'!A:D,4,FALSE)</f>
        <v>100969</v>
      </c>
      <c r="D75" s="9">
        <f>VLOOKUP(B75,'ER Contributions'!A:D,3,FALSE)</f>
        <v>5.0997000000000004E-3</v>
      </c>
      <c r="E75" s="8">
        <f>VLOOKUP(B75,'75 - Summary Exhibit'!A:N,3,FALSE)</f>
        <v>135632</v>
      </c>
      <c r="F75" s="10">
        <f>VLOOKUP(B75,'75 - Summary Exhibit'!A:N,4,FALSE)</f>
        <v>118864</v>
      </c>
      <c r="G75" s="10">
        <f>VLOOKUP(B75,'75 - Summary Exhibit'!A:N,5,FALSE)</f>
        <v>177153</v>
      </c>
      <c r="H75" s="10">
        <f>VLOOKUP(B75,'75 - Summary Exhibit'!A:N,6,FALSE)</f>
        <v>9883</v>
      </c>
      <c r="I75" s="8">
        <f>VLOOKUP(B75,'75 - Summary Exhibit'!A:N,7,FALSE)</f>
        <v>15912</v>
      </c>
      <c r="J75" s="8">
        <f>VLOOKUP(B75,'75 - Summary Exhibit'!A:N,8,FALSE)</f>
        <v>75124</v>
      </c>
      <c r="K75" s="8">
        <f>VLOOKUP(B75,'75 - Summary Exhibit'!A:N,9,FALSE)</f>
        <v>0</v>
      </c>
      <c r="L75" s="8">
        <f>VLOOKUP(B75,'75 - Summary Exhibit'!A:N,10,FALSE)</f>
        <v>23153</v>
      </c>
      <c r="M75" s="8">
        <f>VLOOKUP(B75,'75 - Summary Exhibit'!A:N,11,FALSE)</f>
        <v>32872</v>
      </c>
      <c r="N75" s="8">
        <f>VLOOKUP(B75,'75 - Summary Exhibit'!A:N,12,FALSE)</f>
        <v>188663</v>
      </c>
      <c r="O75" s="8">
        <f>VLOOKUP(B75,'75 - Summary Exhibit'!A:N,13,FALSE)</f>
        <v>-3406</v>
      </c>
      <c r="P75" s="8">
        <f t="shared" si="26"/>
        <v>185257</v>
      </c>
      <c r="Q75" s="8">
        <f>VLOOKUP(B75,'75- Deferred Amortization'!A:H,3,FALSE)</f>
        <v>62683</v>
      </c>
      <c r="R75" s="8">
        <f>VLOOKUP(B75,'75- Deferred Amortization'!A:H,4,FALSE)</f>
        <v>36125</v>
      </c>
      <c r="S75" s="8">
        <f>VLOOKUP(B75,'75- Deferred Amortization'!A:H,5,FALSE)</f>
        <v>58690</v>
      </c>
      <c r="T75" s="8">
        <f>VLOOKUP(B75,'75- Deferred Amortization'!A:H,6,FALSE)</f>
        <v>19189</v>
      </c>
      <c r="U75" s="8">
        <f>VLOOKUP(B75,'75- Deferred Amortization'!A:H,7,FALSE)</f>
        <v>9322</v>
      </c>
      <c r="V75" s="8">
        <f>VLOOKUP(B75,'75- Deferred Amortization'!A:H,8,FALSE)</f>
        <v>4653</v>
      </c>
      <c r="X75">
        <v>2</v>
      </c>
      <c r="Y75" s="8">
        <f t="shared" si="27"/>
        <v>-308</v>
      </c>
      <c r="Z75" s="8">
        <f t="shared" si="28"/>
        <v>1</v>
      </c>
      <c r="AB75" s="8">
        <f t="shared" si="38"/>
        <v>-9428</v>
      </c>
      <c r="AC75" s="8">
        <v>145060</v>
      </c>
      <c r="AD75" s="10">
        <v>162600</v>
      </c>
      <c r="AE75" s="10">
        <v>153428</v>
      </c>
      <c r="AF75" s="10">
        <v>9323</v>
      </c>
      <c r="AG75" s="8">
        <v>20519</v>
      </c>
      <c r="AH75" s="8">
        <v>0</v>
      </c>
      <c r="AI75" s="8">
        <v>0</v>
      </c>
      <c r="AJ75" s="8">
        <v>26873</v>
      </c>
      <c r="AK75" s="8">
        <v>34310</v>
      </c>
      <c r="AM75" s="8">
        <f t="shared" si="29"/>
        <v>-4607</v>
      </c>
      <c r="AN75" s="8">
        <f t="shared" si="30"/>
        <v>-1438</v>
      </c>
      <c r="AO75" s="10">
        <f t="shared" si="31"/>
        <v>-43736</v>
      </c>
      <c r="AP75" s="8">
        <f t="shared" si="32"/>
        <v>75124</v>
      </c>
      <c r="AQ75" s="10">
        <f t="shared" si="33"/>
        <v>560</v>
      </c>
      <c r="AR75" s="8">
        <f t="shared" si="34"/>
        <v>-3720</v>
      </c>
      <c r="AS75" s="8">
        <f t="shared" si="35"/>
        <v>-9428</v>
      </c>
      <c r="AT75" s="10">
        <f t="shared" si="36"/>
        <v>23725</v>
      </c>
      <c r="AU75" s="8">
        <f t="shared" si="37"/>
        <v>0</v>
      </c>
      <c r="AV75" s="8">
        <f t="shared" si="39"/>
        <v>135632</v>
      </c>
    </row>
    <row r="76" spans="1:48">
      <c r="A76" t="s">
        <v>109</v>
      </c>
      <c r="B76">
        <v>39605</v>
      </c>
      <c r="C76" s="8">
        <f>VLOOKUP(B76,'ER Contributions'!A:D,4,FALSE)</f>
        <v>15146</v>
      </c>
      <c r="D76" s="9">
        <f>VLOOKUP(B76,'ER Contributions'!A:D,3,FALSE)</f>
        <v>7.4689999999999999E-4</v>
      </c>
      <c r="E76" s="8">
        <f>VLOOKUP(B76,'75 - Summary Exhibit'!A:N,3,FALSE)</f>
        <v>19865</v>
      </c>
      <c r="F76" s="10">
        <f>VLOOKUP(B76,'75 - Summary Exhibit'!A:N,4,FALSE)</f>
        <v>17409</v>
      </c>
      <c r="G76" s="10">
        <f>VLOOKUP(B76,'75 - Summary Exhibit'!A:N,5,FALSE)</f>
        <v>25946</v>
      </c>
      <c r="H76" s="10">
        <f>VLOOKUP(B76,'75 - Summary Exhibit'!A:N,6,FALSE)</f>
        <v>1447</v>
      </c>
      <c r="I76" s="8">
        <f>VLOOKUP(B76,'75 - Summary Exhibit'!A:N,7,FALSE)</f>
        <v>5398</v>
      </c>
      <c r="J76" s="8">
        <f>VLOOKUP(B76,'75 - Summary Exhibit'!A:N,8,FALSE)</f>
        <v>11003</v>
      </c>
      <c r="K76" s="8">
        <f>VLOOKUP(B76,'75 - Summary Exhibit'!A:N,9,FALSE)</f>
        <v>0</v>
      </c>
      <c r="L76" s="8">
        <f>VLOOKUP(B76,'75 - Summary Exhibit'!A:N,10,FALSE)</f>
        <v>3391</v>
      </c>
      <c r="M76" s="8">
        <f>VLOOKUP(B76,'75 - Summary Exhibit'!A:N,11,FALSE)</f>
        <v>1569</v>
      </c>
      <c r="N76" s="8">
        <f>VLOOKUP(B76,'75 - Summary Exhibit'!A:N,12,FALSE)</f>
        <v>27632</v>
      </c>
      <c r="O76" s="8">
        <f>VLOOKUP(B76,'75 - Summary Exhibit'!A:N,13,FALSE)</f>
        <v>1314</v>
      </c>
      <c r="P76" s="8">
        <f t="shared" si="26"/>
        <v>28946</v>
      </c>
      <c r="Q76" s="8">
        <f>VLOOKUP(B76,'75- Deferred Amortization'!A:H,3,FALSE)</f>
        <v>10994</v>
      </c>
      <c r="R76" s="8">
        <f>VLOOKUP(B76,'75- Deferred Amortization'!A:H,4,FALSE)</f>
        <v>7452</v>
      </c>
      <c r="S76" s="8">
        <f>VLOOKUP(B76,'75- Deferred Amortization'!A:H,5,FALSE)</f>
        <v>9683</v>
      </c>
      <c r="T76" s="8">
        <f>VLOOKUP(B76,'75- Deferred Amortization'!A:H,6,FALSE)</f>
        <v>3897</v>
      </c>
      <c r="U76" s="8">
        <f>VLOOKUP(B76,'75- Deferred Amortization'!A:H,7,FALSE)</f>
        <v>1386</v>
      </c>
      <c r="V76" s="8">
        <f>VLOOKUP(B76,'75- Deferred Amortization'!A:H,8,FALSE)</f>
        <v>828</v>
      </c>
      <c r="X76">
        <v>2</v>
      </c>
      <c r="Y76" s="8">
        <f t="shared" si="27"/>
        <v>-45</v>
      </c>
      <c r="Z76" s="8">
        <f t="shared" si="28"/>
        <v>-3</v>
      </c>
      <c r="AB76" s="8">
        <f t="shared" si="38"/>
        <v>-4088</v>
      </c>
      <c r="AC76" s="8">
        <v>23953</v>
      </c>
      <c r="AD76" s="10">
        <v>26849</v>
      </c>
      <c r="AE76" s="10">
        <v>25335</v>
      </c>
      <c r="AF76" s="10">
        <v>1540</v>
      </c>
      <c r="AG76" s="8">
        <v>4830</v>
      </c>
      <c r="AH76" s="8">
        <v>0</v>
      </c>
      <c r="AI76" s="8">
        <v>0</v>
      </c>
      <c r="AJ76" s="8">
        <v>4437</v>
      </c>
      <c r="AK76" s="8">
        <v>1947</v>
      </c>
      <c r="AM76" s="8">
        <f t="shared" si="29"/>
        <v>568</v>
      </c>
      <c r="AN76" s="8">
        <f t="shared" si="30"/>
        <v>-378</v>
      </c>
      <c r="AO76" s="10">
        <f t="shared" si="31"/>
        <v>-9440</v>
      </c>
      <c r="AP76" s="8">
        <f t="shared" si="32"/>
        <v>11003</v>
      </c>
      <c r="AQ76" s="10">
        <f t="shared" si="33"/>
        <v>-93</v>
      </c>
      <c r="AR76" s="8">
        <f t="shared" si="34"/>
        <v>-1046</v>
      </c>
      <c r="AS76" s="8">
        <f t="shared" si="35"/>
        <v>-4088</v>
      </c>
      <c r="AT76" s="10">
        <f t="shared" si="36"/>
        <v>611</v>
      </c>
      <c r="AU76" s="8">
        <f t="shared" si="37"/>
        <v>0</v>
      </c>
      <c r="AV76" s="8">
        <f t="shared" si="39"/>
        <v>19865</v>
      </c>
    </row>
    <row r="77" spans="1:48">
      <c r="A77" t="s">
        <v>60</v>
      </c>
      <c r="B77">
        <v>31205</v>
      </c>
      <c r="C77" s="8">
        <f>VLOOKUP(B77,'ER Contributions'!A:D,4,FALSE)</f>
        <v>8960</v>
      </c>
      <c r="D77" s="9">
        <f>VLOOKUP(B77,'ER Contributions'!A:D,3,FALSE)</f>
        <v>3.9189999999999998E-4</v>
      </c>
      <c r="E77" s="8">
        <f>VLOOKUP(B77,'75 - Summary Exhibit'!A:N,3,FALSE)</f>
        <v>10423</v>
      </c>
      <c r="F77" s="10">
        <f>VLOOKUP(B77,'75 - Summary Exhibit'!A:N,4,FALSE)</f>
        <v>9134</v>
      </c>
      <c r="G77" s="10">
        <f>VLOOKUP(B77,'75 - Summary Exhibit'!A:N,5,FALSE)</f>
        <v>13614</v>
      </c>
      <c r="H77" s="10">
        <f>VLOOKUP(B77,'75 - Summary Exhibit'!A:N,6,FALSE)</f>
        <v>760</v>
      </c>
      <c r="I77" s="8">
        <f>VLOOKUP(B77,'75 - Summary Exhibit'!A:N,7,FALSE)</f>
        <v>6625</v>
      </c>
      <c r="J77" s="8">
        <f>VLOOKUP(B77,'75 - Summary Exhibit'!A:N,8,FALSE)</f>
        <v>5773</v>
      </c>
      <c r="K77" s="8">
        <f>VLOOKUP(B77,'75 - Summary Exhibit'!A:N,9,FALSE)</f>
        <v>0</v>
      </c>
      <c r="L77" s="8">
        <f>VLOOKUP(B77,'75 - Summary Exhibit'!A:N,10,FALSE)</f>
        <v>1779</v>
      </c>
      <c r="M77" s="8">
        <f>VLOOKUP(B77,'75 - Summary Exhibit'!A:N,11,FALSE)</f>
        <v>394</v>
      </c>
      <c r="N77" s="8">
        <f>VLOOKUP(B77,'75 - Summary Exhibit'!A:N,12,FALSE)</f>
        <v>14498</v>
      </c>
      <c r="O77" s="8">
        <f>VLOOKUP(B77,'75 - Summary Exhibit'!A:N,13,FALSE)</f>
        <v>2036</v>
      </c>
      <c r="P77" s="8">
        <f t="shared" si="26"/>
        <v>16534</v>
      </c>
      <c r="Q77" s="8">
        <f>VLOOKUP(B77,'75- Deferred Amortization'!A:H,3,FALSE)</f>
        <v>7118</v>
      </c>
      <c r="R77" s="8">
        <f>VLOOKUP(B77,'75- Deferred Amortization'!A:H,4,FALSE)</f>
        <v>4829</v>
      </c>
      <c r="S77" s="8">
        <f>VLOOKUP(B77,'75- Deferred Amortization'!A:H,5,FALSE)</f>
        <v>5859</v>
      </c>
      <c r="T77" s="8">
        <f>VLOOKUP(B77,'75- Deferred Amortization'!A:H,6,FALSE)</f>
        <v>2827</v>
      </c>
      <c r="U77" s="8">
        <f>VLOOKUP(B77,'75- Deferred Amortization'!A:H,7,FALSE)</f>
        <v>1060</v>
      </c>
      <c r="V77" s="8">
        <f>VLOOKUP(B77,'75- Deferred Amortization'!A:H,8,FALSE)</f>
        <v>494</v>
      </c>
      <c r="X77">
        <v>2</v>
      </c>
      <c r="Y77" s="8">
        <f t="shared" si="27"/>
        <v>-23</v>
      </c>
      <c r="Z77" s="8">
        <f t="shared" si="28"/>
        <v>0</v>
      </c>
      <c r="AB77" s="8">
        <f t="shared" si="38"/>
        <v>-1586</v>
      </c>
      <c r="AC77" s="8">
        <v>12009</v>
      </c>
      <c r="AD77" s="10">
        <v>13461</v>
      </c>
      <c r="AE77" s="10">
        <v>12702</v>
      </c>
      <c r="AF77" s="10">
        <v>772</v>
      </c>
      <c r="AG77" s="8">
        <v>7120</v>
      </c>
      <c r="AH77" s="8">
        <v>0</v>
      </c>
      <c r="AI77" s="8">
        <v>0</v>
      </c>
      <c r="AJ77" s="8">
        <v>2225</v>
      </c>
      <c r="AK77" s="8">
        <v>460</v>
      </c>
      <c r="AM77" s="8">
        <f t="shared" si="29"/>
        <v>-495</v>
      </c>
      <c r="AN77" s="8">
        <f t="shared" si="30"/>
        <v>-66</v>
      </c>
      <c r="AO77" s="10">
        <f t="shared" si="31"/>
        <v>-4327</v>
      </c>
      <c r="AP77" s="8">
        <f t="shared" si="32"/>
        <v>5773</v>
      </c>
      <c r="AQ77" s="10">
        <f t="shared" si="33"/>
        <v>-12</v>
      </c>
      <c r="AR77" s="8">
        <f t="shared" si="34"/>
        <v>-446</v>
      </c>
      <c r="AS77" s="8">
        <f t="shared" si="35"/>
        <v>-1586</v>
      </c>
      <c r="AT77" s="10">
        <f t="shared" si="36"/>
        <v>912</v>
      </c>
      <c r="AU77" s="8">
        <f t="shared" si="37"/>
        <v>0</v>
      </c>
      <c r="AV77" s="8">
        <f t="shared" si="39"/>
        <v>10423</v>
      </c>
    </row>
    <row r="78" spans="1:48">
      <c r="A78" t="s">
        <v>110</v>
      </c>
      <c r="B78">
        <v>39705</v>
      </c>
      <c r="C78" s="8">
        <f>VLOOKUP(B78,'ER Contributions'!A:D,4,FALSE)</f>
        <v>15436</v>
      </c>
      <c r="D78" s="9">
        <f>VLOOKUP(B78,'ER Contributions'!A:D,3,FALSE)</f>
        <v>7.651E-4</v>
      </c>
      <c r="E78" s="8">
        <f>VLOOKUP(B78,'75 - Summary Exhibit'!A:N,3,FALSE)</f>
        <v>20349</v>
      </c>
      <c r="F78" s="10">
        <f>VLOOKUP(B78,'75 - Summary Exhibit'!A:N,4,FALSE)</f>
        <v>17833</v>
      </c>
      <c r="G78" s="10">
        <f>VLOOKUP(B78,'75 - Summary Exhibit'!A:N,5,FALSE)</f>
        <v>26578</v>
      </c>
      <c r="H78" s="10">
        <f>VLOOKUP(B78,'75 - Summary Exhibit'!A:N,6,FALSE)</f>
        <v>1483</v>
      </c>
      <c r="I78" s="8">
        <f>VLOOKUP(B78,'75 - Summary Exhibit'!A:N,7,FALSE)</f>
        <v>3015</v>
      </c>
      <c r="J78" s="8">
        <f>VLOOKUP(B78,'75 - Summary Exhibit'!A:N,8,FALSE)</f>
        <v>11271</v>
      </c>
      <c r="K78" s="8">
        <f>VLOOKUP(B78,'75 - Summary Exhibit'!A:N,9,FALSE)</f>
        <v>0</v>
      </c>
      <c r="L78" s="8">
        <f>VLOOKUP(B78,'75 - Summary Exhibit'!A:N,10,FALSE)</f>
        <v>3474</v>
      </c>
      <c r="M78" s="8">
        <f>VLOOKUP(B78,'75 - Summary Exhibit'!A:N,11,FALSE)</f>
        <v>733</v>
      </c>
      <c r="N78" s="8">
        <f>VLOOKUP(B78,'75 - Summary Exhibit'!A:N,12,FALSE)</f>
        <v>28305</v>
      </c>
      <c r="O78" s="8">
        <f>VLOOKUP(B78,'75 - Summary Exhibit'!A:N,13,FALSE)</f>
        <v>780</v>
      </c>
      <c r="P78" s="8">
        <f t="shared" si="26"/>
        <v>29085</v>
      </c>
      <c r="Q78" s="8">
        <f>VLOOKUP(B78,'75- Deferred Amortization'!A:H,3,FALSE)</f>
        <v>10694</v>
      </c>
      <c r="R78" s="8">
        <f>VLOOKUP(B78,'75- Deferred Amortization'!A:H,4,FALSE)</f>
        <v>6567</v>
      </c>
      <c r="S78" s="8">
        <f>VLOOKUP(B78,'75- Deferred Amortization'!A:H,5,FALSE)</f>
        <v>9445</v>
      </c>
      <c r="T78" s="8">
        <f>VLOOKUP(B78,'75- Deferred Amortization'!A:H,6,FALSE)</f>
        <v>3522</v>
      </c>
      <c r="U78" s="8">
        <f>VLOOKUP(B78,'75- Deferred Amortization'!A:H,7,FALSE)</f>
        <v>1956</v>
      </c>
      <c r="V78" s="8">
        <f>VLOOKUP(B78,'75- Deferred Amortization'!A:H,8,FALSE)</f>
        <v>1248</v>
      </c>
      <c r="X78">
        <v>2</v>
      </c>
      <c r="Y78" s="8">
        <f t="shared" si="27"/>
        <v>-47</v>
      </c>
      <c r="Z78" s="8">
        <f t="shared" si="28"/>
        <v>-1</v>
      </c>
      <c r="AB78" s="8">
        <f t="shared" si="38"/>
        <v>-2581</v>
      </c>
      <c r="AC78" s="8">
        <v>22930</v>
      </c>
      <c r="AD78" s="10">
        <v>25702</v>
      </c>
      <c r="AE78" s="10">
        <v>24252</v>
      </c>
      <c r="AF78" s="10">
        <v>1474</v>
      </c>
      <c r="AG78" s="8">
        <v>3445</v>
      </c>
      <c r="AH78" s="8">
        <v>0</v>
      </c>
      <c r="AI78" s="8">
        <v>0</v>
      </c>
      <c r="AJ78" s="8">
        <v>4248</v>
      </c>
      <c r="AK78" s="8">
        <v>917</v>
      </c>
      <c r="AM78" s="8">
        <f t="shared" si="29"/>
        <v>-430</v>
      </c>
      <c r="AN78" s="8">
        <f t="shared" si="30"/>
        <v>-184</v>
      </c>
      <c r="AO78" s="10">
        <f t="shared" si="31"/>
        <v>-7869</v>
      </c>
      <c r="AP78" s="8">
        <f t="shared" si="32"/>
        <v>11271</v>
      </c>
      <c r="AQ78" s="10">
        <f t="shared" si="33"/>
        <v>9</v>
      </c>
      <c r="AR78" s="8">
        <f t="shared" si="34"/>
        <v>-774</v>
      </c>
      <c r="AS78" s="8">
        <f t="shared" si="35"/>
        <v>-2581</v>
      </c>
      <c r="AT78" s="10">
        <f t="shared" si="36"/>
        <v>2326</v>
      </c>
      <c r="AU78" s="8">
        <f t="shared" si="37"/>
        <v>0</v>
      </c>
      <c r="AV78" s="8">
        <f t="shared" si="39"/>
        <v>20349</v>
      </c>
    </row>
    <row r="79" spans="1:48">
      <c r="A79" t="s">
        <v>111</v>
      </c>
      <c r="B79">
        <v>39805</v>
      </c>
      <c r="C79" s="8">
        <f>VLOOKUP(B79,'ER Contributions'!A:D,4,FALSE)</f>
        <v>7894</v>
      </c>
      <c r="D79" s="9">
        <f>VLOOKUP(B79,'ER Contributions'!A:D,3,FALSE)</f>
        <v>3.6739999999999999E-4</v>
      </c>
      <c r="E79" s="8">
        <f>VLOOKUP(B79,'75 - Summary Exhibit'!A:N,3,FALSE)</f>
        <v>9771</v>
      </c>
      <c r="F79" s="10">
        <f>VLOOKUP(B79,'75 - Summary Exhibit'!A:N,4,FALSE)</f>
        <v>8563</v>
      </c>
      <c r="G79" s="10">
        <f>VLOOKUP(B79,'75 - Summary Exhibit'!A:N,5,FALSE)</f>
        <v>12763</v>
      </c>
      <c r="H79" s="10">
        <f>VLOOKUP(B79,'75 - Summary Exhibit'!A:N,6,FALSE)</f>
        <v>712</v>
      </c>
      <c r="I79" s="8">
        <f>VLOOKUP(B79,'75 - Summary Exhibit'!A:N,7,FALSE)</f>
        <v>3520</v>
      </c>
      <c r="J79" s="8">
        <f>VLOOKUP(B79,'75 - Summary Exhibit'!A:N,8,FALSE)</f>
        <v>5412</v>
      </c>
      <c r="K79" s="8">
        <f>VLOOKUP(B79,'75 - Summary Exhibit'!A:N,9,FALSE)</f>
        <v>0</v>
      </c>
      <c r="L79" s="8">
        <f>VLOOKUP(B79,'75 - Summary Exhibit'!A:N,10,FALSE)</f>
        <v>1668</v>
      </c>
      <c r="M79" s="8">
        <f>VLOOKUP(B79,'75 - Summary Exhibit'!A:N,11,FALSE)</f>
        <v>35</v>
      </c>
      <c r="N79" s="8">
        <f>VLOOKUP(B79,'75 - Summary Exhibit'!A:N,12,FALSE)</f>
        <v>13592</v>
      </c>
      <c r="O79" s="8">
        <f>VLOOKUP(B79,'75 - Summary Exhibit'!A:N,13,FALSE)</f>
        <v>1397</v>
      </c>
      <c r="P79" s="8">
        <f t="shared" si="26"/>
        <v>14989</v>
      </c>
      <c r="Q79" s="8">
        <f>VLOOKUP(B79,'75- Deferred Amortization'!A:H,3,FALSE)</f>
        <v>6156</v>
      </c>
      <c r="R79" s="8">
        <f>VLOOKUP(B79,'75- Deferred Amortization'!A:H,4,FALSE)</f>
        <v>3795</v>
      </c>
      <c r="S79" s="8">
        <f>VLOOKUP(B79,'75- Deferred Amortization'!A:H,5,FALSE)</f>
        <v>4874</v>
      </c>
      <c r="T79" s="8">
        <f>VLOOKUP(B79,'75- Deferred Amortization'!A:H,6,FALSE)</f>
        <v>2023</v>
      </c>
      <c r="U79" s="8">
        <f>VLOOKUP(B79,'75- Deferred Amortization'!A:H,7,FALSE)</f>
        <v>1044</v>
      </c>
      <c r="V79" s="8">
        <f>VLOOKUP(B79,'75- Deferred Amortization'!A:H,8,FALSE)</f>
        <v>550</v>
      </c>
      <c r="X79">
        <v>2</v>
      </c>
      <c r="Y79" s="8">
        <f t="shared" si="27"/>
        <v>-21</v>
      </c>
      <c r="Z79" s="8">
        <f t="shared" si="28"/>
        <v>1</v>
      </c>
      <c r="AB79" s="8">
        <f t="shared" si="38"/>
        <v>-1643</v>
      </c>
      <c r="AC79" s="8">
        <v>11414</v>
      </c>
      <c r="AD79" s="10">
        <v>12794</v>
      </c>
      <c r="AE79" s="10">
        <v>12073</v>
      </c>
      <c r="AF79" s="10">
        <v>734</v>
      </c>
      <c r="AG79" s="8">
        <v>3759</v>
      </c>
      <c r="AH79" s="8">
        <v>0</v>
      </c>
      <c r="AI79" s="8">
        <v>0</v>
      </c>
      <c r="AJ79" s="8">
        <v>2115</v>
      </c>
      <c r="AK79" s="8">
        <v>43</v>
      </c>
      <c r="AM79" s="8">
        <f t="shared" si="29"/>
        <v>-239</v>
      </c>
      <c r="AN79" s="8">
        <f t="shared" si="30"/>
        <v>-8</v>
      </c>
      <c r="AO79" s="10">
        <f t="shared" si="31"/>
        <v>-4231</v>
      </c>
      <c r="AP79" s="8">
        <f t="shared" si="32"/>
        <v>5412</v>
      </c>
      <c r="AQ79" s="10">
        <f t="shared" si="33"/>
        <v>-22</v>
      </c>
      <c r="AR79" s="8">
        <f t="shared" si="34"/>
        <v>-447</v>
      </c>
      <c r="AS79" s="8">
        <f t="shared" si="35"/>
        <v>-1643</v>
      </c>
      <c r="AT79" s="10">
        <f t="shared" si="36"/>
        <v>690</v>
      </c>
      <c r="AU79" s="8">
        <f t="shared" si="37"/>
        <v>0</v>
      </c>
      <c r="AV79" s="8">
        <f t="shared" si="39"/>
        <v>9771</v>
      </c>
    </row>
    <row r="80" spans="1:48">
      <c r="A80" t="s">
        <v>112</v>
      </c>
      <c r="B80">
        <v>11310</v>
      </c>
      <c r="C80" s="8">
        <f>VLOOKUP(B80,'ER Contributions'!A:D,4,FALSE)</f>
        <v>11131</v>
      </c>
      <c r="D80" s="9">
        <f>VLOOKUP(B80,'ER Contributions'!A:D,3,FALSE)</f>
        <v>4.9379999999999997E-4</v>
      </c>
      <c r="E80" s="8">
        <f>VLOOKUP(B80,'75 - Summary Exhibit'!A:N,3,FALSE)</f>
        <v>13133</v>
      </c>
      <c r="F80" s="10">
        <f>VLOOKUP(B80,'75 - Summary Exhibit'!A:N,4,FALSE)</f>
        <v>11509</v>
      </c>
      <c r="G80" s="10">
        <f>VLOOKUP(B80,'75 - Summary Exhibit'!A:N,5,FALSE)</f>
        <v>17154</v>
      </c>
      <c r="H80" s="10">
        <f>VLOOKUP(B80,'75 - Summary Exhibit'!A:N,6,FALSE)</f>
        <v>957</v>
      </c>
      <c r="I80" s="8">
        <f>VLOOKUP(B80,'75 - Summary Exhibit'!A:N,7,FALSE)</f>
        <v>3658</v>
      </c>
      <c r="J80" s="8">
        <f>VLOOKUP(B80,'75 - Summary Exhibit'!A:N,8,FALSE)</f>
        <v>7274</v>
      </c>
      <c r="K80" s="8">
        <f>VLOOKUP(B80,'75 - Summary Exhibit'!A:N,9,FALSE)</f>
        <v>0</v>
      </c>
      <c r="L80" s="8">
        <f>VLOOKUP(B80,'75 - Summary Exhibit'!A:N,10,FALSE)</f>
        <v>2242</v>
      </c>
      <c r="M80" s="8">
        <f>VLOOKUP(B80,'75 - Summary Exhibit'!A:N,11,FALSE)</f>
        <v>568</v>
      </c>
      <c r="N80" s="8">
        <f>VLOOKUP(B80,'75 - Summary Exhibit'!A:N,12,FALSE)</f>
        <v>18268</v>
      </c>
      <c r="O80" s="8">
        <f>VLOOKUP(B80,'75 - Summary Exhibit'!A:N,13,FALSE)</f>
        <v>869</v>
      </c>
      <c r="P80" s="8">
        <f t="shared" si="26"/>
        <v>19137</v>
      </c>
      <c r="Q80" s="8">
        <f>VLOOKUP(B80,'75- Deferred Amortization'!A:H,3,FALSE)</f>
        <v>7266</v>
      </c>
      <c r="R80" s="8">
        <f>VLOOKUP(B80,'75- Deferred Amortization'!A:H,4,FALSE)</f>
        <v>4996</v>
      </c>
      <c r="S80" s="8">
        <f>VLOOKUP(B80,'75- Deferred Amortization'!A:H,5,FALSE)</f>
        <v>6521</v>
      </c>
      <c r="T80" s="8">
        <f>VLOOKUP(B80,'75- Deferred Amortization'!A:H,6,FALSE)</f>
        <v>2701</v>
      </c>
      <c r="U80" s="8">
        <f>VLOOKUP(B80,'75- Deferred Amortization'!A:H,7,FALSE)</f>
        <v>1076</v>
      </c>
      <c r="V80" s="8">
        <f>VLOOKUP(B80,'75- Deferred Amortization'!A:H,8,FALSE)</f>
        <v>634</v>
      </c>
      <c r="X80">
        <v>3</v>
      </c>
      <c r="Y80" s="8">
        <f t="shared" si="27"/>
        <v>-29</v>
      </c>
      <c r="Z80" s="8">
        <f t="shared" si="28"/>
        <v>0</v>
      </c>
      <c r="AB80" s="8">
        <f t="shared" si="38"/>
        <v>-1503</v>
      </c>
      <c r="AC80" s="8">
        <v>14636</v>
      </c>
      <c r="AD80" s="10">
        <v>16406</v>
      </c>
      <c r="AE80" s="10">
        <v>15480</v>
      </c>
      <c r="AF80" s="10">
        <v>941</v>
      </c>
      <c r="AG80" s="8">
        <v>3413</v>
      </c>
      <c r="AH80" s="8">
        <v>0</v>
      </c>
      <c r="AI80" s="8">
        <v>0</v>
      </c>
      <c r="AJ80" s="8">
        <v>2711</v>
      </c>
      <c r="AK80" s="8">
        <v>797</v>
      </c>
      <c r="AM80" s="8">
        <f t="shared" si="29"/>
        <v>245</v>
      </c>
      <c r="AN80" s="8">
        <f t="shared" si="30"/>
        <v>-229</v>
      </c>
      <c r="AO80" s="10">
        <f t="shared" si="31"/>
        <v>-4897</v>
      </c>
      <c r="AP80" s="8">
        <f t="shared" si="32"/>
        <v>7274</v>
      </c>
      <c r="AQ80" s="10">
        <f t="shared" si="33"/>
        <v>16</v>
      </c>
      <c r="AR80" s="8">
        <f t="shared" si="34"/>
        <v>-469</v>
      </c>
      <c r="AS80" s="8">
        <f t="shared" si="35"/>
        <v>-1503</v>
      </c>
      <c r="AT80" s="10">
        <f t="shared" si="36"/>
        <v>1674</v>
      </c>
      <c r="AU80" s="8">
        <f t="shared" si="37"/>
        <v>0</v>
      </c>
      <c r="AV80" s="8">
        <f t="shared" si="39"/>
        <v>13133</v>
      </c>
    </row>
    <row r="81" spans="1:48">
      <c r="A81" s="2" t="s">
        <v>163</v>
      </c>
      <c r="B81">
        <v>14300.2</v>
      </c>
      <c r="C81" s="8">
        <f>VLOOKUP(B81,'ER Contributions'!A:D,4,FALSE)</f>
        <v>3835</v>
      </c>
      <c r="D81" s="9">
        <f>VLOOKUP(B81,'ER Contributions'!A:D,3,FALSE)</f>
        <v>1.7780000000000001E-4</v>
      </c>
      <c r="E81" s="8">
        <f>VLOOKUP(B81,'75 - Summary Exhibit'!A:N,3,FALSE)</f>
        <v>4729</v>
      </c>
      <c r="F81" s="10">
        <f>VLOOKUP(B81,'75 - Summary Exhibit'!A:N,4,FALSE)</f>
        <v>4144</v>
      </c>
      <c r="G81" s="10">
        <f>VLOOKUP(B81,'75 - Summary Exhibit'!A:N,5,FALSE)</f>
        <v>6176</v>
      </c>
      <c r="H81" s="10">
        <f>VLOOKUP(B81,'75 - Summary Exhibit'!A:N,6,FALSE)</f>
        <v>345</v>
      </c>
      <c r="I81" s="8">
        <f>VLOOKUP(B81,'75 - Summary Exhibit'!A:N,7,FALSE)</f>
        <v>10236</v>
      </c>
      <c r="J81" s="8">
        <f>VLOOKUP(B81,'75 - Summary Exhibit'!A:N,8,FALSE)</f>
        <v>2619</v>
      </c>
      <c r="K81" s="8">
        <f>VLOOKUP(B81,'75 - Summary Exhibit'!A:N,9,FALSE)</f>
        <v>0</v>
      </c>
      <c r="L81" s="8">
        <f>VLOOKUP(B81,'75 - Summary Exhibit'!A:N,10,FALSE)</f>
        <v>807</v>
      </c>
      <c r="M81" s="8">
        <f>VLOOKUP(B81,'75 - Summary Exhibit'!A:N,11,FALSE)</f>
        <v>3368</v>
      </c>
      <c r="N81" s="8">
        <f>VLOOKUP(B81,'75 - Summary Exhibit'!A:N,12,FALSE)</f>
        <v>6578</v>
      </c>
      <c r="O81" s="8">
        <f>VLOOKUP(B81,'75 - Summary Exhibit'!A:N,13,FALSE)</f>
        <v>3342</v>
      </c>
      <c r="P81" s="8">
        <f t="shared" ref="P81:P85" si="40">N81+O81</f>
        <v>9920</v>
      </c>
      <c r="Q81" s="8">
        <f>VLOOKUP(B81,'75- Deferred Amortization'!A:H,3,FALSE)</f>
        <v>5645</v>
      </c>
      <c r="R81" s="8">
        <f>VLOOKUP(B81,'75- Deferred Amortization'!A:H,4,FALSE)</f>
        <v>4308</v>
      </c>
      <c r="S81" s="8">
        <f>VLOOKUP(B81,'75- Deferred Amortization'!A:H,5,FALSE)</f>
        <v>2396</v>
      </c>
      <c r="T81" s="8">
        <f>VLOOKUP(B81,'75- Deferred Amortization'!A:H,6,FALSE)</f>
        <v>1013</v>
      </c>
      <c r="U81" s="8">
        <f>VLOOKUP(B81,'75- Deferred Amortization'!A:H,7,FALSE)</f>
        <v>396</v>
      </c>
      <c r="V81" s="8">
        <f>VLOOKUP(B81,'75- Deferred Amortization'!A:H,8,FALSE)</f>
        <v>348</v>
      </c>
      <c r="X81">
        <v>3</v>
      </c>
      <c r="Y81" s="8">
        <f>ROUND(((F81-AD81)+(G81-AE81)+(H81-AF81)+(I81-AG81)+(AI81-K81)+P81-(E81-AC81)-(J81-AH81)-(L81-AJ81)-(M81-AK81)-C81),0)</f>
        <v>7155</v>
      </c>
      <c r="Z81" s="8">
        <f t="shared" si="28"/>
        <v>1</v>
      </c>
      <c r="AB81" s="8">
        <f t="shared" si="38"/>
        <v>-911</v>
      </c>
      <c r="AC81" s="8">
        <v>5640</v>
      </c>
      <c r="AD81" s="10">
        <v>6322</v>
      </c>
      <c r="AE81" s="10">
        <v>5966</v>
      </c>
      <c r="AF81" s="10">
        <v>363</v>
      </c>
      <c r="AG81" s="8">
        <v>6537</v>
      </c>
      <c r="AH81" s="8">
        <v>0</v>
      </c>
      <c r="AI81" s="8">
        <v>0</v>
      </c>
      <c r="AJ81" s="8">
        <v>1045</v>
      </c>
      <c r="AK81" s="8">
        <v>4195</v>
      </c>
      <c r="AM81" s="8">
        <f t="shared" si="29"/>
        <v>3699</v>
      </c>
      <c r="AN81" s="8">
        <f t="shared" si="30"/>
        <v>-827</v>
      </c>
      <c r="AO81" s="10">
        <f t="shared" si="31"/>
        <v>-2178</v>
      </c>
      <c r="AP81" s="8">
        <f t="shared" si="32"/>
        <v>2619</v>
      </c>
      <c r="AQ81" s="10">
        <f t="shared" si="33"/>
        <v>-18</v>
      </c>
      <c r="AR81" s="8">
        <f t="shared" si="34"/>
        <v>-238</v>
      </c>
      <c r="AS81" s="8">
        <f t="shared" si="35"/>
        <v>-911</v>
      </c>
      <c r="AT81" s="10">
        <f t="shared" si="36"/>
        <v>210</v>
      </c>
      <c r="AU81" s="8">
        <f t="shared" si="37"/>
        <v>0</v>
      </c>
      <c r="AV81" s="8">
        <f t="shared" si="39"/>
        <v>4729</v>
      </c>
    </row>
    <row r="82" spans="1:48">
      <c r="A82" s="2" t="s">
        <v>246</v>
      </c>
      <c r="B82">
        <v>21525</v>
      </c>
      <c r="C82" s="8">
        <f>VLOOKUP(B82,'ER Contributions'!A:D,4,FALSE)</f>
        <v>36099</v>
      </c>
      <c r="D82" s="9">
        <f>VLOOKUP(B82,'ER Contributions'!A:D,3,FALSE)</f>
        <v>1.7985E-3</v>
      </c>
      <c r="E82" s="8">
        <f>VLOOKUP(B82,'75 - Summary Exhibit'!A:N,3,FALSE)</f>
        <v>47833</v>
      </c>
      <c r="F82" s="10">
        <f>VLOOKUP(B82,'75 - Summary Exhibit'!A:N,4,FALSE)</f>
        <v>41919</v>
      </c>
      <c r="G82" s="10">
        <f>VLOOKUP(B82,'75 - Summary Exhibit'!A:N,5,FALSE)</f>
        <v>62476</v>
      </c>
      <c r="H82" s="10">
        <f>VLOOKUP(B82,'75 - Summary Exhibit'!A:N,6,FALSE)</f>
        <v>3485</v>
      </c>
      <c r="I82" s="8">
        <f>VLOOKUP(B82,'75 - Summary Exhibit'!A:N,7,FALSE)</f>
        <v>11435</v>
      </c>
      <c r="J82" s="8">
        <f>VLOOKUP(B82,'75 - Summary Exhibit'!A:N,8,FALSE)</f>
        <v>26494</v>
      </c>
      <c r="K82" s="8">
        <f>VLOOKUP(B82,'75 - Summary Exhibit'!A:N,9,FALSE)</f>
        <v>0</v>
      </c>
      <c r="L82" s="8">
        <f>VLOOKUP(B82,'75 - Summary Exhibit'!A:N,10,FALSE)</f>
        <v>8165</v>
      </c>
      <c r="M82" s="8">
        <f>VLOOKUP(B82,'75 - Summary Exhibit'!A:N,11,FALSE)</f>
        <v>20588</v>
      </c>
      <c r="N82" s="8">
        <f>VLOOKUP(B82,'75 - Summary Exhibit'!A:N,12,FALSE)</f>
        <v>66536</v>
      </c>
      <c r="O82" s="8">
        <f>VLOOKUP(B82,'75 - Summary Exhibit'!A:N,13,FALSE)</f>
        <v>802</v>
      </c>
      <c r="P82" s="8">
        <f t="shared" si="40"/>
        <v>67338</v>
      </c>
      <c r="Q82" s="8">
        <f>VLOOKUP(B82,'75- Deferred Amortization'!A:H,3,FALSE)</f>
        <v>24107</v>
      </c>
      <c r="R82" s="8">
        <f>VLOOKUP(B82,'75- Deferred Amortization'!A:H,4,FALSE)</f>
        <v>13335</v>
      </c>
      <c r="S82" s="8">
        <f>VLOOKUP(B82,'75- Deferred Amortization'!A:H,5,FALSE)</f>
        <v>19297</v>
      </c>
      <c r="T82" s="8">
        <f>VLOOKUP(B82,'75- Deferred Amortization'!A:H,6,FALSE)</f>
        <v>5366</v>
      </c>
      <c r="U82" s="8">
        <f>VLOOKUP(B82,'75- Deferred Amortization'!A:H,7,FALSE)</f>
        <v>124</v>
      </c>
      <c r="V82" s="8">
        <f>VLOOKUP(B82,'75- Deferred Amortization'!A:H,8,FALSE)</f>
        <v>1840</v>
      </c>
      <c r="X82" s="10">
        <v>1</v>
      </c>
      <c r="Y82" s="8">
        <f t="shared" si="27"/>
        <v>-108</v>
      </c>
      <c r="Z82" s="8">
        <f t="shared" si="28"/>
        <v>-1</v>
      </c>
      <c r="AB82" s="8">
        <f t="shared" si="38"/>
        <v>-8525</v>
      </c>
      <c r="AC82" s="8">
        <v>56358</v>
      </c>
      <c r="AD82" s="10">
        <v>63172</v>
      </c>
      <c r="AE82" s="10">
        <v>59609</v>
      </c>
      <c r="AF82" s="10">
        <v>3622</v>
      </c>
      <c r="AG82" s="8">
        <v>12668</v>
      </c>
      <c r="AH82" s="8">
        <v>0</v>
      </c>
      <c r="AI82" s="8">
        <v>0</v>
      </c>
      <c r="AJ82" s="8">
        <v>10441</v>
      </c>
      <c r="AK82" s="8">
        <v>24690</v>
      </c>
      <c r="AM82" s="8">
        <f t="shared" si="29"/>
        <v>-1233</v>
      </c>
      <c r="AN82" s="8">
        <f t="shared" si="30"/>
        <v>-4102</v>
      </c>
      <c r="AO82" s="10">
        <f t="shared" si="31"/>
        <v>-21253</v>
      </c>
      <c r="AP82" s="8">
        <f t="shared" si="32"/>
        <v>26494</v>
      </c>
      <c r="AQ82" s="10">
        <f t="shared" si="33"/>
        <v>-137</v>
      </c>
      <c r="AR82" s="8">
        <f t="shared" si="34"/>
        <v>-2276</v>
      </c>
      <c r="AS82" s="8">
        <f t="shared" si="35"/>
        <v>-8525</v>
      </c>
      <c r="AT82" s="10">
        <f t="shared" si="36"/>
        <v>2867</v>
      </c>
      <c r="AU82" s="8">
        <f t="shared" si="37"/>
        <v>0</v>
      </c>
      <c r="AV82" s="8">
        <f t="shared" si="39"/>
        <v>47833</v>
      </c>
    </row>
    <row r="83" spans="1:48">
      <c r="A83" s="2" t="s">
        <v>157</v>
      </c>
      <c r="B83">
        <v>21525.200000000001</v>
      </c>
      <c r="C83" s="8">
        <f>VLOOKUP(B83,'ER Contributions'!A:D,4,FALSE)</f>
        <v>4544</v>
      </c>
      <c r="D83" s="9">
        <f>VLOOKUP(B83,'ER Contributions'!A:D,3,FALSE)</f>
        <v>1.426E-4</v>
      </c>
      <c r="E83" s="8">
        <f>VLOOKUP(B83,'75 - Summary Exhibit'!A:N,3,FALSE)</f>
        <v>3793</v>
      </c>
      <c r="F83" s="10">
        <f>VLOOKUP(B83,'75 - Summary Exhibit'!A:N,4,FALSE)</f>
        <v>3324</v>
      </c>
      <c r="G83" s="10">
        <f>VLOOKUP(B83,'75 - Summary Exhibit'!A:N,5,FALSE)</f>
        <v>4954</v>
      </c>
      <c r="H83" s="10">
        <f>VLOOKUP(B83,'75 - Summary Exhibit'!A:N,6,FALSE)</f>
        <v>276</v>
      </c>
      <c r="I83" s="8">
        <f>VLOOKUP(B83,'75 - Summary Exhibit'!A:N,7,FALSE)</f>
        <v>6030</v>
      </c>
      <c r="J83" s="8">
        <f>VLOOKUP(B83,'75 - Summary Exhibit'!A:N,8,FALSE)</f>
        <v>2101</v>
      </c>
      <c r="K83" s="8">
        <f>VLOOKUP(B83,'75 - Summary Exhibit'!A:N,9,FALSE)</f>
        <v>0</v>
      </c>
      <c r="L83" s="8">
        <f>VLOOKUP(B83,'75 - Summary Exhibit'!A:N,10,FALSE)</f>
        <v>647</v>
      </c>
      <c r="M83" s="8">
        <f>VLOOKUP(B83,'75 - Summary Exhibit'!A:N,11,FALSE)</f>
        <v>2610</v>
      </c>
      <c r="N83" s="8">
        <f>VLOOKUP(B83,'75 - Summary Exhibit'!A:N,12,FALSE)</f>
        <v>5275</v>
      </c>
      <c r="O83" s="8">
        <f>VLOOKUP(B83,'75 - Summary Exhibit'!A:N,13,FALSE)</f>
        <v>1208</v>
      </c>
      <c r="P83" s="8">
        <f t="shared" si="40"/>
        <v>6483</v>
      </c>
      <c r="Q83" s="8">
        <f>VLOOKUP(B83,'75- Deferred Amortization'!A:H,3,FALSE)</f>
        <v>3058</v>
      </c>
      <c r="R83" s="8">
        <f>VLOOKUP(B83,'75- Deferred Amortization'!A:H,4,FALSE)</f>
        <v>1966</v>
      </c>
      <c r="S83" s="8">
        <f>VLOOKUP(B83,'75- Deferred Amortization'!A:H,5,FALSE)</f>
        <v>2062</v>
      </c>
      <c r="T83" s="8">
        <f>VLOOKUP(B83,'75- Deferred Amortization'!A:H,6,FALSE)</f>
        <v>959</v>
      </c>
      <c r="U83" s="8">
        <f>VLOOKUP(B83,'75- Deferred Amortization'!A:H,7,FALSE)</f>
        <v>369</v>
      </c>
      <c r="V83" s="8">
        <f>VLOOKUP(B83,'75- Deferred Amortization'!A:H,8,FALSE)</f>
        <v>813</v>
      </c>
      <c r="X83">
        <v>3</v>
      </c>
      <c r="Y83" s="8">
        <f t="shared" si="27"/>
        <v>-9</v>
      </c>
      <c r="Z83" s="8">
        <f t="shared" si="28"/>
        <v>-1</v>
      </c>
      <c r="AB83" s="8">
        <f t="shared" si="38"/>
        <v>-152</v>
      </c>
      <c r="AC83" s="8">
        <v>3945</v>
      </c>
      <c r="AD83" s="10">
        <v>4422</v>
      </c>
      <c r="AE83" s="10">
        <v>4172</v>
      </c>
      <c r="AF83" s="10">
        <v>254</v>
      </c>
      <c r="AG83" s="8">
        <v>6341</v>
      </c>
      <c r="AH83" s="8">
        <v>0</v>
      </c>
      <c r="AI83" s="8">
        <v>0</v>
      </c>
      <c r="AJ83" s="8">
        <v>731</v>
      </c>
      <c r="AK83" s="8">
        <v>3132</v>
      </c>
      <c r="AM83" s="8">
        <f t="shared" si="29"/>
        <v>-311</v>
      </c>
      <c r="AN83" s="8">
        <f t="shared" si="30"/>
        <v>-522</v>
      </c>
      <c r="AO83" s="10">
        <f t="shared" si="31"/>
        <v>-1098</v>
      </c>
      <c r="AP83" s="8">
        <f t="shared" si="32"/>
        <v>2101</v>
      </c>
      <c r="AQ83" s="10">
        <f t="shared" si="33"/>
        <v>22</v>
      </c>
      <c r="AR83" s="8">
        <f t="shared" si="34"/>
        <v>-84</v>
      </c>
      <c r="AS83" s="8">
        <f t="shared" si="35"/>
        <v>-152</v>
      </c>
      <c r="AT83" s="10">
        <f t="shared" si="36"/>
        <v>782</v>
      </c>
      <c r="AU83" s="8">
        <f t="shared" si="37"/>
        <v>0</v>
      </c>
      <c r="AV83" s="8">
        <f t="shared" si="39"/>
        <v>3793</v>
      </c>
    </row>
    <row r="84" spans="1:48">
      <c r="A84" s="2" t="s">
        <v>165</v>
      </c>
      <c r="B84">
        <v>51000.2</v>
      </c>
      <c r="C84" s="8">
        <f>VLOOKUP(B84,'ER Contributions'!A:D,4,FALSE)</f>
        <v>914</v>
      </c>
      <c r="D84" s="9">
        <f>VLOOKUP(B84,'ER Contributions'!A:D,3,FALSE)</f>
        <v>2.8399999999999999E-5</v>
      </c>
      <c r="E84" s="8">
        <f>VLOOKUP(B84,'75 - Summary Exhibit'!A:N,3,FALSE)</f>
        <v>755</v>
      </c>
      <c r="F84" s="10">
        <f>VLOOKUP(B84,'75 - Summary Exhibit'!A:N,4,FALSE)</f>
        <v>662</v>
      </c>
      <c r="G84" s="10">
        <f>VLOOKUP(B84,'75 - Summary Exhibit'!A:N,5,FALSE)</f>
        <v>987</v>
      </c>
      <c r="H84" s="10">
        <f>VLOOKUP(B84,'75 - Summary Exhibit'!A:N,6,FALSE)</f>
        <v>55</v>
      </c>
      <c r="I84" s="8">
        <f>VLOOKUP(B84,'75 - Summary Exhibit'!A:N,7,FALSE)</f>
        <v>2325</v>
      </c>
      <c r="J84" s="8">
        <f>VLOOKUP(B84,'75 - Summary Exhibit'!A:N,8,FALSE)</f>
        <v>418</v>
      </c>
      <c r="K84" s="8">
        <f>VLOOKUP(B84,'75 - Summary Exhibit'!A:N,9,FALSE)</f>
        <v>0</v>
      </c>
      <c r="L84" s="8">
        <f>VLOOKUP(B84,'75 - Summary Exhibit'!A:N,10,FALSE)</f>
        <v>129</v>
      </c>
      <c r="M84" s="8">
        <f>VLOOKUP(B84,'75 - Summary Exhibit'!A:N,11,FALSE)</f>
        <v>1764</v>
      </c>
      <c r="N84" s="8">
        <f>VLOOKUP(B84,'75 - Summary Exhibit'!A:N,12,FALSE)</f>
        <v>1051</v>
      </c>
      <c r="O84" s="8">
        <f>VLOOKUP(B84,'75 - Summary Exhibit'!A:N,13,FALSE)</f>
        <v>294</v>
      </c>
      <c r="P84" s="8">
        <f t="shared" si="40"/>
        <v>1345</v>
      </c>
      <c r="Q84" s="8">
        <f>VLOOKUP(B84,'75- Deferred Amortization'!A:H,3,FALSE)</f>
        <v>666</v>
      </c>
      <c r="R84" s="8">
        <f>VLOOKUP(B84,'75- Deferred Amortization'!A:H,4,FALSE)</f>
        <v>574</v>
      </c>
      <c r="S84" s="8">
        <f>VLOOKUP(B84,'75- Deferred Amortization'!A:H,5,FALSE)</f>
        <v>494</v>
      </c>
      <c r="T84" s="8">
        <f>VLOOKUP(B84,'75- Deferred Amortization'!A:H,6,FALSE)</f>
        <v>272</v>
      </c>
      <c r="U84" s="8">
        <f>VLOOKUP(B84,'75- Deferred Amortization'!A:H,7,FALSE)</f>
        <v>-277</v>
      </c>
      <c r="V84" s="8">
        <f>VLOOKUP(B84,'75- Deferred Amortization'!A:H,8,FALSE)</f>
        <v>-11</v>
      </c>
      <c r="X84">
        <v>3</v>
      </c>
      <c r="Y84" s="8">
        <f t="shared" si="27"/>
        <v>0</v>
      </c>
      <c r="Z84" s="8">
        <f t="shared" si="28"/>
        <v>0</v>
      </c>
      <c r="AB84" s="8">
        <f t="shared" si="38"/>
        <v>-304</v>
      </c>
      <c r="AC84" s="8">
        <v>1059</v>
      </c>
      <c r="AD84" s="10">
        <v>1187</v>
      </c>
      <c r="AE84" s="10">
        <v>1120</v>
      </c>
      <c r="AF84" s="10">
        <v>68</v>
      </c>
      <c r="AG84" s="8">
        <v>2423</v>
      </c>
      <c r="AH84" s="8">
        <v>0</v>
      </c>
      <c r="AI84" s="8">
        <v>0</v>
      </c>
      <c r="AJ84" s="8">
        <v>196</v>
      </c>
      <c r="AK84" s="8">
        <v>2149</v>
      </c>
      <c r="AM84" s="8">
        <f t="shared" si="29"/>
        <v>-98</v>
      </c>
      <c r="AN84" s="8">
        <f t="shared" si="30"/>
        <v>-385</v>
      </c>
      <c r="AO84" s="10">
        <f t="shared" si="31"/>
        <v>-525</v>
      </c>
      <c r="AP84" s="8">
        <f t="shared" si="32"/>
        <v>418</v>
      </c>
      <c r="AQ84" s="10">
        <f t="shared" si="33"/>
        <v>-13</v>
      </c>
      <c r="AR84" s="8">
        <f t="shared" si="34"/>
        <v>-67</v>
      </c>
      <c r="AS84" s="8">
        <f t="shared" si="35"/>
        <v>-304</v>
      </c>
      <c r="AT84" s="10">
        <f t="shared" si="36"/>
        <v>-133</v>
      </c>
      <c r="AU84" s="8">
        <f t="shared" si="37"/>
        <v>0</v>
      </c>
      <c r="AV84" s="8">
        <f t="shared" si="39"/>
        <v>755</v>
      </c>
    </row>
    <row r="85" spans="1:48">
      <c r="A85" s="2" t="s">
        <v>164</v>
      </c>
      <c r="B85">
        <v>51000.3</v>
      </c>
      <c r="C85" s="8">
        <f>VLOOKUP(B85,'ER Contributions'!A:D,4,FALSE)</f>
        <v>18466</v>
      </c>
      <c r="D85" s="9">
        <f>VLOOKUP(B85,'ER Contributions'!A:D,3,FALSE)</f>
        <v>8.7239999999999996E-4</v>
      </c>
      <c r="E85" s="8">
        <f>VLOOKUP(B85,'75 - Summary Exhibit'!A:N,3,FALSE)</f>
        <v>23202</v>
      </c>
      <c r="F85" s="10">
        <f>VLOOKUP(B85,'75 - Summary Exhibit'!A:N,4,FALSE)</f>
        <v>20334</v>
      </c>
      <c r="G85" s="10">
        <f>VLOOKUP(B85,'75 - Summary Exhibit'!A:N,5,FALSE)</f>
        <v>30305</v>
      </c>
      <c r="H85" s="10">
        <f>VLOOKUP(B85,'75 - Summary Exhibit'!A:N,6,FALSE)</f>
        <v>1691</v>
      </c>
      <c r="I85" s="8">
        <f>VLOOKUP(B85,'75 - Summary Exhibit'!A:N,7,FALSE)</f>
        <v>1404</v>
      </c>
      <c r="J85" s="8">
        <f>VLOOKUP(B85,'75 - Summary Exhibit'!A:N,8,FALSE)</f>
        <v>12851</v>
      </c>
      <c r="K85" s="8">
        <f>VLOOKUP(B85,'75 - Summary Exhibit'!A:N,9,FALSE)</f>
        <v>0</v>
      </c>
      <c r="L85" s="8">
        <f>VLOOKUP(B85,'75 - Summary Exhibit'!A:N,10,FALSE)</f>
        <v>3961</v>
      </c>
      <c r="M85" s="8">
        <f>VLOOKUP(B85,'75 - Summary Exhibit'!A:N,11,FALSE)</f>
        <v>4468</v>
      </c>
      <c r="N85" s="8">
        <f>VLOOKUP(B85,'75 - Summary Exhibit'!A:N,12,FALSE)</f>
        <v>32274</v>
      </c>
      <c r="O85" s="8">
        <f>VLOOKUP(B85,'75 - Summary Exhibit'!A:N,13,FALSE)</f>
        <v>-1211</v>
      </c>
      <c r="P85" s="8">
        <f t="shared" si="40"/>
        <v>31063</v>
      </c>
      <c r="Q85" s="8">
        <f>VLOOKUP(B85,'75- Deferred Amortization'!A:H,3,FALSE)</f>
        <v>10094</v>
      </c>
      <c r="R85" s="8">
        <f>VLOOKUP(B85,'75- Deferred Amortization'!A:H,4,FALSE)</f>
        <v>6301</v>
      </c>
      <c r="S85" s="8">
        <f>VLOOKUP(B85,'75- Deferred Amortization'!A:H,5,FALSE)</f>
        <v>9842</v>
      </c>
      <c r="T85" s="8">
        <f>VLOOKUP(B85,'75- Deferred Amortization'!A:H,6,FALSE)</f>
        <v>3076</v>
      </c>
      <c r="U85" s="8">
        <f>VLOOKUP(B85,'75- Deferred Amortization'!A:H,7,FALSE)</f>
        <v>1874</v>
      </c>
      <c r="V85" s="8">
        <f>VLOOKUP(B85,'75- Deferred Amortization'!A:H,8,FALSE)</f>
        <v>1268</v>
      </c>
      <c r="X85">
        <v>3</v>
      </c>
      <c r="Y85" s="8">
        <f t="shared" si="27"/>
        <v>-52</v>
      </c>
      <c r="Z85" s="8">
        <f t="shared" si="28"/>
        <v>-1</v>
      </c>
      <c r="AB85" s="8">
        <f t="shared" si="38"/>
        <v>-1394</v>
      </c>
      <c r="AC85" s="8">
        <v>24596</v>
      </c>
      <c r="AD85" s="10">
        <v>27570</v>
      </c>
      <c r="AE85" s="10">
        <v>26014</v>
      </c>
      <c r="AF85" s="10">
        <v>1581</v>
      </c>
      <c r="AG85" s="8">
        <v>1716</v>
      </c>
      <c r="AH85" s="8">
        <v>0</v>
      </c>
      <c r="AI85" s="8">
        <v>0</v>
      </c>
      <c r="AJ85" s="8">
        <v>4556</v>
      </c>
      <c r="AK85" s="8">
        <v>5828</v>
      </c>
      <c r="AM85" s="8">
        <f t="shared" si="29"/>
        <v>-312</v>
      </c>
      <c r="AN85" s="8">
        <f t="shared" si="30"/>
        <v>-1360</v>
      </c>
      <c r="AO85" s="10">
        <f t="shared" si="31"/>
        <v>-7236</v>
      </c>
      <c r="AP85" s="8">
        <f t="shared" si="32"/>
        <v>12851</v>
      </c>
      <c r="AQ85" s="10">
        <f t="shared" si="33"/>
        <v>110</v>
      </c>
      <c r="AR85" s="8">
        <f t="shared" si="34"/>
        <v>-595</v>
      </c>
      <c r="AS85" s="8">
        <f t="shared" si="35"/>
        <v>-1394</v>
      </c>
      <c r="AT85" s="10">
        <f t="shared" si="36"/>
        <v>4291</v>
      </c>
      <c r="AU85" s="8">
        <f t="shared" si="37"/>
        <v>0</v>
      </c>
      <c r="AV85" s="8">
        <f t="shared" si="39"/>
        <v>23202</v>
      </c>
    </row>
    <row r="86" spans="1:48">
      <c r="A86" t="s">
        <v>154</v>
      </c>
      <c r="B86">
        <v>99000</v>
      </c>
      <c r="C86" s="8">
        <f>SUMIF($X$4:$X$85,1,C$4:C$85)</f>
        <v>5085341</v>
      </c>
      <c r="D86" s="8"/>
      <c r="E86" s="8">
        <f t="shared" ref="E86:V86" si="41">SUMIF($X$4:$X$85,1,E$4:E$85)</f>
        <v>6981259</v>
      </c>
      <c r="F86" s="8">
        <f t="shared" si="41"/>
        <v>6118181</v>
      </c>
      <c r="G86" s="8">
        <f t="shared" si="41"/>
        <v>9118476</v>
      </c>
      <c r="H86" s="8">
        <f t="shared" si="41"/>
        <v>508710</v>
      </c>
      <c r="I86" s="8">
        <f t="shared" si="41"/>
        <v>586627</v>
      </c>
      <c r="J86" s="8">
        <f t="shared" si="41"/>
        <v>3866785</v>
      </c>
      <c r="K86" s="8">
        <f t="shared" si="41"/>
        <v>0</v>
      </c>
      <c r="L86" s="8">
        <f t="shared" si="41"/>
        <v>1191718</v>
      </c>
      <c r="M86" s="8">
        <f t="shared" si="41"/>
        <v>1202857</v>
      </c>
      <c r="N86" s="8">
        <f t="shared" si="41"/>
        <v>9710921</v>
      </c>
      <c r="O86" s="8">
        <f t="shared" si="41"/>
        <v>-241927</v>
      </c>
      <c r="P86" s="8">
        <f t="shared" si="41"/>
        <v>9468994</v>
      </c>
      <c r="Q86" s="8">
        <f t="shared" si="41"/>
        <v>3159722</v>
      </c>
      <c r="R86" s="8">
        <f t="shared" si="41"/>
        <v>1903720</v>
      </c>
      <c r="S86" s="8">
        <f t="shared" si="41"/>
        <v>3058321</v>
      </c>
      <c r="T86" s="8">
        <f t="shared" si="41"/>
        <v>1025053</v>
      </c>
      <c r="U86" s="8">
        <f t="shared" si="41"/>
        <v>505797</v>
      </c>
      <c r="V86" s="8">
        <f t="shared" si="41"/>
        <v>418029</v>
      </c>
      <c r="Y86" s="8">
        <f t="shared" si="27"/>
        <v>-15748</v>
      </c>
      <c r="Z86" s="8">
        <f t="shared" si="28"/>
        <v>-8</v>
      </c>
      <c r="AB86" s="8">
        <f t="shared" si="38"/>
        <v>-610425</v>
      </c>
      <c r="AC86" s="8">
        <v>7591684</v>
      </c>
      <c r="AD86" s="8">
        <v>8509638</v>
      </c>
      <c r="AE86" s="8">
        <v>8029609</v>
      </c>
      <c r="AF86" s="8">
        <v>487941</v>
      </c>
      <c r="AG86" s="8">
        <v>656990</v>
      </c>
      <c r="AH86" s="8">
        <v>0</v>
      </c>
      <c r="AI86" s="8">
        <v>0</v>
      </c>
      <c r="AJ86" s="8">
        <v>1406405</v>
      </c>
      <c r="AK86" s="8">
        <v>1197313</v>
      </c>
      <c r="AL86" s="8"/>
      <c r="AM86" s="8">
        <f t="shared" ref="AM86:AN86" si="42">SUMIF($X$4:$X$85,1,AM$4:AM$85)</f>
        <v>-70363</v>
      </c>
      <c r="AN86" s="8">
        <f t="shared" si="42"/>
        <v>5544</v>
      </c>
      <c r="AO86" s="10">
        <f t="shared" si="31"/>
        <v>-2391457</v>
      </c>
      <c r="AP86" s="8">
        <f t="shared" si="32"/>
        <v>3866785</v>
      </c>
      <c r="AQ86" s="10">
        <f t="shared" si="33"/>
        <v>20769</v>
      </c>
      <c r="AR86" s="8">
        <f t="shared" si="34"/>
        <v>-214687</v>
      </c>
      <c r="AS86" s="8">
        <f t="shared" si="35"/>
        <v>-610425</v>
      </c>
      <c r="AT86" s="10">
        <f t="shared" si="36"/>
        <v>1088867</v>
      </c>
      <c r="AU86" s="8">
        <f t="shared" si="37"/>
        <v>0</v>
      </c>
      <c r="AV86" s="8">
        <f t="shared" si="39"/>
        <v>6981259</v>
      </c>
    </row>
    <row r="87" spans="1:48">
      <c r="A87" s="2" t="s">
        <v>155</v>
      </c>
      <c r="B87">
        <v>99100</v>
      </c>
      <c r="C87" s="8">
        <f>SUMIF($X$4:$X$85,2,C$4:C$85)</f>
        <v>1003563</v>
      </c>
      <c r="D87" s="8"/>
      <c r="E87" s="8">
        <f t="shared" ref="E87:V87" si="43">SUMIF($X$4:$X$85,2,E$4:E$85)</f>
        <v>1291990</v>
      </c>
      <c r="F87" s="8">
        <f t="shared" si="43"/>
        <v>1132264</v>
      </c>
      <c r="G87" s="8">
        <f t="shared" si="43"/>
        <v>1687514</v>
      </c>
      <c r="H87" s="8">
        <f t="shared" si="43"/>
        <v>94146</v>
      </c>
      <c r="I87" s="8">
        <f t="shared" si="43"/>
        <v>381081</v>
      </c>
      <c r="J87" s="8">
        <f t="shared" si="43"/>
        <v>715607</v>
      </c>
      <c r="K87" s="8">
        <f t="shared" si="43"/>
        <v>0</v>
      </c>
      <c r="L87" s="8">
        <f t="shared" si="43"/>
        <v>220542</v>
      </c>
      <c r="M87" s="8">
        <f t="shared" si="43"/>
        <v>111705</v>
      </c>
      <c r="N87" s="8">
        <f t="shared" si="43"/>
        <v>1797153</v>
      </c>
      <c r="O87" s="8">
        <f t="shared" si="43"/>
        <v>90916</v>
      </c>
      <c r="P87" s="8">
        <f t="shared" si="43"/>
        <v>1888069</v>
      </c>
      <c r="Q87" s="8">
        <f t="shared" si="43"/>
        <v>720453</v>
      </c>
      <c r="R87" s="8">
        <f t="shared" si="43"/>
        <v>451499</v>
      </c>
      <c r="S87" s="8">
        <f t="shared" si="43"/>
        <v>637091</v>
      </c>
      <c r="T87" s="8">
        <f t="shared" si="43"/>
        <v>260790</v>
      </c>
      <c r="U87" s="8">
        <f t="shared" si="43"/>
        <v>112695</v>
      </c>
      <c r="V87" s="8">
        <f t="shared" si="43"/>
        <v>64605</v>
      </c>
      <c r="Y87" s="8">
        <f t="shared" si="27"/>
        <v>-2905</v>
      </c>
      <c r="Z87" s="8">
        <f t="shared" si="28"/>
        <v>18</v>
      </c>
      <c r="AB87" s="8">
        <f t="shared" si="38"/>
        <v>-133557</v>
      </c>
      <c r="AC87" s="8">
        <v>1425547</v>
      </c>
      <c r="AD87" s="8">
        <v>1597913</v>
      </c>
      <c r="AE87" s="8">
        <v>1507783</v>
      </c>
      <c r="AF87" s="8">
        <v>91624</v>
      </c>
      <c r="AG87" s="8">
        <v>450807</v>
      </c>
      <c r="AH87" s="8">
        <v>0</v>
      </c>
      <c r="AI87" s="8">
        <v>0</v>
      </c>
      <c r="AJ87" s="8">
        <v>264087</v>
      </c>
      <c r="AK87" s="8">
        <v>115921</v>
      </c>
      <c r="AL87" s="8"/>
      <c r="AM87" s="8">
        <f t="shared" ref="AM87:AN87" si="44">SUMIF($X$4:$X$85,2,AM$4:AM$85)</f>
        <v>-69726</v>
      </c>
      <c r="AN87" s="8">
        <f t="shared" si="44"/>
        <v>-4216</v>
      </c>
      <c r="AO87" s="10">
        <f t="shared" si="31"/>
        <v>-465649</v>
      </c>
      <c r="AP87" s="8">
        <f t="shared" si="32"/>
        <v>715607</v>
      </c>
      <c r="AQ87" s="10">
        <f t="shared" si="33"/>
        <v>2522</v>
      </c>
      <c r="AR87" s="8">
        <f t="shared" si="34"/>
        <v>-43545</v>
      </c>
      <c r="AS87" s="8">
        <f t="shared" si="35"/>
        <v>-133557</v>
      </c>
      <c r="AT87" s="10">
        <f t="shared" si="36"/>
        <v>179731</v>
      </c>
      <c r="AU87" s="8">
        <f t="shared" si="37"/>
        <v>0</v>
      </c>
      <c r="AV87" s="8">
        <f t="shared" si="39"/>
        <v>1291990</v>
      </c>
    </row>
    <row r="88" spans="1:48">
      <c r="A88" s="2" t="s">
        <v>156</v>
      </c>
      <c r="B88">
        <v>99200</v>
      </c>
      <c r="C88" s="8">
        <f>SUMIF($X$4:$X$85,3,C$4:C$85)</f>
        <v>38890</v>
      </c>
      <c r="D88" s="8"/>
      <c r="E88" s="8">
        <f t="shared" ref="E88:V88" si="45">SUMIF($X$4:$X$85,3,E$4:E$85)</f>
        <v>45612</v>
      </c>
      <c r="F88" s="8">
        <f t="shared" si="45"/>
        <v>39973</v>
      </c>
      <c r="G88" s="8">
        <f t="shared" si="45"/>
        <v>59576</v>
      </c>
      <c r="H88" s="8">
        <f t="shared" si="45"/>
        <v>3324</v>
      </c>
      <c r="I88" s="8">
        <f t="shared" si="45"/>
        <v>23653</v>
      </c>
      <c r="J88" s="8">
        <f t="shared" si="45"/>
        <v>25263</v>
      </c>
      <c r="K88" s="8">
        <f t="shared" si="45"/>
        <v>0</v>
      </c>
      <c r="L88" s="8">
        <f t="shared" si="45"/>
        <v>7786</v>
      </c>
      <c r="M88" s="8">
        <f t="shared" si="45"/>
        <v>12778</v>
      </c>
      <c r="N88" s="8">
        <f t="shared" si="45"/>
        <v>63446</v>
      </c>
      <c r="O88" s="8">
        <f t="shared" si="45"/>
        <v>4502</v>
      </c>
      <c r="P88" s="8">
        <f t="shared" si="45"/>
        <v>67948</v>
      </c>
      <c r="Q88" s="8">
        <f t="shared" si="45"/>
        <v>26729</v>
      </c>
      <c r="R88" s="8">
        <f t="shared" si="45"/>
        <v>18145</v>
      </c>
      <c r="S88" s="8">
        <f t="shared" si="45"/>
        <v>21315</v>
      </c>
      <c r="T88" s="8">
        <f t="shared" si="45"/>
        <v>8021</v>
      </c>
      <c r="U88" s="8">
        <f t="shared" si="45"/>
        <v>3438</v>
      </c>
      <c r="V88" s="8">
        <f t="shared" si="45"/>
        <v>3052</v>
      </c>
      <c r="Y88" s="8">
        <f t="shared" si="27"/>
        <v>7065</v>
      </c>
      <c r="Z88" s="8">
        <f t="shared" si="28"/>
        <v>-1</v>
      </c>
      <c r="AB88" s="8">
        <f t="shared" si="38"/>
        <v>-4264</v>
      </c>
      <c r="AC88" s="8">
        <v>49876</v>
      </c>
      <c r="AD88" s="8">
        <v>55907</v>
      </c>
      <c r="AE88" s="8">
        <v>52752</v>
      </c>
      <c r="AF88" s="8">
        <v>3207</v>
      </c>
      <c r="AG88" s="8">
        <v>20430</v>
      </c>
      <c r="AH88" s="8">
        <v>0</v>
      </c>
      <c r="AI88" s="8">
        <v>0</v>
      </c>
      <c r="AJ88" s="8">
        <v>9239</v>
      </c>
      <c r="AK88" s="8">
        <v>16101</v>
      </c>
      <c r="AL88" s="8"/>
      <c r="AM88" s="8">
        <f t="shared" ref="AM88:AN88" si="46">SUMIF($X$4:$X$85,3,AM$4:AM$85)</f>
        <v>3223</v>
      </c>
      <c r="AN88" s="8">
        <f t="shared" si="46"/>
        <v>-3323</v>
      </c>
      <c r="AO88" s="10">
        <f t="shared" si="31"/>
        <v>-15934</v>
      </c>
      <c r="AP88" s="8">
        <f t="shared" si="32"/>
        <v>25263</v>
      </c>
      <c r="AQ88" s="10">
        <f t="shared" si="33"/>
        <v>117</v>
      </c>
      <c r="AR88" s="8">
        <f t="shared" si="34"/>
        <v>-1453</v>
      </c>
      <c r="AS88" s="8">
        <f t="shared" si="35"/>
        <v>-4264</v>
      </c>
      <c r="AT88" s="10">
        <f t="shared" si="36"/>
        <v>6824</v>
      </c>
      <c r="AU88" s="8">
        <f t="shared" si="37"/>
        <v>0</v>
      </c>
      <c r="AV88" s="8">
        <f t="shared" si="39"/>
        <v>45612</v>
      </c>
    </row>
    <row r="92" spans="1:48">
      <c r="A92" s="2" t="s">
        <v>249</v>
      </c>
    </row>
  </sheetData>
  <sheetProtection algorithmName="SHA-512" hashValue="YXzjPNTO/Ab4O605vlTqp2yGSsMklm8gf1m1/1sLFRpZGqBDkEBZo3U48YQZZJq01LPwa9cq8ZeuvGC3vcU6ew==" saltValue="fDJ0Te+nHotPaRy47+4IUw==" spinCount="100000" sheet="1" objects="1" scenarios="1"/>
  <sortState xmlns:xlrd2="http://schemas.microsoft.com/office/spreadsheetml/2017/richdata2" ref="A81:AN85">
    <sortCondition ref="B81:B85"/>
  </sortState>
  <mergeCells count="6">
    <mergeCell ref="AH2:AK2"/>
    <mergeCell ref="J2:M2"/>
    <mergeCell ref="F2:I2"/>
    <mergeCell ref="AD2:AG2"/>
    <mergeCell ref="Q2:V2"/>
    <mergeCell ref="N2:P2"/>
  </mergeCells>
  <pageMargins left="0.7" right="0.7" top="0.75" bottom="0.75" header="0.3" footer="0.3"/>
  <pageSetup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06"/>
  <sheetViews>
    <sheetView workbookViewId="0">
      <pane ySplit="2" topLeftCell="A289" activePane="bottomLeft" state="frozen"/>
      <selection pane="bottomLeft" activeCell="D300" sqref="D300"/>
    </sheetView>
  </sheetViews>
  <sheetFormatPr defaultRowHeight="13.2"/>
  <cols>
    <col min="1" max="1" width="15" customWidth="1"/>
    <col min="2" max="2" width="56" bestFit="1" customWidth="1"/>
    <col min="3" max="3" width="16.6640625" customWidth="1"/>
    <col min="4" max="4" width="18.44140625" style="8" bestFit="1" customWidth="1"/>
  </cols>
  <sheetData>
    <row r="1" spans="1:4">
      <c r="A1" s="7">
        <v>1</v>
      </c>
      <c r="B1" s="7">
        <v>2</v>
      </c>
      <c r="C1" s="7">
        <v>3</v>
      </c>
      <c r="D1" s="160">
        <v>4</v>
      </c>
    </row>
    <row r="2" spans="1:4" ht="38.25" customHeight="1">
      <c r="A2" s="130" t="s">
        <v>159</v>
      </c>
      <c r="B2" s="131" t="s">
        <v>161</v>
      </c>
      <c r="C2" s="45" t="s">
        <v>166</v>
      </c>
      <c r="D2" s="161" t="s">
        <v>35</v>
      </c>
    </row>
    <row r="3" spans="1:4">
      <c r="A3" s="194">
        <v>10200</v>
      </c>
      <c r="B3" s="211" t="s">
        <v>254</v>
      </c>
      <c r="C3" s="233">
        <v>1.0497E-3</v>
      </c>
      <c r="D3" s="234">
        <v>21074</v>
      </c>
    </row>
    <row r="4" spans="1:4">
      <c r="A4" s="192">
        <v>10400</v>
      </c>
      <c r="B4" s="214" t="s">
        <v>255</v>
      </c>
      <c r="C4" s="235">
        <v>2.9390000000000002E-3</v>
      </c>
      <c r="D4" s="236">
        <v>56416</v>
      </c>
    </row>
    <row r="5" spans="1:4">
      <c r="A5" s="194">
        <v>10500</v>
      </c>
      <c r="B5" s="211" t="s">
        <v>482</v>
      </c>
      <c r="C5" s="233">
        <v>6.7790000000000005E-4</v>
      </c>
      <c r="D5" s="234">
        <v>12767</v>
      </c>
    </row>
    <row r="6" spans="1:4">
      <c r="A6" s="192">
        <v>10700</v>
      </c>
      <c r="B6" s="214" t="s">
        <v>257</v>
      </c>
      <c r="C6" s="235">
        <v>4.5177000000000004E-3</v>
      </c>
      <c r="D6" s="236">
        <v>90181</v>
      </c>
    </row>
    <row r="7" spans="1:4">
      <c r="A7" s="194">
        <v>10800</v>
      </c>
      <c r="B7" s="211" t="s">
        <v>258</v>
      </c>
      <c r="C7" s="233">
        <v>1.9230299999999999E-2</v>
      </c>
      <c r="D7" s="234">
        <v>407355</v>
      </c>
    </row>
    <row r="8" spans="1:4">
      <c r="A8" s="192">
        <v>10850</v>
      </c>
      <c r="B8" s="214" t="s">
        <v>483</v>
      </c>
      <c r="C8" s="235">
        <v>1.5449999999999999E-4</v>
      </c>
      <c r="D8" s="236">
        <v>4032</v>
      </c>
    </row>
    <row r="9" spans="1:4">
      <c r="A9" s="194">
        <v>10900</v>
      </c>
      <c r="B9" s="211" t="s">
        <v>260</v>
      </c>
      <c r="C9" s="233">
        <v>1.5084E-3</v>
      </c>
      <c r="D9" s="234">
        <v>36622</v>
      </c>
    </row>
    <row r="10" spans="1:4">
      <c r="A10" s="192">
        <v>10910</v>
      </c>
      <c r="B10" s="214" t="s">
        <v>484</v>
      </c>
      <c r="C10" s="235">
        <v>5.3970000000000005E-4</v>
      </c>
      <c r="D10" s="236">
        <v>10522</v>
      </c>
    </row>
    <row r="11" spans="1:4">
      <c r="A11" s="194">
        <v>10930</v>
      </c>
      <c r="B11" s="211" t="s">
        <v>485</v>
      </c>
      <c r="C11" s="233">
        <v>4.9122999999999997E-3</v>
      </c>
      <c r="D11" s="234">
        <v>115969</v>
      </c>
    </row>
    <row r="12" spans="1:4">
      <c r="A12" s="192">
        <v>10940</v>
      </c>
      <c r="B12" s="214" t="s">
        <v>263</v>
      </c>
      <c r="C12" s="235">
        <v>6.6710000000000001E-4</v>
      </c>
      <c r="D12" s="236">
        <v>16044</v>
      </c>
    </row>
    <row r="13" spans="1:4">
      <c r="A13" s="194">
        <v>10950</v>
      </c>
      <c r="B13" s="211" t="s">
        <v>36</v>
      </c>
      <c r="C13" s="233">
        <v>1.016E-3</v>
      </c>
      <c r="D13" s="234">
        <v>20307</v>
      </c>
    </row>
    <row r="14" spans="1:4">
      <c r="A14" s="192">
        <v>11050</v>
      </c>
      <c r="B14" s="214" t="s">
        <v>486</v>
      </c>
      <c r="C14" s="235">
        <v>2.1880000000000001E-4</v>
      </c>
      <c r="D14" s="236">
        <v>5447</v>
      </c>
    </row>
    <row r="15" spans="1:4">
      <c r="A15" s="194">
        <v>11300</v>
      </c>
      <c r="B15" s="211" t="s">
        <v>487</v>
      </c>
      <c r="C15" s="233">
        <v>4.1248999999999999E-3</v>
      </c>
      <c r="D15" s="234">
        <v>96059</v>
      </c>
    </row>
    <row r="16" spans="1:4">
      <c r="A16" s="192">
        <v>11310</v>
      </c>
      <c r="B16" s="214" t="s">
        <v>112</v>
      </c>
      <c r="C16" s="235">
        <v>4.9379999999999997E-4</v>
      </c>
      <c r="D16" s="236">
        <v>11131</v>
      </c>
    </row>
    <row r="17" spans="1:4">
      <c r="A17" s="194">
        <v>11600</v>
      </c>
      <c r="B17" s="211" t="s">
        <v>268</v>
      </c>
      <c r="C17" s="233">
        <v>2.2074999999999998E-3</v>
      </c>
      <c r="D17" s="234">
        <v>40116</v>
      </c>
    </row>
    <row r="18" spans="1:4">
      <c r="A18" s="192">
        <v>11900</v>
      </c>
      <c r="B18" s="214" t="s">
        <v>269</v>
      </c>
      <c r="C18" s="235">
        <v>3.099E-4</v>
      </c>
      <c r="D18" s="236">
        <v>5650</v>
      </c>
    </row>
    <row r="19" spans="1:4">
      <c r="A19" s="194">
        <v>12100</v>
      </c>
      <c r="B19" s="211" t="s">
        <v>488</v>
      </c>
      <c r="C19" s="233">
        <v>2.9179999999999999E-4</v>
      </c>
      <c r="D19" s="234">
        <v>5843</v>
      </c>
    </row>
    <row r="20" spans="1:4">
      <c r="A20" s="192">
        <v>12150</v>
      </c>
      <c r="B20" s="214" t="s">
        <v>489</v>
      </c>
      <c r="C20" s="235">
        <v>4.5200000000000001E-5</v>
      </c>
      <c r="D20" s="236">
        <v>817</v>
      </c>
    </row>
    <row r="21" spans="1:4">
      <c r="A21" s="194">
        <v>12160</v>
      </c>
      <c r="B21" s="211" t="s">
        <v>272</v>
      </c>
      <c r="C21" s="233">
        <v>1.7685999999999999E-3</v>
      </c>
      <c r="D21" s="234">
        <v>38405</v>
      </c>
    </row>
    <row r="22" spans="1:4">
      <c r="A22" s="192">
        <v>12220</v>
      </c>
      <c r="B22" s="214" t="s">
        <v>490</v>
      </c>
      <c r="C22" s="235">
        <v>3.8884200000000001E-2</v>
      </c>
      <c r="D22" s="236">
        <v>862122</v>
      </c>
    </row>
    <row r="23" spans="1:4">
      <c r="A23" s="194">
        <v>12510</v>
      </c>
      <c r="B23" s="211" t="s">
        <v>274</v>
      </c>
      <c r="C23" s="233">
        <v>3.7615000000000001E-3</v>
      </c>
      <c r="D23" s="234">
        <v>90381</v>
      </c>
    </row>
    <row r="24" spans="1:4">
      <c r="A24" s="192">
        <v>12600</v>
      </c>
      <c r="B24" s="214" t="s">
        <v>491</v>
      </c>
      <c r="C24" s="235">
        <v>1.6731000000000001E-3</v>
      </c>
      <c r="D24" s="236">
        <v>39988</v>
      </c>
    </row>
    <row r="25" spans="1:4">
      <c r="A25" s="194">
        <v>12700</v>
      </c>
      <c r="B25" s="211" t="s">
        <v>492</v>
      </c>
      <c r="C25" s="233">
        <v>9.6020000000000003E-4</v>
      </c>
      <c r="D25" s="234">
        <v>23185</v>
      </c>
    </row>
    <row r="26" spans="1:4">
      <c r="A26" s="192">
        <v>13500</v>
      </c>
      <c r="B26" s="214" t="s">
        <v>493</v>
      </c>
      <c r="C26" s="235">
        <v>3.8105999999999999E-3</v>
      </c>
      <c r="D26" s="236">
        <v>83331</v>
      </c>
    </row>
    <row r="27" spans="1:4">
      <c r="A27" s="194">
        <v>13700</v>
      </c>
      <c r="B27" s="211" t="s">
        <v>494</v>
      </c>
      <c r="C27" s="233">
        <v>4.1340000000000002E-4</v>
      </c>
      <c r="D27" s="234">
        <v>10337</v>
      </c>
    </row>
    <row r="28" spans="1:4">
      <c r="A28" s="192">
        <v>14300</v>
      </c>
      <c r="B28" s="214" t="s">
        <v>495</v>
      </c>
      <c r="C28" s="235">
        <v>1.3305999999999999E-3</v>
      </c>
      <c r="D28" s="236">
        <v>28258</v>
      </c>
    </row>
    <row r="29" spans="1:4">
      <c r="A29" s="237">
        <v>14300.2</v>
      </c>
      <c r="B29" s="238" t="s">
        <v>519</v>
      </c>
      <c r="C29" s="233">
        <v>1.7780000000000001E-4</v>
      </c>
      <c r="D29" s="234">
        <v>3835</v>
      </c>
    </row>
    <row r="30" spans="1:4">
      <c r="A30" s="192">
        <v>18400</v>
      </c>
      <c r="B30" s="214" t="s">
        <v>496</v>
      </c>
      <c r="C30" s="235">
        <v>4.5951999999999998E-3</v>
      </c>
      <c r="D30" s="236">
        <v>99100</v>
      </c>
    </row>
    <row r="31" spans="1:4">
      <c r="A31" s="194">
        <v>18600</v>
      </c>
      <c r="B31" s="211" t="s">
        <v>497</v>
      </c>
      <c r="C31" s="233">
        <v>1.13E-5</v>
      </c>
      <c r="D31" s="234">
        <v>311</v>
      </c>
    </row>
    <row r="32" spans="1:4">
      <c r="A32" s="192">
        <v>18640</v>
      </c>
      <c r="B32" s="214" t="s">
        <v>283</v>
      </c>
      <c r="C32" s="235">
        <v>1.7E-6</v>
      </c>
      <c r="D32" s="236">
        <v>41</v>
      </c>
    </row>
    <row r="33" spans="1:4">
      <c r="A33" s="194">
        <v>18740</v>
      </c>
      <c r="B33" s="211" t="s">
        <v>498</v>
      </c>
      <c r="C33" s="233">
        <v>4.8999999999999997E-6</v>
      </c>
      <c r="D33" s="234">
        <v>163</v>
      </c>
    </row>
    <row r="34" spans="1:4">
      <c r="A34" s="192">
        <v>18780</v>
      </c>
      <c r="B34" s="214" t="s">
        <v>499</v>
      </c>
      <c r="C34" s="235">
        <v>2.4899999999999999E-5</v>
      </c>
      <c r="D34" s="236">
        <v>384</v>
      </c>
    </row>
    <row r="35" spans="1:4">
      <c r="A35" s="194">
        <v>19005</v>
      </c>
      <c r="B35" s="211" t="s">
        <v>500</v>
      </c>
      <c r="C35" s="233">
        <v>7.7099999999999998E-4</v>
      </c>
      <c r="D35" s="234">
        <v>18929</v>
      </c>
    </row>
    <row r="36" spans="1:4">
      <c r="A36" s="192">
        <v>19100</v>
      </c>
      <c r="B36" s="214" t="s">
        <v>286</v>
      </c>
      <c r="C36" s="235">
        <v>1.7468299999999999E-2</v>
      </c>
      <c r="D36" s="236">
        <v>540336</v>
      </c>
    </row>
    <row r="37" spans="1:4">
      <c r="A37" s="194">
        <v>19120</v>
      </c>
      <c r="B37" s="211" t="s">
        <v>540</v>
      </c>
      <c r="C37" s="233">
        <v>4.4783999999999997E-2</v>
      </c>
      <c r="D37" s="234">
        <v>659243</v>
      </c>
    </row>
    <row r="38" spans="1:4">
      <c r="A38" s="192">
        <v>20100</v>
      </c>
      <c r="B38" s="214" t="s">
        <v>37</v>
      </c>
      <c r="C38" s="235">
        <v>1.12929E-2</v>
      </c>
      <c r="D38" s="236">
        <v>223686</v>
      </c>
    </row>
    <row r="39" spans="1:4">
      <c r="A39" s="194">
        <v>20200</v>
      </c>
      <c r="B39" s="211" t="s">
        <v>38</v>
      </c>
      <c r="C39" s="233">
        <v>1.5417E-3</v>
      </c>
      <c r="D39" s="234">
        <v>32339</v>
      </c>
    </row>
    <row r="40" spans="1:4">
      <c r="A40" s="192">
        <v>20300</v>
      </c>
      <c r="B40" s="214" t="s">
        <v>39</v>
      </c>
      <c r="C40" s="235">
        <v>2.3083200000000002E-2</v>
      </c>
      <c r="D40" s="236">
        <v>448006</v>
      </c>
    </row>
    <row r="41" spans="1:4">
      <c r="A41" s="194">
        <v>20400</v>
      </c>
      <c r="B41" s="211" t="s">
        <v>40</v>
      </c>
      <c r="C41" s="233">
        <v>1.2367999999999999E-3</v>
      </c>
      <c r="D41" s="234">
        <v>26243</v>
      </c>
    </row>
    <row r="42" spans="1:4">
      <c r="A42" s="192">
        <v>20600</v>
      </c>
      <c r="B42" s="214" t="s">
        <v>41</v>
      </c>
      <c r="C42" s="235">
        <v>2.7596000000000001E-3</v>
      </c>
      <c r="D42" s="236">
        <v>59001</v>
      </c>
    </row>
    <row r="43" spans="1:4">
      <c r="A43" s="194">
        <v>20700</v>
      </c>
      <c r="B43" s="211" t="s">
        <v>42</v>
      </c>
      <c r="C43" s="233">
        <v>5.8196000000000003E-3</v>
      </c>
      <c r="D43" s="234">
        <v>124502</v>
      </c>
    </row>
    <row r="44" spans="1:4">
      <c r="A44" s="192">
        <v>20800</v>
      </c>
      <c r="B44" s="214" t="s">
        <v>43</v>
      </c>
      <c r="C44" s="235">
        <v>3.9347000000000002E-3</v>
      </c>
      <c r="D44" s="236">
        <v>87899</v>
      </c>
    </row>
    <row r="45" spans="1:4">
      <c r="A45" s="194">
        <v>20900</v>
      </c>
      <c r="B45" s="211" t="s">
        <v>544</v>
      </c>
      <c r="C45" s="233">
        <v>9.5901000000000007E-3</v>
      </c>
      <c r="D45" s="234">
        <v>191375</v>
      </c>
    </row>
    <row r="46" spans="1:4">
      <c r="A46" s="192">
        <v>21200</v>
      </c>
      <c r="B46" s="214" t="s">
        <v>45</v>
      </c>
      <c r="C46" s="235">
        <v>3.1254999999999998E-3</v>
      </c>
      <c r="D46" s="236">
        <v>61548</v>
      </c>
    </row>
    <row r="47" spans="1:4">
      <c r="A47" s="194">
        <v>21300</v>
      </c>
      <c r="B47" s="211" t="s">
        <v>46</v>
      </c>
      <c r="C47" s="233">
        <v>3.8789900000000002E-2</v>
      </c>
      <c r="D47" s="234">
        <v>759708</v>
      </c>
    </row>
    <row r="48" spans="1:4">
      <c r="A48" s="192">
        <v>21520</v>
      </c>
      <c r="B48" s="214" t="s">
        <v>292</v>
      </c>
      <c r="C48" s="235">
        <v>7.6171600000000006E-2</v>
      </c>
      <c r="D48" s="236">
        <v>1466907</v>
      </c>
    </row>
    <row r="49" spans="1:4">
      <c r="A49" s="194">
        <v>21525</v>
      </c>
      <c r="B49" s="211" t="s">
        <v>501</v>
      </c>
      <c r="C49" s="233">
        <v>1.7985E-3</v>
      </c>
      <c r="D49" s="234">
        <v>36099</v>
      </c>
    </row>
    <row r="50" spans="1:4">
      <c r="A50" s="239">
        <v>21525.200000000001</v>
      </c>
      <c r="B50" s="240" t="s">
        <v>294</v>
      </c>
      <c r="C50" s="235">
        <v>1.426E-4</v>
      </c>
      <c r="D50" s="236">
        <v>4544</v>
      </c>
    </row>
    <row r="51" spans="1:4">
      <c r="A51" s="194">
        <v>21550</v>
      </c>
      <c r="B51" s="211" t="s">
        <v>48</v>
      </c>
      <c r="C51" s="233">
        <v>4.6915999999999999E-2</v>
      </c>
      <c r="D51" s="234">
        <v>860057</v>
      </c>
    </row>
    <row r="52" spans="1:4">
      <c r="A52" s="192">
        <v>21570</v>
      </c>
      <c r="B52" s="214" t="s">
        <v>295</v>
      </c>
      <c r="C52" s="235">
        <v>2.307E-4</v>
      </c>
      <c r="D52" s="236">
        <v>4554</v>
      </c>
    </row>
    <row r="53" spans="1:4">
      <c r="A53" s="194">
        <v>21800</v>
      </c>
      <c r="B53" s="211" t="s">
        <v>49</v>
      </c>
      <c r="C53" s="233">
        <v>5.8925999999999996E-3</v>
      </c>
      <c r="D53" s="234">
        <v>113890</v>
      </c>
    </row>
    <row r="54" spans="1:4">
      <c r="A54" s="192">
        <v>21900</v>
      </c>
      <c r="B54" s="214" t="s">
        <v>50</v>
      </c>
      <c r="C54" s="235">
        <v>2.4716999999999999E-3</v>
      </c>
      <c r="D54" s="236">
        <v>55198</v>
      </c>
    </row>
    <row r="55" spans="1:4">
      <c r="A55" s="194">
        <v>22000</v>
      </c>
      <c r="B55" s="211" t="s">
        <v>296</v>
      </c>
      <c r="C55" s="233">
        <v>3.2755000000000002E-3</v>
      </c>
      <c r="D55" s="234">
        <v>75041</v>
      </c>
    </row>
    <row r="56" spans="1:4">
      <c r="A56" s="192">
        <v>23000</v>
      </c>
      <c r="B56" s="214" t="s">
        <v>51</v>
      </c>
      <c r="C56" s="235">
        <v>2.3381000000000001E-3</v>
      </c>
      <c r="D56" s="236">
        <v>45940</v>
      </c>
    </row>
    <row r="57" spans="1:4">
      <c r="A57" s="194">
        <v>23100</v>
      </c>
      <c r="B57" s="211" t="s">
        <v>52</v>
      </c>
      <c r="C57" s="233">
        <v>1.5570799999999999E-2</v>
      </c>
      <c r="D57" s="234">
        <v>299910</v>
      </c>
    </row>
    <row r="58" spans="1:4">
      <c r="A58" s="192">
        <v>23200</v>
      </c>
      <c r="B58" s="214" t="s">
        <v>53</v>
      </c>
      <c r="C58" s="235">
        <v>9.1435000000000006E-3</v>
      </c>
      <c r="D58" s="236">
        <v>172726</v>
      </c>
    </row>
    <row r="59" spans="1:4">
      <c r="A59" s="194">
        <v>30000</v>
      </c>
      <c r="B59" s="211" t="s">
        <v>297</v>
      </c>
      <c r="C59" s="233">
        <v>7.0799999999999997E-4</v>
      </c>
      <c r="D59" s="234">
        <v>14730</v>
      </c>
    </row>
    <row r="60" spans="1:4">
      <c r="A60" s="192">
        <v>30100</v>
      </c>
      <c r="B60" s="214" t="s">
        <v>298</v>
      </c>
      <c r="C60" s="235">
        <v>7.4045999999999999E-3</v>
      </c>
      <c r="D60" s="236">
        <v>139506</v>
      </c>
    </row>
    <row r="61" spans="1:4">
      <c r="A61" s="194">
        <v>30102</v>
      </c>
      <c r="B61" s="211" t="s">
        <v>299</v>
      </c>
      <c r="C61" s="233">
        <v>1.894E-4</v>
      </c>
      <c r="D61" s="234">
        <v>3216</v>
      </c>
    </row>
    <row r="62" spans="1:4">
      <c r="A62" s="192">
        <v>30103</v>
      </c>
      <c r="B62" s="214" t="s">
        <v>300</v>
      </c>
      <c r="C62" s="235">
        <v>2.0440000000000001E-4</v>
      </c>
      <c r="D62" s="236">
        <v>3724</v>
      </c>
    </row>
    <row r="63" spans="1:4">
      <c r="A63" s="194">
        <v>30104</v>
      </c>
      <c r="B63" s="211" t="s">
        <v>301</v>
      </c>
      <c r="C63" s="233">
        <v>1.6369999999999999E-4</v>
      </c>
      <c r="D63" s="234">
        <v>2778</v>
      </c>
    </row>
    <row r="64" spans="1:4">
      <c r="A64" s="192">
        <v>30105</v>
      </c>
      <c r="B64" s="214" t="s">
        <v>54</v>
      </c>
      <c r="C64" s="235">
        <v>6.8970000000000001E-4</v>
      </c>
      <c r="D64" s="236">
        <v>14960</v>
      </c>
    </row>
    <row r="65" spans="1:4">
      <c r="A65" s="194">
        <v>30200</v>
      </c>
      <c r="B65" s="211" t="s">
        <v>302</v>
      </c>
      <c r="C65" s="233">
        <v>1.6385E-3</v>
      </c>
      <c r="D65" s="234">
        <v>32881</v>
      </c>
    </row>
    <row r="66" spans="1:4">
      <c r="A66" s="192">
        <v>30300</v>
      </c>
      <c r="B66" s="214" t="s">
        <v>303</v>
      </c>
      <c r="C66" s="235">
        <v>5.7660000000000003E-4</v>
      </c>
      <c r="D66" s="236">
        <v>11052</v>
      </c>
    </row>
    <row r="67" spans="1:4">
      <c r="A67" s="194">
        <v>30400</v>
      </c>
      <c r="B67" s="211" t="s">
        <v>304</v>
      </c>
      <c r="C67" s="233">
        <v>1.1096999999999999E-3</v>
      </c>
      <c r="D67" s="234">
        <v>21760</v>
      </c>
    </row>
    <row r="68" spans="1:4">
      <c r="A68" s="192">
        <v>30405</v>
      </c>
      <c r="B68" s="214" t="s">
        <v>55</v>
      </c>
      <c r="C68" s="235">
        <v>6.29E-4</v>
      </c>
      <c r="D68" s="236">
        <v>12772</v>
      </c>
    </row>
    <row r="69" spans="1:4">
      <c r="A69" s="194">
        <v>30500</v>
      </c>
      <c r="B69" s="211" t="s">
        <v>305</v>
      </c>
      <c r="C69" s="233">
        <v>1.0471E-3</v>
      </c>
      <c r="D69" s="234">
        <v>21662</v>
      </c>
    </row>
    <row r="70" spans="1:4">
      <c r="A70" s="192">
        <v>30600</v>
      </c>
      <c r="B70" s="214" t="s">
        <v>306</v>
      </c>
      <c r="C70" s="235">
        <v>8.3759999999999998E-4</v>
      </c>
      <c r="D70" s="236">
        <v>16104</v>
      </c>
    </row>
    <row r="71" spans="1:4">
      <c r="A71" s="194">
        <v>30700</v>
      </c>
      <c r="B71" s="211" t="s">
        <v>308</v>
      </c>
      <c r="C71" s="233">
        <v>2.1767000000000002E-3</v>
      </c>
      <c r="D71" s="234">
        <v>42701</v>
      </c>
    </row>
    <row r="72" spans="1:4">
      <c r="A72" s="192">
        <v>30705</v>
      </c>
      <c r="B72" s="214" t="s">
        <v>56</v>
      </c>
      <c r="C72" s="235">
        <v>4.526E-4</v>
      </c>
      <c r="D72" s="236">
        <v>8849</v>
      </c>
    </row>
    <row r="73" spans="1:4">
      <c r="A73" s="194">
        <v>30800</v>
      </c>
      <c r="B73" s="211" t="s">
        <v>309</v>
      </c>
      <c r="C73" s="233">
        <v>6.1249999999999998E-4</v>
      </c>
      <c r="D73" s="234">
        <v>14676</v>
      </c>
    </row>
    <row r="74" spans="1:4">
      <c r="A74" s="192">
        <v>30900</v>
      </c>
      <c r="B74" s="214" t="s">
        <v>310</v>
      </c>
      <c r="C74" s="235">
        <v>1.4756999999999999E-3</v>
      </c>
      <c r="D74" s="236">
        <v>32297</v>
      </c>
    </row>
    <row r="75" spans="1:4">
      <c r="A75" s="194">
        <v>30905</v>
      </c>
      <c r="B75" s="211" t="s">
        <v>57</v>
      </c>
      <c r="C75" s="233">
        <v>2.6200000000000003E-4</v>
      </c>
      <c r="D75" s="234">
        <v>6025</v>
      </c>
    </row>
    <row r="76" spans="1:4">
      <c r="A76" s="192">
        <v>31000</v>
      </c>
      <c r="B76" s="214" t="s">
        <v>311</v>
      </c>
      <c r="C76" s="235">
        <v>4.3682E-3</v>
      </c>
      <c r="D76" s="236">
        <v>86195</v>
      </c>
    </row>
    <row r="77" spans="1:4">
      <c r="A77" s="194">
        <v>31005</v>
      </c>
      <c r="B77" s="211" t="s">
        <v>58</v>
      </c>
      <c r="C77" s="233">
        <v>4.1439999999999999E-4</v>
      </c>
      <c r="D77" s="234">
        <v>8827</v>
      </c>
    </row>
    <row r="78" spans="1:4">
      <c r="A78" s="192">
        <v>31100</v>
      </c>
      <c r="B78" s="214" t="s">
        <v>312</v>
      </c>
      <c r="C78" s="235">
        <v>8.4936999999999999E-3</v>
      </c>
      <c r="D78" s="236">
        <v>168729</v>
      </c>
    </row>
    <row r="79" spans="1:4">
      <c r="A79" s="194">
        <v>31101</v>
      </c>
      <c r="B79" s="211" t="s">
        <v>502</v>
      </c>
      <c r="C79" s="233">
        <v>5.63E-5</v>
      </c>
      <c r="D79" s="234">
        <v>1116</v>
      </c>
    </row>
    <row r="80" spans="1:4">
      <c r="A80" s="192">
        <v>31102</v>
      </c>
      <c r="B80" s="214" t="s">
        <v>314</v>
      </c>
      <c r="C80" s="235">
        <v>1.5789999999999999E-4</v>
      </c>
      <c r="D80" s="236">
        <v>2749</v>
      </c>
    </row>
    <row r="81" spans="1:4">
      <c r="A81" s="194">
        <v>31105</v>
      </c>
      <c r="B81" s="211" t="s">
        <v>59</v>
      </c>
      <c r="C81" s="233">
        <v>1.3024E-3</v>
      </c>
      <c r="D81" s="234">
        <v>26759</v>
      </c>
    </row>
    <row r="82" spans="1:4">
      <c r="A82" s="192">
        <v>31110</v>
      </c>
      <c r="B82" s="214" t="s">
        <v>315</v>
      </c>
      <c r="C82" s="235">
        <v>1.9634000000000001E-3</v>
      </c>
      <c r="D82" s="236">
        <v>37200</v>
      </c>
    </row>
    <row r="83" spans="1:4">
      <c r="A83" s="194">
        <v>31200</v>
      </c>
      <c r="B83" s="211" t="s">
        <v>316</v>
      </c>
      <c r="C83" s="233">
        <v>3.6595E-3</v>
      </c>
      <c r="D83" s="234">
        <v>73757</v>
      </c>
    </row>
    <row r="84" spans="1:4">
      <c r="A84" s="192">
        <v>31205</v>
      </c>
      <c r="B84" s="214" t="s">
        <v>60</v>
      </c>
      <c r="C84" s="235">
        <v>3.9189999999999998E-4</v>
      </c>
      <c r="D84" s="236">
        <v>8960</v>
      </c>
    </row>
    <row r="85" spans="1:4">
      <c r="A85" s="194">
        <v>31300</v>
      </c>
      <c r="B85" s="211" t="s">
        <v>318</v>
      </c>
      <c r="C85" s="233">
        <v>1.1225600000000001E-2</v>
      </c>
      <c r="D85" s="234">
        <v>207892</v>
      </c>
    </row>
    <row r="86" spans="1:4">
      <c r="A86" s="192">
        <v>31301</v>
      </c>
      <c r="B86" s="214" t="s">
        <v>319</v>
      </c>
      <c r="C86" s="235">
        <v>2.0010000000000001E-4</v>
      </c>
      <c r="D86" s="236">
        <v>3476</v>
      </c>
    </row>
    <row r="87" spans="1:4">
      <c r="A87" s="194">
        <v>31320</v>
      </c>
      <c r="B87" s="211" t="s">
        <v>320</v>
      </c>
      <c r="C87" s="233">
        <v>1.9046E-3</v>
      </c>
      <c r="D87" s="234">
        <v>34918</v>
      </c>
    </row>
    <row r="88" spans="1:4">
      <c r="A88" s="192">
        <v>31400</v>
      </c>
      <c r="B88" s="214" t="s">
        <v>321</v>
      </c>
      <c r="C88" s="235">
        <v>3.4404000000000001E-3</v>
      </c>
      <c r="D88" s="236">
        <v>72036</v>
      </c>
    </row>
    <row r="89" spans="1:4">
      <c r="A89" s="194">
        <v>31405</v>
      </c>
      <c r="B89" s="211" t="s">
        <v>61</v>
      </c>
      <c r="C89" s="233">
        <v>8.229E-4</v>
      </c>
      <c r="D89" s="234">
        <v>18223</v>
      </c>
    </row>
    <row r="90" spans="1:4">
      <c r="A90" s="192">
        <v>31500</v>
      </c>
      <c r="B90" s="214" t="s">
        <v>322</v>
      </c>
      <c r="C90" s="235">
        <v>6.602E-4</v>
      </c>
      <c r="D90" s="236">
        <v>14299</v>
      </c>
    </row>
    <row r="91" spans="1:4">
      <c r="A91" s="194">
        <v>31600</v>
      </c>
      <c r="B91" s="211" t="s">
        <v>323</v>
      </c>
      <c r="C91" s="233">
        <v>2.8064000000000001E-3</v>
      </c>
      <c r="D91" s="234">
        <v>56935</v>
      </c>
    </row>
    <row r="92" spans="1:4">
      <c r="A92" s="192">
        <v>31605</v>
      </c>
      <c r="B92" s="214" t="s">
        <v>62</v>
      </c>
      <c r="C92" s="235">
        <v>4.4240000000000002E-4</v>
      </c>
      <c r="D92" s="236">
        <v>9745</v>
      </c>
    </row>
    <row r="93" spans="1:4">
      <c r="A93" s="194">
        <v>31700</v>
      </c>
      <c r="B93" s="211" t="s">
        <v>324</v>
      </c>
      <c r="C93" s="233">
        <v>7.7130000000000005E-4</v>
      </c>
      <c r="D93" s="234">
        <v>16183</v>
      </c>
    </row>
    <row r="94" spans="1:4">
      <c r="A94" s="192">
        <v>31800</v>
      </c>
      <c r="B94" s="214" t="s">
        <v>325</v>
      </c>
      <c r="C94" s="235">
        <v>4.9418999999999999E-3</v>
      </c>
      <c r="D94" s="236">
        <v>100737</v>
      </c>
    </row>
    <row r="95" spans="1:4">
      <c r="A95" s="194">
        <v>31805</v>
      </c>
      <c r="B95" s="211" t="s">
        <v>63</v>
      </c>
      <c r="C95" s="233">
        <v>1.0973000000000001E-3</v>
      </c>
      <c r="D95" s="234">
        <v>22797</v>
      </c>
    </row>
    <row r="96" spans="1:4">
      <c r="A96" s="192">
        <v>31810</v>
      </c>
      <c r="B96" s="214" t="s">
        <v>326</v>
      </c>
      <c r="C96" s="235">
        <v>1.1603E-3</v>
      </c>
      <c r="D96" s="236">
        <v>24234</v>
      </c>
    </row>
    <row r="97" spans="1:4">
      <c r="A97" s="194">
        <v>31820</v>
      </c>
      <c r="B97" s="211" t="s">
        <v>327</v>
      </c>
      <c r="C97" s="233">
        <v>9.8069999999999993E-4</v>
      </c>
      <c r="D97" s="234">
        <v>19599</v>
      </c>
    </row>
    <row r="98" spans="1:4">
      <c r="A98" s="192">
        <v>31900</v>
      </c>
      <c r="B98" s="214" t="s">
        <v>328</v>
      </c>
      <c r="C98" s="235">
        <v>3.2734999999999999E-3</v>
      </c>
      <c r="D98" s="236">
        <v>62985</v>
      </c>
    </row>
    <row r="99" spans="1:4">
      <c r="A99" s="194">
        <v>32000</v>
      </c>
      <c r="B99" s="211" t="s">
        <v>329</v>
      </c>
      <c r="C99" s="233">
        <v>1.2290999999999999E-3</v>
      </c>
      <c r="D99" s="234">
        <v>24182</v>
      </c>
    </row>
    <row r="100" spans="1:4">
      <c r="A100" s="192">
        <v>32005</v>
      </c>
      <c r="B100" s="214" t="s">
        <v>64</v>
      </c>
      <c r="C100" s="235">
        <v>3.1839999999999999E-4</v>
      </c>
      <c r="D100" s="236">
        <v>6056</v>
      </c>
    </row>
    <row r="101" spans="1:4">
      <c r="A101" s="194">
        <v>32100</v>
      </c>
      <c r="B101" s="211" t="s">
        <v>330</v>
      </c>
      <c r="C101" s="233">
        <v>7.0220000000000005E-4</v>
      </c>
      <c r="D101" s="234">
        <v>14519</v>
      </c>
    </row>
    <row r="102" spans="1:4">
      <c r="A102" s="192">
        <v>32200</v>
      </c>
      <c r="B102" s="214" t="s">
        <v>331</v>
      </c>
      <c r="C102" s="235">
        <v>5.3479999999999999E-4</v>
      </c>
      <c r="D102" s="236">
        <v>10293</v>
      </c>
    </row>
    <row r="103" spans="1:4">
      <c r="A103" s="194">
        <v>32300</v>
      </c>
      <c r="B103" s="211" t="s">
        <v>332</v>
      </c>
      <c r="C103" s="233">
        <v>4.8611000000000001E-3</v>
      </c>
      <c r="D103" s="234">
        <v>97075</v>
      </c>
    </row>
    <row r="104" spans="1:4">
      <c r="A104" s="192">
        <v>32305</v>
      </c>
      <c r="B104" s="214" t="s">
        <v>333</v>
      </c>
      <c r="C104" s="235">
        <v>6.0019999999999995E-4</v>
      </c>
      <c r="D104" s="236">
        <v>12105</v>
      </c>
    </row>
    <row r="105" spans="1:4">
      <c r="A105" s="194">
        <v>32400</v>
      </c>
      <c r="B105" s="211" t="s">
        <v>334</v>
      </c>
      <c r="C105" s="233">
        <v>1.7574000000000001E-3</v>
      </c>
      <c r="D105" s="234">
        <v>35326</v>
      </c>
    </row>
    <row r="106" spans="1:4">
      <c r="A106" s="192">
        <v>32405</v>
      </c>
      <c r="B106" s="214" t="s">
        <v>66</v>
      </c>
      <c r="C106" s="235">
        <v>4.3070000000000001E-4</v>
      </c>
      <c r="D106" s="236">
        <v>9158</v>
      </c>
    </row>
    <row r="107" spans="1:4">
      <c r="A107" s="194">
        <v>32410</v>
      </c>
      <c r="B107" s="211" t="s">
        <v>335</v>
      </c>
      <c r="C107" s="233">
        <v>7.9149999999999999E-4</v>
      </c>
      <c r="D107" s="234">
        <v>16260</v>
      </c>
    </row>
    <row r="108" spans="1:4">
      <c r="A108" s="192">
        <v>32500</v>
      </c>
      <c r="B108" s="214" t="s">
        <v>336</v>
      </c>
      <c r="C108" s="235">
        <v>4.2170000000000003E-3</v>
      </c>
      <c r="D108" s="236">
        <v>79664</v>
      </c>
    </row>
    <row r="109" spans="1:4">
      <c r="A109" s="194">
        <v>32505</v>
      </c>
      <c r="B109" s="211" t="s">
        <v>67</v>
      </c>
      <c r="C109" s="233">
        <v>6.669E-4</v>
      </c>
      <c r="D109" s="234">
        <v>13623</v>
      </c>
    </row>
    <row r="110" spans="1:4">
      <c r="A110" s="192">
        <v>32600</v>
      </c>
      <c r="B110" s="214" t="s">
        <v>337</v>
      </c>
      <c r="C110" s="235">
        <v>1.5315E-2</v>
      </c>
      <c r="D110" s="236">
        <v>293991</v>
      </c>
    </row>
    <row r="111" spans="1:4">
      <c r="A111" s="194">
        <v>32605</v>
      </c>
      <c r="B111" s="211" t="s">
        <v>68</v>
      </c>
      <c r="C111" s="233">
        <v>2.6773000000000001E-3</v>
      </c>
      <c r="D111" s="234">
        <v>53502</v>
      </c>
    </row>
    <row r="112" spans="1:4">
      <c r="A112" s="192">
        <v>32700</v>
      </c>
      <c r="B112" s="214" t="s">
        <v>338</v>
      </c>
      <c r="C112" s="235">
        <v>1.5868E-3</v>
      </c>
      <c r="D112" s="236">
        <v>30304</v>
      </c>
    </row>
    <row r="113" spans="1:4">
      <c r="A113" s="194">
        <v>32800</v>
      </c>
      <c r="B113" s="211" t="s">
        <v>339</v>
      </c>
      <c r="C113" s="233">
        <v>2.0883E-3</v>
      </c>
      <c r="D113" s="234">
        <v>39752</v>
      </c>
    </row>
    <row r="114" spans="1:4">
      <c r="A114" s="192">
        <v>32900</v>
      </c>
      <c r="B114" s="214" t="s">
        <v>340</v>
      </c>
      <c r="C114" s="235">
        <v>5.2913999999999999E-3</v>
      </c>
      <c r="D114" s="236">
        <v>104592</v>
      </c>
    </row>
    <row r="115" spans="1:4">
      <c r="A115" s="194">
        <v>32901</v>
      </c>
      <c r="B115" s="211" t="s">
        <v>341</v>
      </c>
      <c r="C115" s="233">
        <v>8.6399999999999999E-5</v>
      </c>
      <c r="D115" s="234">
        <v>1582</v>
      </c>
    </row>
    <row r="116" spans="1:4">
      <c r="A116" s="192">
        <v>32904</v>
      </c>
      <c r="B116" s="214" t="s">
        <v>342</v>
      </c>
      <c r="C116" s="235">
        <v>9.3499999999999996E-5</v>
      </c>
      <c r="D116" s="236">
        <v>1483</v>
      </c>
    </row>
    <row r="117" spans="1:4">
      <c r="A117" s="194">
        <v>32905</v>
      </c>
      <c r="B117" s="211" t="s">
        <v>503</v>
      </c>
      <c r="C117" s="233">
        <v>7.517E-4</v>
      </c>
      <c r="D117" s="234">
        <v>15506</v>
      </c>
    </row>
    <row r="118" spans="1:4">
      <c r="A118" s="192">
        <v>32910</v>
      </c>
      <c r="B118" s="214" t="s">
        <v>343</v>
      </c>
      <c r="C118" s="235">
        <v>1.0338000000000001E-3</v>
      </c>
      <c r="D118" s="236">
        <v>19917</v>
      </c>
    </row>
    <row r="119" spans="1:4">
      <c r="A119" s="194">
        <v>32915</v>
      </c>
      <c r="B119" s="211" t="s">
        <v>344</v>
      </c>
      <c r="C119" s="233">
        <v>1.247E-4</v>
      </c>
      <c r="D119" s="234">
        <v>2067</v>
      </c>
    </row>
    <row r="120" spans="1:4">
      <c r="A120" s="192">
        <v>32920</v>
      </c>
      <c r="B120" s="214" t="s">
        <v>345</v>
      </c>
      <c r="C120" s="235">
        <v>8.3219999999999995E-4</v>
      </c>
      <c r="D120" s="236">
        <v>15767</v>
      </c>
    </row>
    <row r="121" spans="1:4">
      <c r="A121" s="194">
        <v>33000</v>
      </c>
      <c r="B121" s="211" t="s">
        <v>346</v>
      </c>
      <c r="C121" s="233">
        <v>2.0022E-3</v>
      </c>
      <c r="D121" s="234">
        <v>39879</v>
      </c>
    </row>
    <row r="122" spans="1:4">
      <c r="A122" s="192">
        <v>33001</v>
      </c>
      <c r="B122" s="214" t="s">
        <v>504</v>
      </c>
      <c r="C122" s="235">
        <v>3.2100000000000001E-5</v>
      </c>
      <c r="D122" s="236">
        <v>709</v>
      </c>
    </row>
    <row r="123" spans="1:4">
      <c r="A123" s="194">
        <v>33027</v>
      </c>
      <c r="B123" s="211" t="s">
        <v>348</v>
      </c>
      <c r="C123" s="233">
        <v>3.3270000000000001E-4</v>
      </c>
      <c r="D123" s="234">
        <v>6028</v>
      </c>
    </row>
    <row r="124" spans="1:4">
      <c r="A124" s="192">
        <v>33100</v>
      </c>
      <c r="B124" s="214" t="s">
        <v>349</v>
      </c>
      <c r="C124" s="235">
        <v>2.8893E-3</v>
      </c>
      <c r="D124" s="236">
        <v>58775</v>
      </c>
    </row>
    <row r="125" spans="1:4">
      <c r="A125" s="194">
        <v>33105</v>
      </c>
      <c r="B125" s="211" t="s">
        <v>70</v>
      </c>
      <c r="C125" s="233">
        <v>3.7760000000000002E-4</v>
      </c>
      <c r="D125" s="234">
        <v>7533</v>
      </c>
    </row>
    <row r="126" spans="1:4">
      <c r="A126" s="192">
        <v>33200</v>
      </c>
      <c r="B126" s="214" t="s">
        <v>350</v>
      </c>
      <c r="C126" s="235">
        <v>1.39904E-2</v>
      </c>
      <c r="D126" s="236">
        <v>265047</v>
      </c>
    </row>
    <row r="127" spans="1:4">
      <c r="A127" s="194">
        <v>33202</v>
      </c>
      <c r="B127" s="211" t="s">
        <v>505</v>
      </c>
      <c r="C127" s="233">
        <v>2.5720000000000002E-4</v>
      </c>
      <c r="D127" s="234">
        <v>3962</v>
      </c>
    </row>
    <row r="128" spans="1:4">
      <c r="A128" s="192">
        <v>33203</v>
      </c>
      <c r="B128" s="214" t="s">
        <v>352</v>
      </c>
      <c r="C128" s="235">
        <v>2.5070000000000002E-4</v>
      </c>
      <c r="D128" s="236">
        <v>3909</v>
      </c>
    </row>
    <row r="129" spans="1:5">
      <c r="A129" s="194">
        <v>33204</v>
      </c>
      <c r="B129" s="211" t="s">
        <v>353</v>
      </c>
      <c r="C129" s="233">
        <v>4.3560000000000002E-4</v>
      </c>
      <c r="D129" s="234">
        <v>7612</v>
      </c>
    </row>
    <row r="130" spans="1:5">
      <c r="A130" s="192">
        <v>33205</v>
      </c>
      <c r="B130" s="214" t="s">
        <v>71</v>
      </c>
      <c r="C130" s="235">
        <v>1.1379999999999999E-3</v>
      </c>
      <c r="D130" s="236">
        <v>23717</v>
      </c>
    </row>
    <row r="131" spans="1:5">
      <c r="A131" s="194">
        <v>33206</v>
      </c>
      <c r="B131" s="211" t="s">
        <v>354</v>
      </c>
      <c r="C131" s="233">
        <v>1.0679999999999999E-4</v>
      </c>
      <c r="D131" s="234">
        <v>2285</v>
      </c>
    </row>
    <row r="132" spans="1:5">
      <c r="A132" s="192">
        <v>33207</v>
      </c>
      <c r="B132" s="214" t="s">
        <v>355</v>
      </c>
      <c r="C132" s="235">
        <v>5.1110000000000001E-4</v>
      </c>
      <c r="D132" s="236">
        <v>7215</v>
      </c>
      <c r="E132" s="2"/>
    </row>
    <row r="133" spans="1:5">
      <c r="A133" s="194">
        <v>33300</v>
      </c>
      <c r="B133" s="211" t="s">
        <v>357</v>
      </c>
      <c r="C133" s="233">
        <v>1.9756999999999999E-3</v>
      </c>
      <c r="D133" s="234">
        <v>37463</v>
      </c>
    </row>
    <row r="134" spans="1:5">
      <c r="A134" s="192">
        <v>33305</v>
      </c>
      <c r="B134" s="214" t="s">
        <v>72</v>
      </c>
      <c r="C134" s="235">
        <v>4.0230000000000002E-4</v>
      </c>
      <c r="D134" s="236">
        <v>8492</v>
      </c>
    </row>
    <row r="135" spans="1:5">
      <c r="A135" s="194">
        <v>33400</v>
      </c>
      <c r="B135" s="211" t="s">
        <v>358</v>
      </c>
      <c r="C135" s="233">
        <v>1.8623500000000001E-2</v>
      </c>
      <c r="D135" s="234">
        <v>361735</v>
      </c>
    </row>
    <row r="136" spans="1:5">
      <c r="A136" s="192">
        <v>33402</v>
      </c>
      <c r="B136" s="214" t="s">
        <v>359</v>
      </c>
      <c r="C136" s="235">
        <v>1.8029999999999999E-4</v>
      </c>
      <c r="D136" s="236">
        <v>3012</v>
      </c>
    </row>
    <row r="137" spans="1:5">
      <c r="A137" s="194">
        <v>33405</v>
      </c>
      <c r="B137" s="211" t="s">
        <v>506</v>
      </c>
      <c r="C137" s="233">
        <v>1.6325999999999999E-3</v>
      </c>
      <c r="D137" s="234">
        <v>33698</v>
      </c>
    </row>
    <row r="138" spans="1:5">
      <c r="A138" s="192">
        <v>33500</v>
      </c>
      <c r="B138" s="214" t="s">
        <v>360</v>
      </c>
      <c r="C138" s="235">
        <v>2.7117E-3</v>
      </c>
      <c r="D138" s="236">
        <v>52727</v>
      </c>
    </row>
    <row r="139" spans="1:5">
      <c r="A139" s="194">
        <v>33501</v>
      </c>
      <c r="B139" s="211" t="s">
        <v>361</v>
      </c>
      <c r="C139" s="233">
        <v>1.136E-4</v>
      </c>
      <c r="D139" s="234">
        <v>2281</v>
      </c>
    </row>
    <row r="140" spans="1:5">
      <c r="A140" s="192">
        <v>33600</v>
      </c>
      <c r="B140" s="214" t="s">
        <v>362</v>
      </c>
      <c r="C140" s="235">
        <v>9.0081999999999992E-3</v>
      </c>
      <c r="D140" s="236">
        <v>179936</v>
      </c>
    </row>
    <row r="141" spans="1:5">
      <c r="A141" s="194">
        <v>33605</v>
      </c>
      <c r="B141" s="211" t="s">
        <v>74</v>
      </c>
      <c r="C141" s="233">
        <v>1.1222000000000001E-3</v>
      </c>
      <c r="D141" s="234">
        <v>25952</v>
      </c>
    </row>
    <row r="142" spans="1:5">
      <c r="A142" s="192">
        <v>33700</v>
      </c>
      <c r="B142" s="214" t="s">
        <v>363</v>
      </c>
      <c r="C142" s="235">
        <v>6.6299999999999996E-4</v>
      </c>
      <c r="D142" s="236">
        <v>12861</v>
      </c>
    </row>
    <row r="143" spans="1:5">
      <c r="A143" s="194">
        <v>33800</v>
      </c>
      <c r="B143" s="211" t="s">
        <v>364</v>
      </c>
      <c r="C143" s="233">
        <v>5.241E-4</v>
      </c>
      <c r="D143" s="234">
        <v>10378</v>
      </c>
    </row>
    <row r="144" spans="1:5">
      <c r="A144" s="192">
        <v>33900</v>
      </c>
      <c r="B144" s="214" t="s">
        <v>507</v>
      </c>
      <c r="C144" s="235">
        <v>2.0715999999999998E-3</v>
      </c>
      <c r="D144" s="236">
        <v>42897</v>
      </c>
    </row>
    <row r="145" spans="1:4">
      <c r="A145" s="194">
        <v>34000</v>
      </c>
      <c r="B145" s="211" t="s">
        <v>366</v>
      </c>
      <c r="C145" s="233">
        <v>1.1754000000000001E-3</v>
      </c>
      <c r="D145" s="234">
        <v>22646</v>
      </c>
    </row>
    <row r="146" spans="1:4">
      <c r="A146" s="192">
        <v>34100</v>
      </c>
      <c r="B146" s="214" t="s">
        <v>367</v>
      </c>
      <c r="C146" s="235">
        <v>2.4652299999999999E-2</v>
      </c>
      <c r="D146" s="236">
        <v>466261</v>
      </c>
    </row>
    <row r="147" spans="1:4">
      <c r="A147" s="194">
        <v>34105</v>
      </c>
      <c r="B147" s="211" t="s">
        <v>75</v>
      </c>
      <c r="C147" s="233">
        <v>1.8462999999999999E-3</v>
      </c>
      <c r="D147" s="234">
        <v>42214</v>
      </c>
    </row>
    <row r="148" spans="1:4">
      <c r="A148" s="192">
        <v>34200</v>
      </c>
      <c r="B148" s="214" t="s">
        <v>368</v>
      </c>
      <c r="C148" s="235">
        <v>7.2009999999999999E-4</v>
      </c>
      <c r="D148" s="236">
        <v>15264</v>
      </c>
    </row>
    <row r="149" spans="1:4">
      <c r="A149" s="194">
        <v>34205</v>
      </c>
      <c r="B149" s="211" t="s">
        <v>76</v>
      </c>
      <c r="C149" s="233">
        <v>2.9960000000000002E-4</v>
      </c>
      <c r="D149" s="234">
        <v>6600</v>
      </c>
    </row>
    <row r="150" spans="1:4">
      <c r="A150" s="192">
        <v>34220</v>
      </c>
      <c r="B150" s="214" t="s">
        <v>369</v>
      </c>
      <c r="C150" s="235">
        <v>8.8869999999999997E-4</v>
      </c>
      <c r="D150" s="236">
        <v>18136</v>
      </c>
    </row>
    <row r="151" spans="1:4">
      <c r="A151" s="194">
        <v>34230</v>
      </c>
      <c r="B151" s="211" t="s">
        <v>370</v>
      </c>
      <c r="C151" s="233">
        <v>3.2229999999999997E-4</v>
      </c>
      <c r="D151" s="234">
        <v>7282</v>
      </c>
    </row>
    <row r="152" spans="1:4">
      <c r="A152" s="192">
        <v>34300</v>
      </c>
      <c r="B152" s="214" t="s">
        <v>371</v>
      </c>
      <c r="C152" s="235">
        <v>5.8009000000000003E-3</v>
      </c>
      <c r="D152" s="236">
        <v>110688</v>
      </c>
    </row>
    <row r="153" spans="1:4">
      <c r="A153" s="194">
        <v>34400</v>
      </c>
      <c r="B153" s="211" t="s">
        <v>372</v>
      </c>
      <c r="C153" s="233">
        <v>2.3754000000000002E-3</v>
      </c>
      <c r="D153" s="234">
        <v>46309</v>
      </c>
    </row>
    <row r="154" spans="1:4">
      <c r="A154" s="192">
        <v>34405</v>
      </c>
      <c r="B154" s="214" t="s">
        <v>77</v>
      </c>
      <c r="C154" s="235">
        <v>4.349E-4</v>
      </c>
      <c r="D154" s="236">
        <v>8245</v>
      </c>
    </row>
    <row r="155" spans="1:4">
      <c r="A155" s="194">
        <v>34500</v>
      </c>
      <c r="B155" s="211" t="s">
        <v>373</v>
      </c>
      <c r="C155" s="233">
        <v>4.6369999999999996E-3</v>
      </c>
      <c r="D155" s="234">
        <v>85468</v>
      </c>
    </row>
    <row r="156" spans="1:4">
      <c r="A156" s="192">
        <v>34501</v>
      </c>
      <c r="B156" s="214" t="s">
        <v>374</v>
      </c>
      <c r="C156" s="235">
        <v>6.6099999999999994E-5</v>
      </c>
      <c r="D156" s="236">
        <v>1110</v>
      </c>
    </row>
    <row r="157" spans="1:4">
      <c r="A157" s="194">
        <v>34505</v>
      </c>
      <c r="B157" s="211" t="s">
        <v>78</v>
      </c>
      <c r="C157" s="233">
        <v>6.8070000000000001E-4</v>
      </c>
      <c r="D157" s="234">
        <v>13043</v>
      </c>
    </row>
    <row r="158" spans="1:4">
      <c r="A158" s="192">
        <v>34600</v>
      </c>
      <c r="B158" s="214" t="s">
        <v>375</v>
      </c>
      <c r="C158" s="235">
        <v>8.3000000000000001E-4</v>
      </c>
      <c r="D158" s="236">
        <v>19123</v>
      </c>
    </row>
    <row r="159" spans="1:4">
      <c r="A159" s="194">
        <v>34605</v>
      </c>
      <c r="B159" s="211" t="s">
        <v>79</v>
      </c>
      <c r="C159" s="233">
        <v>1.6789999999999999E-4</v>
      </c>
      <c r="D159" s="234">
        <v>3528</v>
      </c>
    </row>
    <row r="160" spans="1:4">
      <c r="A160" s="192">
        <v>34700</v>
      </c>
      <c r="B160" s="214" t="s">
        <v>376</v>
      </c>
      <c r="C160" s="235">
        <v>3.0645999999999998E-3</v>
      </c>
      <c r="D160" s="236">
        <v>51993</v>
      </c>
    </row>
    <row r="161" spans="1:4">
      <c r="A161" s="194">
        <v>34800</v>
      </c>
      <c r="B161" s="211" t="s">
        <v>377</v>
      </c>
      <c r="C161" s="233">
        <v>2.9930000000000001E-4</v>
      </c>
      <c r="D161" s="234">
        <v>6570</v>
      </c>
    </row>
    <row r="162" spans="1:4">
      <c r="A162" s="192">
        <v>34900</v>
      </c>
      <c r="B162" s="214" t="s">
        <v>378</v>
      </c>
      <c r="C162" s="235">
        <v>6.4086999999999998E-3</v>
      </c>
      <c r="D162" s="236">
        <v>126143</v>
      </c>
    </row>
    <row r="163" spans="1:4">
      <c r="A163" s="194">
        <v>34901</v>
      </c>
      <c r="B163" s="211" t="s">
        <v>508</v>
      </c>
      <c r="C163" s="233">
        <v>1.829E-4</v>
      </c>
      <c r="D163" s="234">
        <v>3393</v>
      </c>
    </row>
    <row r="164" spans="1:4">
      <c r="A164" s="192">
        <v>34903</v>
      </c>
      <c r="B164" s="214" t="s">
        <v>380</v>
      </c>
      <c r="C164" s="235">
        <v>1.8099999999999999E-5</v>
      </c>
      <c r="D164" s="236">
        <v>527</v>
      </c>
    </row>
    <row r="165" spans="1:4">
      <c r="A165" s="194">
        <v>34905</v>
      </c>
      <c r="B165" s="211" t="s">
        <v>80</v>
      </c>
      <c r="C165" s="233">
        <v>5.6099999999999998E-4</v>
      </c>
      <c r="D165" s="234">
        <v>11726</v>
      </c>
    </row>
    <row r="166" spans="1:4">
      <c r="A166" s="192">
        <v>34910</v>
      </c>
      <c r="B166" s="214" t="s">
        <v>381</v>
      </c>
      <c r="C166" s="235">
        <v>1.9120999999999999E-3</v>
      </c>
      <c r="D166" s="236">
        <v>37203</v>
      </c>
    </row>
    <row r="167" spans="1:4">
      <c r="A167" s="194">
        <v>35000</v>
      </c>
      <c r="B167" s="211" t="s">
        <v>382</v>
      </c>
      <c r="C167" s="233">
        <v>1.4369999999999999E-3</v>
      </c>
      <c r="D167" s="234">
        <v>25124</v>
      </c>
    </row>
    <row r="168" spans="1:4">
      <c r="A168" s="192">
        <v>35005</v>
      </c>
      <c r="B168" s="214" t="s">
        <v>81</v>
      </c>
      <c r="C168" s="235">
        <v>5.0699999999999996E-4</v>
      </c>
      <c r="D168" s="236">
        <v>10999</v>
      </c>
    </row>
    <row r="169" spans="1:4">
      <c r="A169" s="194">
        <v>35100</v>
      </c>
      <c r="B169" s="211" t="s">
        <v>383</v>
      </c>
      <c r="C169" s="233">
        <v>1.16796E-2</v>
      </c>
      <c r="D169" s="234">
        <v>216488</v>
      </c>
    </row>
    <row r="170" spans="1:4">
      <c r="A170" s="192">
        <v>35105</v>
      </c>
      <c r="B170" s="214" t="s">
        <v>82</v>
      </c>
      <c r="C170" s="235">
        <v>9.3829999999999998E-4</v>
      </c>
      <c r="D170" s="236">
        <v>19150</v>
      </c>
    </row>
    <row r="171" spans="1:4">
      <c r="A171" s="194">
        <v>35106</v>
      </c>
      <c r="B171" s="211" t="s">
        <v>384</v>
      </c>
      <c r="C171" s="233">
        <v>2.1120000000000001E-4</v>
      </c>
      <c r="D171" s="234">
        <v>3714</v>
      </c>
    </row>
    <row r="172" spans="1:4">
      <c r="A172" s="192">
        <v>35200</v>
      </c>
      <c r="B172" s="214" t="s">
        <v>385</v>
      </c>
      <c r="C172" s="235">
        <v>4.4000000000000002E-4</v>
      </c>
      <c r="D172" s="236">
        <v>9745</v>
      </c>
    </row>
    <row r="173" spans="1:4">
      <c r="A173" s="194">
        <v>35300</v>
      </c>
      <c r="B173" s="211" t="s">
        <v>509</v>
      </c>
      <c r="C173" s="233">
        <v>3.4808E-3</v>
      </c>
      <c r="D173" s="234">
        <v>64532</v>
      </c>
    </row>
    <row r="174" spans="1:4">
      <c r="A174" s="192">
        <v>35305</v>
      </c>
      <c r="B174" s="214" t="s">
        <v>83</v>
      </c>
      <c r="C174" s="235">
        <v>1.3006000000000001E-3</v>
      </c>
      <c r="D174" s="236">
        <v>25356</v>
      </c>
    </row>
    <row r="175" spans="1:4">
      <c r="A175" s="194">
        <v>35400</v>
      </c>
      <c r="B175" s="211" t="s">
        <v>387</v>
      </c>
      <c r="C175" s="233">
        <v>2.9629999999999999E-3</v>
      </c>
      <c r="D175" s="234">
        <v>54702</v>
      </c>
    </row>
    <row r="176" spans="1:4">
      <c r="A176" s="192">
        <v>35401</v>
      </c>
      <c r="B176" s="214" t="s">
        <v>388</v>
      </c>
      <c r="C176" s="235">
        <v>2.9799999999999999E-5</v>
      </c>
      <c r="D176" s="236">
        <v>548</v>
      </c>
    </row>
    <row r="177" spans="1:4">
      <c r="A177" s="194">
        <v>35405</v>
      </c>
      <c r="B177" s="211" t="s">
        <v>84</v>
      </c>
      <c r="C177" s="233">
        <v>7.3700000000000002E-4</v>
      </c>
      <c r="D177" s="234">
        <v>14277</v>
      </c>
    </row>
    <row r="178" spans="1:4">
      <c r="A178" s="192">
        <v>35500</v>
      </c>
      <c r="B178" s="214" t="s">
        <v>389</v>
      </c>
      <c r="C178" s="235">
        <v>3.5636000000000001E-3</v>
      </c>
      <c r="D178" s="236">
        <v>69616</v>
      </c>
    </row>
    <row r="179" spans="1:4">
      <c r="A179" s="194">
        <v>35600</v>
      </c>
      <c r="B179" s="211" t="s">
        <v>390</v>
      </c>
      <c r="C179" s="233">
        <v>1.619E-3</v>
      </c>
      <c r="D179" s="234">
        <v>31567</v>
      </c>
    </row>
    <row r="180" spans="1:4">
      <c r="A180" s="192">
        <v>35700</v>
      </c>
      <c r="B180" s="214" t="s">
        <v>391</v>
      </c>
      <c r="C180" s="235">
        <v>8.5970000000000003E-4</v>
      </c>
      <c r="D180" s="236">
        <v>17908</v>
      </c>
    </row>
    <row r="181" spans="1:4">
      <c r="A181" s="194">
        <v>35800</v>
      </c>
      <c r="B181" s="211" t="s">
        <v>392</v>
      </c>
      <c r="C181" s="233">
        <v>9.6980000000000005E-4</v>
      </c>
      <c r="D181" s="234">
        <v>20456</v>
      </c>
    </row>
    <row r="182" spans="1:4">
      <c r="A182" s="192">
        <v>35805</v>
      </c>
      <c r="B182" s="214" t="s">
        <v>85</v>
      </c>
      <c r="C182" s="235">
        <v>1.8900000000000001E-4</v>
      </c>
      <c r="D182" s="236">
        <v>4799</v>
      </c>
    </row>
    <row r="183" spans="1:4">
      <c r="A183" s="194">
        <v>35900</v>
      </c>
      <c r="B183" s="211" t="s">
        <v>393</v>
      </c>
      <c r="C183" s="233">
        <v>1.9400999999999999E-3</v>
      </c>
      <c r="D183" s="234">
        <v>40200</v>
      </c>
    </row>
    <row r="184" spans="1:4">
      <c r="A184" s="192">
        <v>35905</v>
      </c>
      <c r="B184" s="214" t="s">
        <v>86</v>
      </c>
      <c r="C184" s="235">
        <v>2.9179999999999999E-4</v>
      </c>
      <c r="D184" s="236">
        <v>6728</v>
      </c>
    </row>
    <row r="185" spans="1:4">
      <c r="A185" s="194">
        <v>36000</v>
      </c>
      <c r="B185" s="211" t="s">
        <v>394</v>
      </c>
      <c r="C185" s="233">
        <v>5.1251199999999997E-2</v>
      </c>
      <c r="D185" s="234">
        <v>953012</v>
      </c>
    </row>
    <row r="186" spans="1:4">
      <c r="A186" s="192">
        <v>36003</v>
      </c>
      <c r="B186" s="214" t="s">
        <v>396</v>
      </c>
      <c r="C186" s="235">
        <v>3.7110000000000002E-4</v>
      </c>
      <c r="D186" s="236">
        <v>8316</v>
      </c>
    </row>
    <row r="187" spans="1:4">
      <c r="A187" s="194">
        <v>36004</v>
      </c>
      <c r="B187" s="211" t="s">
        <v>397</v>
      </c>
      <c r="C187" s="233">
        <v>3.2650000000000002E-4</v>
      </c>
      <c r="D187" s="234">
        <v>5842</v>
      </c>
    </row>
    <row r="188" spans="1:4">
      <c r="A188" s="192">
        <v>36005</v>
      </c>
      <c r="B188" s="214" t="s">
        <v>87</v>
      </c>
      <c r="C188" s="235">
        <v>3.6061000000000001E-3</v>
      </c>
      <c r="D188" s="236">
        <v>71524</v>
      </c>
    </row>
    <row r="189" spans="1:4">
      <c r="A189" s="194">
        <v>36006</v>
      </c>
      <c r="B189" s="211" t="s">
        <v>398</v>
      </c>
      <c r="C189" s="233">
        <v>6.1109999999999995E-4</v>
      </c>
      <c r="D189" s="234">
        <v>10835</v>
      </c>
    </row>
    <row r="190" spans="1:4">
      <c r="A190" s="192">
        <v>36007</v>
      </c>
      <c r="B190" s="214" t="s">
        <v>399</v>
      </c>
      <c r="C190" s="235">
        <v>2.5670000000000001E-4</v>
      </c>
      <c r="D190" s="236">
        <v>4318</v>
      </c>
    </row>
    <row r="191" spans="1:4">
      <c r="A191" s="194">
        <v>36008</v>
      </c>
      <c r="B191" s="211" t="s">
        <v>400</v>
      </c>
      <c r="C191" s="233">
        <v>5.6579999999999998E-4</v>
      </c>
      <c r="D191" s="234">
        <v>9490</v>
      </c>
    </row>
    <row r="192" spans="1:4">
      <c r="A192" s="192">
        <v>36009</v>
      </c>
      <c r="B192" s="214" t="s">
        <v>401</v>
      </c>
      <c r="C192" s="235">
        <v>6.2199999999999994E-5</v>
      </c>
      <c r="D192" s="236">
        <v>1078</v>
      </c>
    </row>
    <row r="193" spans="1:5">
      <c r="A193" s="194">
        <v>36100</v>
      </c>
      <c r="B193" s="211" t="s">
        <v>402</v>
      </c>
      <c r="C193" s="233">
        <v>6.2319999999999997E-4</v>
      </c>
      <c r="D193" s="234">
        <v>12712</v>
      </c>
      <c r="E193" s="2"/>
    </row>
    <row r="194" spans="1:5">
      <c r="A194" s="192">
        <v>36105</v>
      </c>
      <c r="B194" s="214" t="s">
        <v>88</v>
      </c>
      <c r="C194" s="235">
        <v>2.7799999999999998E-4</v>
      </c>
      <c r="D194" s="236">
        <v>6172</v>
      </c>
    </row>
    <row r="195" spans="1:5">
      <c r="A195" s="194">
        <v>36200</v>
      </c>
      <c r="B195" s="211" t="s">
        <v>404</v>
      </c>
      <c r="C195" s="233">
        <v>1.1643000000000001E-3</v>
      </c>
      <c r="D195" s="234">
        <v>24146</v>
      </c>
    </row>
    <row r="196" spans="1:5">
      <c r="A196" s="192">
        <v>36205</v>
      </c>
      <c r="B196" s="214" t="s">
        <v>89</v>
      </c>
      <c r="C196" s="235">
        <v>2.5119999999999998E-4</v>
      </c>
      <c r="D196" s="236">
        <v>4858</v>
      </c>
    </row>
    <row r="197" spans="1:5">
      <c r="A197" s="194">
        <v>36300</v>
      </c>
      <c r="B197" s="211" t="s">
        <v>405</v>
      </c>
      <c r="C197" s="233">
        <v>4.2373999999999997E-3</v>
      </c>
      <c r="D197" s="234">
        <v>84175</v>
      </c>
    </row>
    <row r="198" spans="1:5">
      <c r="A198" s="192">
        <v>36301</v>
      </c>
      <c r="B198" s="214" t="s">
        <v>406</v>
      </c>
      <c r="C198" s="235">
        <v>1.058E-4</v>
      </c>
      <c r="D198" s="236">
        <v>2066</v>
      </c>
    </row>
    <row r="199" spans="1:5">
      <c r="A199" s="194">
        <v>36302</v>
      </c>
      <c r="B199" s="211" t="s">
        <v>407</v>
      </c>
      <c r="C199" s="233">
        <v>1.9010000000000001E-4</v>
      </c>
      <c r="D199" s="234">
        <v>3141</v>
      </c>
    </row>
    <row r="200" spans="1:5">
      <c r="A200" s="192">
        <v>36303</v>
      </c>
      <c r="B200" s="214" t="s">
        <v>408</v>
      </c>
      <c r="C200" s="235">
        <v>2.4949999999999999E-4</v>
      </c>
      <c r="D200" s="236">
        <v>3727</v>
      </c>
    </row>
    <row r="201" spans="1:5">
      <c r="A201" s="194">
        <v>36305</v>
      </c>
      <c r="B201" s="211" t="s">
        <v>90</v>
      </c>
      <c r="C201" s="233">
        <v>8.9579999999999998E-4</v>
      </c>
      <c r="D201" s="234">
        <v>18634</v>
      </c>
    </row>
    <row r="202" spans="1:5">
      <c r="A202" s="192">
        <v>36400</v>
      </c>
      <c r="B202" s="214" t="s">
        <v>510</v>
      </c>
      <c r="C202" s="235">
        <v>4.3172999999999996E-3</v>
      </c>
      <c r="D202" s="236">
        <v>88386</v>
      </c>
    </row>
    <row r="203" spans="1:5">
      <c r="A203" s="194">
        <v>36405</v>
      </c>
      <c r="B203" s="211" t="s">
        <v>411</v>
      </c>
      <c r="C203" s="233">
        <v>6.2560000000000003E-4</v>
      </c>
      <c r="D203" s="234">
        <v>12835</v>
      </c>
    </row>
    <row r="204" spans="1:5">
      <c r="A204" s="192">
        <v>36500</v>
      </c>
      <c r="B204" s="214" t="s">
        <v>412</v>
      </c>
      <c r="C204" s="235">
        <v>1.03515E-2</v>
      </c>
      <c r="D204" s="236">
        <v>191679</v>
      </c>
    </row>
    <row r="205" spans="1:5">
      <c r="A205" s="194">
        <v>36501</v>
      </c>
      <c r="B205" s="211" t="s">
        <v>511</v>
      </c>
      <c r="C205" s="233">
        <v>1.337E-4</v>
      </c>
      <c r="D205" s="234">
        <v>2238</v>
      </c>
    </row>
    <row r="206" spans="1:5">
      <c r="A206" s="192">
        <v>36502</v>
      </c>
      <c r="B206" s="214" t="s">
        <v>414</v>
      </c>
      <c r="C206" s="235">
        <v>2.2500000000000001E-5</v>
      </c>
      <c r="D206" s="236">
        <v>409</v>
      </c>
    </row>
    <row r="207" spans="1:5">
      <c r="A207" s="194">
        <v>36505</v>
      </c>
      <c r="B207" s="211" t="s">
        <v>92</v>
      </c>
      <c r="C207" s="233">
        <v>1.872E-3</v>
      </c>
      <c r="D207" s="234">
        <v>38427</v>
      </c>
    </row>
    <row r="208" spans="1:5">
      <c r="A208" s="192">
        <v>36600</v>
      </c>
      <c r="B208" s="214" t="s">
        <v>415</v>
      </c>
      <c r="C208" s="235">
        <v>4.549E-4</v>
      </c>
      <c r="D208" s="236">
        <v>9915</v>
      </c>
    </row>
    <row r="209" spans="1:4">
      <c r="A209" s="237">
        <v>36601</v>
      </c>
      <c r="B209" s="238" t="s">
        <v>416</v>
      </c>
      <c r="C209" s="233">
        <v>0</v>
      </c>
      <c r="D209" s="234">
        <v>0</v>
      </c>
    </row>
    <row r="210" spans="1:4">
      <c r="A210" s="192">
        <v>36700</v>
      </c>
      <c r="B210" s="214" t="s">
        <v>417</v>
      </c>
      <c r="C210" s="235">
        <v>8.4953000000000008E-3</v>
      </c>
      <c r="D210" s="236">
        <v>163126</v>
      </c>
    </row>
    <row r="211" spans="1:4">
      <c r="A211" s="194">
        <v>36701</v>
      </c>
      <c r="B211" s="211" t="s">
        <v>418</v>
      </c>
      <c r="C211" s="233">
        <v>2.2799999999999999E-5</v>
      </c>
      <c r="D211" s="234">
        <v>423</v>
      </c>
    </row>
    <row r="212" spans="1:4">
      <c r="A212" s="192">
        <v>36705</v>
      </c>
      <c r="B212" s="214" t="s">
        <v>93</v>
      </c>
      <c r="C212" s="235">
        <v>8.0139999999999996E-4</v>
      </c>
      <c r="D212" s="236">
        <v>16390</v>
      </c>
    </row>
    <row r="213" spans="1:4">
      <c r="A213" s="194">
        <v>36800</v>
      </c>
      <c r="B213" s="211" t="s">
        <v>419</v>
      </c>
      <c r="C213" s="233">
        <v>3.0620000000000001E-3</v>
      </c>
      <c r="D213" s="234">
        <v>58360</v>
      </c>
    </row>
    <row r="214" spans="1:4">
      <c r="A214" s="192">
        <v>36802</v>
      </c>
      <c r="B214" s="214" t="s">
        <v>420</v>
      </c>
      <c r="C214" s="235">
        <v>2.3350000000000001E-4</v>
      </c>
      <c r="D214" s="236">
        <v>4059</v>
      </c>
    </row>
    <row r="215" spans="1:4">
      <c r="A215" s="194">
        <v>36810</v>
      </c>
      <c r="B215" s="211" t="s">
        <v>421</v>
      </c>
      <c r="C215" s="233">
        <v>5.8704999999999999E-3</v>
      </c>
      <c r="D215" s="234">
        <v>111535</v>
      </c>
    </row>
    <row r="216" spans="1:4">
      <c r="A216" s="192">
        <v>36900</v>
      </c>
      <c r="B216" s="214" t="s">
        <v>422</v>
      </c>
      <c r="C216" s="235">
        <v>6.5110000000000005E-4</v>
      </c>
      <c r="D216" s="236">
        <v>12237</v>
      </c>
    </row>
    <row r="217" spans="1:4">
      <c r="A217" s="194">
        <v>36901</v>
      </c>
      <c r="B217" s="211" t="s">
        <v>423</v>
      </c>
      <c r="C217" s="233">
        <v>2.0129999999999999E-4</v>
      </c>
      <c r="D217" s="234">
        <v>4528</v>
      </c>
    </row>
    <row r="218" spans="1:4">
      <c r="A218" s="192">
        <v>36905</v>
      </c>
      <c r="B218" s="214" t="s">
        <v>94</v>
      </c>
      <c r="C218" s="235">
        <v>1.705E-4</v>
      </c>
      <c r="D218" s="236">
        <v>3825</v>
      </c>
    </row>
    <row r="219" spans="1:4">
      <c r="A219" s="194">
        <v>37000</v>
      </c>
      <c r="B219" s="211" t="s">
        <v>424</v>
      </c>
      <c r="C219" s="233">
        <v>1.6856E-3</v>
      </c>
      <c r="D219" s="234">
        <v>32278</v>
      </c>
    </row>
    <row r="220" spans="1:4">
      <c r="A220" s="192">
        <v>37001</v>
      </c>
      <c r="B220" s="214" t="s">
        <v>512</v>
      </c>
      <c r="C220" s="235">
        <v>1.9770000000000001E-4</v>
      </c>
      <c r="D220" s="236">
        <v>3713</v>
      </c>
    </row>
    <row r="221" spans="1:4">
      <c r="A221" s="194">
        <v>37005</v>
      </c>
      <c r="B221" s="211" t="s">
        <v>95</v>
      </c>
      <c r="C221" s="233">
        <v>5.2300000000000003E-4</v>
      </c>
      <c r="D221" s="234">
        <v>10928</v>
      </c>
    </row>
    <row r="222" spans="1:4">
      <c r="A222" s="192">
        <v>37100</v>
      </c>
      <c r="B222" s="214" t="s">
        <v>426</v>
      </c>
      <c r="C222" s="235">
        <v>3.3584999999999999E-3</v>
      </c>
      <c r="D222" s="236">
        <v>63388</v>
      </c>
    </row>
    <row r="223" spans="1:4">
      <c r="A223" s="194">
        <v>37200</v>
      </c>
      <c r="B223" s="211" t="s">
        <v>427</v>
      </c>
      <c r="C223" s="233">
        <v>6.2500000000000001E-4</v>
      </c>
      <c r="D223" s="234">
        <v>12689</v>
      </c>
    </row>
    <row r="224" spans="1:4">
      <c r="A224" s="192">
        <v>37300</v>
      </c>
      <c r="B224" s="214" t="s">
        <v>428</v>
      </c>
      <c r="C224" s="235">
        <v>1.6232E-3</v>
      </c>
      <c r="D224" s="236">
        <v>30973</v>
      </c>
    </row>
    <row r="225" spans="1:4">
      <c r="A225" s="194">
        <v>37301</v>
      </c>
      <c r="B225" s="211" t="s">
        <v>429</v>
      </c>
      <c r="C225" s="233">
        <v>1.595E-4</v>
      </c>
      <c r="D225" s="234">
        <v>3274</v>
      </c>
    </row>
    <row r="226" spans="1:4">
      <c r="A226" s="192">
        <v>37305</v>
      </c>
      <c r="B226" s="214" t="s">
        <v>96</v>
      </c>
      <c r="C226" s="235">
        <v>3.904E-4</v>
      </c>
      <c r="D226" s="236">
        <v>8375</v>
      </c>
    </row>
    <row r="227" spans="1:4">
      <c r="A227" s="194">
        <v>37400</v>
      </c>
      <c r="B227" s="211" t="s">
        <v>430</v>
      </c>
      <c r="C227" s="233">
        <v>8.3996999999999995E-3</v>
      </c>
      <c r="D227" s="234">
        <v>150960</v>
      </c>
    </row>
    <row r="228" spans="1:4">
      <c r="A228" s="192">
        <v>37405</v>
      </c>
      <c r="B228" s="214" t="s">
        <v>97</v>
      </c>
      <c r="C228" s="235">
        <v>1.4945E-3</v>
      </c>
      <c r="D228" s="236">
        <v>31815</v>
      </c>
    </row>
    <row r="229" spans="1:4">
      <c r="A229" s="194">
        <v>37500</v>
      </c>
      <c r="B229" s="211" t="s">
        <v>431</v>
      </c>
      <c r="C229" s="233">
        <v>8.6319999999999995E-4</v>
      </c>
      <c r="D229" s="234">
        <v>17907</v>
      </c>
    </row>
    <row r="230" spans="1:4">
      <c r="A230" s="192">
        <v>37600</v>
      </c>
      <c r="B230" s="214" t="s">
        <v>432</v>
      </c>
      <c r="C230" s="235">
        <v>4.9601999999999997E-3</v>
      </c>
      <c r="D230" s="236">
        <v>93728</v>
      </c>
    </row>
    <row r="231" spans="1:4">
      <c r="A231" s="194">
        <v>37601</v>
      </c>
      <c r="B231" s="211" t="s">
        <v>433</v>
      </c>
      <c r="C231" s="233">
        <v>5.1460000000000004E-4</v>
      </c>
      <c r="D231" s="234">
        <v>8727</v>
      </c>
    </row>
    <row r="232" spans="1:4">
      <c r="A232" s="192">
        <v>37605</v>
      </c>
      <c r="B232" s="214" t="s">
        <v>98</v>
      </c>
      <c r="C232" s="235">
        <v>5.8379999999999999E-4</v>
      </c>
      <c r="D232" s="236">
        <v>12036</v>
      </c>
    </row>
    <row r="233" spans="1:4">
      <c r="A233" s="194">
        <v>37610</v>
      </c>
      <c r="B233" s="211" t="s">
        <v>434</v>
      </c>
      <c r="C233" s="233">
        <v>1.5225E-3</v>
      </c>
      <c r="D233" s="234">
        <v>28756</v>
      </c>
    </row>
    <row r="234" spans="1:4">
      <c r="A234" s="192">
        <v>37700</v>
      </c>
      <c r="B234" s="214" t="s">
        <v>435</v>
      </c>
      <c r="C234" s="235">
        <v>2.2991000000000001E-3</v>
      </c>
      <c r="D234" s="236">
        <v>44559</v>
      </c>
    </row>
    <row r="235" spans="1:4">
      <c r="A235" s="194">
        <v>37705</v>
      </c>
      <c r="B235" s="211" t="s">
        <v>99</v>
      </c>
      <c r="C235" s="233">
        <v>6.3719999999999998E-4</v>
      </c>
      <c r="D235" s="234">
        <v>13171</v>
      </c>
    </row>
    <row r="236" spans="1:4">
      <c r="A236" s="192">
        <v>37800</v>
      </c>
      <c r="B236" s="214" t="s">
        <v>436</v>
      </c>
      <c r="C236" s="235">
        <v>7.2322999999999997E-3</v>
      </c>
      <c r="D236" s="236">
        <v>137488</v>
      </c>
    </row>
    <row r="237" spans="1:4">
      <c r="A237" s="194">
        <v>37801</v>
      </c>
      <c r="B237" s="211" t="s">
        <v>437</v>
      </c>
      <c r="C237" s="233">
        <v>5.8100000000000003E-5</v>
      </c>
      <c r="D237" s="234">
        <v>1075</v>
      </c>
    </row>
    <row r="238" spans="1:4">
      <c r="A238" s="192">
        <v>37805</v>
      </c>
      <c r="B238" s="214" t="s">
        <v>100</v>
      </c>
      <c r="C238" s="235">
        <v>5.4040000000000002E-4</v>
      </c>
      <c r="D238" s="236">
        <v>11396</v>
      </c>
    </row>
    <row r="239" spans="1:4">
      <c r="A239" s="194">
        <v>37900</v>
      </c>
      <c r="B239" s="211" t="s">
        <v>438</v>
      </c>
      <c r="C239" s="233">
        <v>3.5184999999999999E-3</v>
      </c>
      <c r="D239" s="234">
        <v>71306</v>
      </c>
    </row>
    <row r="240" spans="1:4">
      <c r="A240" s="192">
        <v>37901</v>
      </c>
      <c r="B240" s="214" t="s">
        <v>439</v>
      </c>
      <c r="C240" s="235">
        <v>1.381E-4</v>
      </c>
      <c r="D240" s="236">
        <v>2395</v>
      </c>
    </row>
    <row r="241" spans="1:4">
      <c r="A241" s="194">
        <v>37905</v>
      </c>
      <c r="B241" s="211" t="s">
        <v>101</v>
      </c>
      <c r="C241" s="233">
        <v>3.7849999999999998E-4</v>
      </c>
      <c r="D241" s="234">
        <v>8379</v>
      </c>
    </row>
    <row r="242" spans="1:4">
      <c r="A242" s="192">
        <v>38000</v>
      </c>
      <c r="B242" s="214" t="s">
        <v>440</v>
      </c>
      <c r="C242" s="235">
        <v>5.6073E-3</v>
      </c>
      <c r="D242" s="236">
        <v>116960</v>
      </c>
    </row>
    <row r="243" spans="1:4">
      <c r="A243" s="194">
        <v>38005</v>
      </c>
      <c r="B243" s="211" t="s">
        <v>102</v>
      </c>
      <c r="C243" s="233">
        <v>1.2459000000000001E-3</v>
      </c>
      <c r="D243" s="234">
        <v>25684</v>
      </c>
    </row>
    <row r="244" spans="1:4">
      <c r="A244" s="192">
        <v>38100</v>
      </c>
      <c r="B244" s="214" t="s">
        <v>441</v>
      </c>
      <c r="C244" s="235">
        <v>2.9244000000000002E-3</v>
      </c>
      <c r="D244" s="236">
        <v>57862</v>
      </c>
    </row>
    <row r="245" spans="1:4">
      <c r="A245" s="194">
        <v>38105</v>
      </c>
      <c r="B245" s="211" t="s">
        <v>103</v>
      </c>
      <c r="C245" s="233">
        <v>5.1000000000000004E-4</v>
      </c>
      <c r="D245" s="234">
        <v>10785</v>
      </c>
    </row>
    <row r="246" spans="1:4">
      <c r="A246" s="192">
        <v>38200</v>
      </c>
      <c r="B246" s="214" t="s">
        <v>442</v>
      </c>
      <c r="C246" s="235">
        <v>2.5114999999999998E-3</v>
      </c>
      <c r="D246" s="236">
        <v>51801</v>
      </c>
    </row>
    <row r="247" spans="1:4">
      <c r="A247" s="194">
        <v>38205</v>
      </c>
      <c r="B247" s="211" t="s">
        <v>104</v>
      </c>
      <c r="C247" s="233">
        <v>3.9829999999999998E-4</v>
      </c>
      <c r="D247" s="234">
        <v>7804</v>
      </c>
    </row>
    <row r="248" spans="1:4">
      <c r="A248" s="192">
        <v>38210</v>
      </c>
      <c r="B248" s="214" t="s">
        <v>443</v>
      </c>
      <c r="C248" s="235">
        <v>9.8440000000000008E-4</v>
      </c>
      <c r="D248" s="236">
        <v>19531</v>
      </c>
    </row>
    <row r="249" spans="1:4">
      <c r="A249" s="194">
        <v>38300</v>
      </c>
      <c r="B249" s="211" t="s">
        <v>444</v>
      </c>
      <c r="C249" s="233">
        <v>1.9754E-3</v>
      </c>
      <c r="D249" s="234">
        <v>37889</v>
      </c>
    </row>
    <row r="250" spans="1:4">
      <c r="A250" s="192">
        <v>38400</v>
      </c>
      <c r="B250" s="214" t="s">
        <v>445</v>
      </c>
      <c r="C250" s="235">
        <v>2.5633000000000001E-3</v>
      </c>
      <c r="D250" s="236">
        <v>50551</v>
      </c>
    </row>
    <row r="251" spans="1:4">
      <c r="A251" s="194">
        <v>38402</v>
      </c>
      <c r="B251" s="211" t="s">
        <v>446</v>
      </c>
      <c r="C251" s="233">
        <v>1.806E-4</v>
      </c>
      <c r="D251" s="234">
        <v>3400</v>
      </c>
    </row>
    <row r="252" spans="1:4">
      <c r="A252" s="192">
        <v>38405</v>
      </c>
      <c r="B252" s="214" t="s">
        <v>105</v>
      </c>
      <c r="C252" s="235">
        <v>6.1870000000000002E-4</v>
      </c>
      <c r="D252" s="236">
        <v>12167</v>
      </c>
    </row>
    <row r="253" spans="1:4">
      <c r="A253" s="194">
        <v>38500</v>
      </c>
      <c r="B253" s="211" t="s">
        <v>447</v>
      </c>
      <c r="C253" s="233">
        <v>1.9059000000000001E-3</v>
      </c>
      <c r="D253" s="234">
        <v>38661</v>
      </c>
    </row>
    <row r="254" spans="1:4">
      <c r="A254" s="192">
        <v>38600</v>
      </c>
      <c r="B254" s="214" t="s">
        <v>448</v>
      </c>
      <c r="C254" s="235">
        <v>2.4283E-3</v>
      </c>
      <c r="D254" s="236">
        <v>49127</v>
      </c>
    </row>
    <row r="255" spans="1:4">
      <c r="A255" s="237">
        <v>38601</v>
      </c>
      <c r="B255" s="238" t="s">
        <v>449</v>
      </c>
      <c r="C255" s="233">
        <v>0</v>
      </c>
      <c r="D255" s="234">
        <v>0</v>
      </c>
    </row>
    <row r="256" spans="1:4">
      <c r="A256" s="192">
        <v>38602</v>
      </c>
      <c r="B256" s="214" t="s">
        <v>450</v>
      </c>
      <c r="C256" s="235">
        <v>1.8870000000000001E-4</v>
      </c>
      <c r="D256" s="236">
        <v>3555</v>
      </c>
    </row>
    <row r="257" spans="1:4">
      <c r="A257" s="194">
        <v>38605</v>
      </c>
      <c r="B257" s="211" t="s">
        <v>106</v>
      </c>
      <c r="C257" s="233">
        <v>6.2330000000000003E-4</v>
      </c>
      <c r="D257" s="234">
        <v>12504</v>
      </c>
    </row>
    <row r="258" spans="1:4">
      <c r="A258" s="192">
        <v>38610</v>
      </c>
      <c r="B258" s="214" t="s">
        <v>451</v>
      </c>
      <c r="C258" s="235">
        <v>6.4440000000000005E-4</v>
      </c>
      <c r="D258" s="236">
        <v>12016</v>
      </c>
    </row>
    <row r="259" spans="1:4">
      <c r="A259" s="194">
        <v>38620</v>
      </c>
      <c r="B259" s="211" t="s">
        <v>452</v>
      </c>
      <c r="C259" s="233">
        <v>4.5090000000000001E-4</v>
      </c>
      <c r="D259" s="234">
        <v>9452</v>
      </c>
    </row>
    <row r="260" spans="1:4">
      <c r="A260" s="192">
        <v>38700</v>
      </c>
      <c r="B260" s="214" t="s">
        <v>453</v>
      </c>
      <c r="C260" s="235">
        <v>8.0920000000000005E-4</v>
      </c>
      <c r="D260" s="236">
        <v>15032</v>
      </c>
    </row>
    <row r="261" spans="1:4">
      <c r="A261" s="194">
        <v>38701</v>
      </c>
      <c r="B261" s="211" t="s">
        <v>513</v>
      </c>
      <c r="C261" s="233">
        <v>6.4700000000000001E-5</v>
      </c>
      <c r="D261" s="234">
        <v>1013</v>
      </c>
    </row>
    <row r="262" spans="1:4">
      <c r="A262" s="192">
        <v>38800</v>
      </c>
      <c r="B262" s="214" t="s">
        <v>455</v>
      </c>
      <c r="C262" s="235">
        <v>1.3757000000000001E-3</v>
      </c>
      <c r="D262" s="236">
        <v>26027</v>
      </c>
    </row>
    <row r="263" spans="1:4">
      <c r="A263" s="194">
        <v>38801</v>
      </c>
      <c r="B263" s="211" t="s">
        <v>456</v>
      </c>
      <c r="C263" s="233">
        <v>1.304E-4</v>
      </c>
      <c r="D263" s="234">
        <v>2166</v>
      </c>
    </row>
    <row r="264" spans="1:4">
      <c r="A264" s="192">
        <v>38900</v>
      </c>
      <c r="B264" s="214" t="s">
        <v>457</v>
      </c>
      <c r="C264" s="235">
        <v>2.832E-4</v>
      </c>
      <c r="D264" s="236">
        <v>5554</v>
      </c>
    </row>
    <row r="265" spans="1:4">
      <c r="A265" s="194">
        <v>39000</v>
      </c>
      <c r="B265" s="211" t="s">
        <v>458</v>
      </c>
      <c r="C265" s="233">
        <v>1.3293900000000001E-2</v>
      </c>
      <c r="D265" s="234">
        <v>249670</v>
      </c>
    </row>
    <row r="266" spans="1:4">
      <c r="A266" s="192">
        <v>39100</v>
      </c>
      <c r="B266" s="214" t="s">
        <v>459</v>
      </c>
      <c r="C266" s="235">
        <v>1.57E-3</v>
      </c>
      <c r="D266" s="236">
        <v>33290</v>
      </c>
    </row>
    <row r="267" spans="1:4">
      <c r="A267" s="194">
        <v>39101</v>
      </c>
      <c r="B267" s="211" t="s">
        <v>460</v>
      </c>
      <c r="C267" s="233">
        <v>2.42E-4</v>
      </c>
      <c r="D267" s="234">
        <v>4909</v>
      </c>
    </row>
    <row r="268" spans="1:4">
      <c r="A268" s="192">
        <v>39105</v>
      </c>
      <c r="B268" s="214" t="s">
        <v>107</v>
      </c>
      <c r="C268" s="235">
        <v>5.7799999999999995E-4</v>
      </c>
      <c r="D268" s="236">
        <v>12485</v>
      </c>
    </row>
    <row r="269" spans="1:4">
      <c r="A269" s="194">
        <v>39200</v>
      </c>
      <c r="B269" s="211" t="s">
        <v>461</v>
      </c>
      <c r="C269" s="233">
        <v>5.9043999999999999E-2</v>
      </c>
      <c r="D269" s="234">
        <v>1110441</v>
      </c>
    </row>
    <row r="270" spans="1:4">
      <c r="A270" s="192">
        <v>39201</v>
      </c>
      <c r="B270" s="214" t="s">
        <v>462</v>
      </c>
      <c r="C270" s="235">
        <v>2.6219999999999998E-4</v>
      </c>
      <c r="D270" s="236">
        <v>4154</v>
      </c>
    </row>
    <row r="271" spans="1:4">
      <c r="A271" s="194">
        <v>39204</v>
      </c>
      <c r="B271" s="211" t="s">
        <v>463</v>
      </c>
      <c r="C271" s="233">
        <v>2.5280000000000002E-4</v>
      </c>
      <c r="D271" s="234">
        <v>4068</v>
      </c>
    </row>
    <row r="272" spans="1:4">
      <c r="A272" s="192">
        <v>39205</v>
      </c>
      <c r="B272" s="214" t="s">
        <v>108</v>
      </c>
      <c r="C272" s="235">
        <v>5.0997000000000004E-3</v>
      </c>
      <c r="D272" s="236">
        <v>100969</v>
      </c>
    </row>
    <row r="273" spans="1:4">
      <c r="A273" s="194">
        <v>39208</v>
      </c>
      <c r="B273" s="211" t="s">
        <v>464</v>
      </c>
      <c r="C273" s="233">
        <v>3.681E-4</v>
      </c>
      <c r="D273" s="234">
        <v>6020</v>
      </c>
    </row>
    <row r="274" spans="1:4">
      <c r="A274" s="239">
        <v>39209</v>
      </c>
      <c r="B274" s="240" t="s">
        <v>465</v>
      </c>
      <c r="C274" s="235">
        <v>0</v>
      </c>
      <c r="D274" s="236">
        <v>0</v>
      </c>
    </row>
    <row r="275" spans="1:4">
      <c r="A275" s="194">
        <v>39220</v>
      </c>
      <c r="B275" s="211" t="s">
        <v>466</v>
      </c>
      <c r="C275" s="233">
        <v>0</v>
      </c>
      <c r="D275" s="234">
        <v>8</v>
      </c>
    </row>
    <row r="276" spans="1:4">
      <c r="A276" s="192">
        <v>39300</v>
      </c>
      <c r="B276" s="214" t="s">
        <v>467</v>
      </c>
      <c r="C276" s="235">
        <v>6.6719999999999995E-4</v>
      </c>
      <c r="D276" s="236">
        <v>14079</v>
      </c>
    </row>
    <row r="277" spans="1:4">
      <c r="A277" s="194">
        <v>39301</v>
      </c>
      <c r="B277" s="211" t="s">
        <v>468</v>
      </c>
      <c r="C277" s="233">
        <v>5.66E-5</v>
      </c>
      <c r="D277" s="234">
        <v>904</v>
      </c>
    </row>
    <row r="278" spans="1:4">
      <c r="A278" s="192">
        <v>39400</v>
      </c>
      <c r="B278" s="214" t="s">
        <v>469</v>
      </c>
      <c r="C278" s="235">
        <v>3.8220000000000002E-4</v>
      </c>
      <c r="D278" s="236">
        <v>9010</v>
      </c>
    </row>
    <row r="279" spans="1:4">
      <c r="A279" s="194">
        <v>39401</v>
      </c>
      <c r="B279" s="211" t="s">
        <v>470</v>
      </c>
      <c r="C279" s="233">
        <v>4.7669999999999999E-4</v>
      </c>
      <c r="D279" s="234">
        <v>7000</v>
      </c>
    </row>
    <row r="280" spans="1:4">
      <c r="A280" s="192">
        <v>39500</v>
      </c>
      <c r="B280" s="214" t="s">
        <v>471</v>
      </c>
      <c r="C280" s="235">
        <v>1.9451E-3</v>
      </c>
      <c r="D280" s="236">
        <v>36109</v>
      </c>
    </row>
    <row r="281" spans="1:4">
      <c r="A281" s="194">
        <v>39501</v>
      </c>
      <c r="B281" s="211" t="s">
        <v>514</v>
      </c>
      <c r="C281" s="233">
        <v>4.8999999999999998E-5</v>
      </c>
      <c r="D281" s="234">
        <v>816</v>
      </c>
    </row>
    <row r="282" spans="1:4">
      <c r="A282" s="192">
        <v>39600</v>
      </c>
      <c r="B282" s="214" t="s">
        <v>473</v>
      </c>
      <c r="C282" s="235">
        <v>5.1091000000000001E-3</v>
      </c>
      <c r="D282" s="236">
        <v>101993</v>
      </c>
    </row>
    <row r="283" spans="1:4">
      <c r="A283" s="194">
        <v>39605</v>
      </c>
      <c r="B283" s="211" t="s">
        <v>109</v>
      </c>
      <c r="C283" s="233">
        <v>7.4689999999999999E-4</v>
      </c>
      <c r="D283" s="234">
        <v>15146</v>
      </c>
    </row>
    <row r="284" spans="1:4">
      <c r="A284" s="192">
        <v>39700</v>
      </c>
      <c r="B284" s="214" t="s">
        <v>474</v>
      </c>
      <c r="C284" s="235">
        <v>2.8777E-3</v>
      </c>
      <c r="D284" s="236">
        <v>56312</v>
      </c>
    </row>
    <row r="285" spans="1:4">
      <c r="A285" s="194">
        <v>39703</v>
      </c>
      <c r="B285" s="211" t="s">
        <v>475</v>
      </c>
      <c r="C285" s="233">
        <v>2.232E-4</v>
      </c>
      <c r="D285" s="234">
        <v>3703</v>
      </c>
    </row>
    <row r="286" spans="1:4">
      <c r="A286" s="192">
        <v>39705</v>
      </c>
      <c r="B286" s="214" t="s">
        <v>110</v>
      </c>
      <c r="C286" s="235">
        <v>7.651E-4</v>
      </c>
      <c r="D286" s="236">
        <v>15436</v>
      </c>
    </row>
    <row r="287" spans="1:4">
      <c r="A287" s="194">
        <v>39800</v>
      </c>
      <c r="B287" s="211" t="s">
        <v>476</v>
      </c>
      <c r="C287" s="233">
        <v>3.2152000000000001E-3</v>
      </c>
      <c r="D287" s="234">
        <v>63469</v>
      </c>
    </row>
    <row r="288" spans="1:4">
      <c r="A288" s="192">
        <v>39805</v>
      </c>
      <c r="B288" s="214" t="s">
        <v>111</v>
      </c>
      <c r="C288" s="235">
        <v>3.6739999999999999E-4</v>
      </c>
      <c r="D288" s="236">
        <v>7894</v>
      </c>
    </row>
    <row r="289" spans="1:5">
      <c r="A289" s="194">
        <v>39900</v>
      </c>
      <c r="B289" s="211" t="s">
        <v>477</v>
      </c>
      <c r="C289" s="233">
        <v>1.7489000000000001E-3</v>
      </c>
      <c r="D289" s="234">
        <v>35796</v>
      </c>
    </row>
    <row r="290" spans="1:5">
      <c r="A290" s="192">
        <v>51000</v>
      </c>
      <c r="B290" s="214" t="s">
        <v>515</v>
      </c>
      <c r="C290" s="235">
        <v>2.4269200000000001E-2</v>
      </c>
      <c r="D290" s="236">
        <v>569488</v>
      </c>
    </row>
    <row r="291" spans="1:5">
      <c r="A291" s="237">
        <v>51000.2</v>
      </c>
      <c r="B291" s="238" t="s">
        <v>479</v>
      </c>
      <c r="C291" s="233">
        <v>2.8399999999999999E-5</v>
      </c>
      <c r="D291" s="234">
        <v>914</v>
      </c>
    </row>
    <row r="292" spans="1:5">
      <c r="A292" s="239">
        <v>51000.3</v>
      </c>
      <c r="B292" s="240" t="s">
        <v>480</v>
      </c>
      <c r="C292" s="235">
        <v>8.7239999999999996E-4</v>
      </c>
      <c r="D292" s="236">
        <v>18466</v>
      </c>
    </row>
    <row r="293" spans="1:5">
      <c r="A293" s="172"/>
      <c r="B293" s="173"/>
      <c r="C293" s="174"/>
      <c r="D293" s="179"/>
    </row>
    <row r="294" spans="1:5">
      <c r="C294" s="148"/>
    </row>
    <row r="295" spans="1:5">
      <c r="C295" s="148"/>
    </row>
    <row r="296" spans="1:5">
      <c r="C296" s="9">
        <f>SUM(C3:C295)</f>
        <v>1</v>
      </c>
      <c r="D296" s="8">
        <f>SUM(D3:D295)</f>
        <v>19709950</v>
      </c>
    </row>
    <row r="298" spans="1:5">
      <c r="C298" s="9"/>
    </row>
    <row r="299" spans="1:5">
      <c r="A299" s="2"/>
    </row>
    <row r="300" spans="1:5">
      <c r="B300" s="2"/>
      <c r="C300" s="178"/>
      <c r="E300" s="2"/>
    </row>
    <row r="301" spans="1:5">
      <c r="B301" s="2"/>
      <c r="C301" s="178"/>
      <c r="E301" s="2"/>
    </row>
    <row r="302" spans="1:5">
      <c r="B302" s="2"/>
      <c r="C302" s="178"/>
      <c r="E302" s="2"/>
    </row>
    <row r="303" spans="1:5">
      <c r="B303" s="2"/>
      <c r="C303" s="178"/>
      <c r="E303" s="2"/>
    </row>
    <row r="304" spans="1:5">
      <c r="B304" s="2"/>
      <c r="C304" s="178"/>
      <c r="E304" s="2"/>
    </row>
    <row r="305" spans="2:5">
      <c r="B305" s="2"/>
      <c r="C305" s="178"/>
      <c r="E305" s="2"/>
    </row>
    <row r="306" spans="2:5">
      <c r="B306" s="2"/>
      <c r="C306" s="178"/>
      <c r="E306" s="2"/>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02"/>
  <sheetViews>
    <sheetView workbookViewId="0">
      <pane xSplit="2" ySplit="3" topLeftCell="E13" activePane="bottomRight" state="frozen"/>
      <selection activeCell="A4" sqref="A4"/>
      <selection pane="topRight" activeCell="A4" sqref="A4"/>
      <selection pane="bottomLeft" activeCell="A4" sqref="A4"/>
      <selection pane="bottomRight" activeCell="L30" sqref="L30"/>
    </sheetView>
  </sheetViews>
  <sheetFormatPr defaultRowHeight="13.2"/>
  <cols>
    <col min="1" max="1" width="15.33203125" customWidth="1"/>
    <col min="2" max="2" width="67.33203125" customWidth="1"/>
    <col min="3" max="4" width="18.33203125" customWidth="1"/>
    <col min="5" max="5" width="20" customWidth="1"/>
    <col min="6" max="6" width="14.44140625" customWidth="1"/>
    <col min="7" max="7" width="19.44140625" customWidth="1"/>
    <col min="8" max="8" width="18.33203125" customWidth="1"/>
    <col min="9" max="9" width="20" customWidth="1"/>
    <col min="10" max="10" width="14.44140625" customWidth="1"/>
    <col min="11" max="11" width="19.44140625" customWidth="1"/>
    <col min="12" max="12" width="15" bestFit="1" customWidth="1"/>
    <col min="13" max="13" width="22.44140625" customWidth="1"/>
    <col min="14" max="14" width="15" bestFit="1" customWidth="1"/>
  </cols>
  <sheetData>
    <row r="1" spans="1:14">
      <c r="A1" s="7">
        <v>1</v>
      </c>
      <c r="B1" s="7">
        <v>2</v>
      </c>
      <c r="C1" s="7">
        <v>3</v>
      </c>
      <c r="D1" s="7">
        <v>4</v>
      </c>
      <c r="E1" s="7">
        <v>5</v>
      </c>
      <c r="F1" s="7">
        <v>6</v>
      </c>
      <c r="G1" s="7">
        <v>7</v>
      </c>
      <c r="H1" s="7">
        <v>8</v>
      </c>
      <c r="I1" s="7">
        <v>9</v>
      </c>
      <c r="J1" s="7">
        <v>10</v>
      </c>
      <c r="K1" s="7">
        <v>11</v>
      </c>
      <c r="L1" s="7">
        <v>12</v>
      </c>
      <c r="M1" s="7">
        <v>13</v>
      </c>
      <c r="N1" s="7">
        <v>14</v>
      </c>
    </row>
    <row r="2" spans="1:14" ht="14.4">
      <c r="D2" s="127" t="s">
        <v>125</v>
      </c>
      <c r="E2" s="128"/>
      <c r="F2" s="128"/>
      <c r="G2" s="129"/>
      <c r="H2" s="217" t="s">
        <v>113</v>
      </c>
      <c r="I2" s="217"/>
      <c r="J2" s="217"/>
      <c r="K2" s="218"/>
      <c r="L2" s="127" t="s">
        <v>211</v>
      </c>
      <c r="M2" s="128"/>
      <c r="N2" s="129"/>
    </row>
    <row r="3" spans="1:14" ht="100.8">
      <c r="A3" s="46" t="s">
        <v>159</v>
      </c>
      <c r="B3" s="46" t="s">
        <v>160</v>
      </c>
      <c r="C3" s="46" t="s">
        <v>481</v>
      </c>
      <c r="D3" s="46" t="s">
        <v>116</v>
      </c>
      <c r="E3" s="46" t="s">
        <v>117</v>
      </c>
      <c r="F3" s="46" t="s">
        <v>126</v>
      </c>
      <c r="G3" s="46" t="s">
        <v>115</v>
      </c>
      <c r="H3" s="46" t="s">
        <v>116</v>
      </c>
      <c r="I3" s="46" t="s">
        <v>117</v>
      </c>
      <c r="J3" s="46" t="s">
        <v>126</v>
      </c>
      <c r="K3" s="46" t="s">
        <v>115</v>
      </c>
      <c r="L3" s="46" t="s">
        <v>231</v>
      </c>
      <c r="M3" s="46" t="s">
        <v>118</v>
      </c>
      <c r="N3" s="46" t="s">
        <v>232</v>
      </c>
    </row>
    <row r="4" spans="1:14" ht="13.8">
      <c r="A4" s="197">
        <v>10200</v>
      </c>
      <c r="B4" s="199" t="s">
        <v>254</v>
      </c>
      <c r="C4" s="202">
        <v>27918</v>
      </c>
      <c r="D4" s="202">
        <v>24466</v>
      </c>
      <c r="E4" s="202">
        <v>36464</v>
      </c>
      <c r="F4" s="202">
        <v>2034</v>
      </c>
      <c r="G4" s="202">
        <v>2178</v>
      </c>
      <c r="H4" s="202">
        <v>15463</v>
      </c>
      <c r="J4" s="202">
        <v>4766</v>
      </c>
      <c r="K4" s="202">
        <v>7029</v>
      </c>
      <c r="L4" s="202">
        <v>38834</v>
      </c>
      <c r="M4" s="202">
        <v>-395</v>
      </c>
      <c r="N4" s="202">
        <v>38439</v>
      </c>
    </row>
    <row r="5" spans="1:14" ht="13.8">
      <c r="A5" s="197">
        <v>10400</v>
      </c>
      <c r="B5" s="199" t="s">
        <v>255</v>
      </c>
      <c r="C5" s="202">
        <v>78166</v>
      </c>
      <c r="D5" s="202">
        <v>68502</v>
      </c>
      <c r="E5" s="202">
        <v>102095</v>
      </c>
      <c r="F5" s="202">
        <v>5696</v>
      </c>
      <c r="G5" s="202">
        <v>3739</v>
      </c>
      <c r="H5" s="202">
        <v>43294</v>
      </c>
      <c r="J5" s="202">
        <v>13343</v>
      </c>
      <c r="K5" s="202">
        <v>15599</v>
      </c>
      <c r="L5" s="202">
        <v>108728</v>
      </c>
      <c r="M5" s="202">
        <v>-397</v>
      </c>
      <c r="N5" s="202">
        <v>108331</v>
      </c>
    </row>
    <row r="6" spans="1:14" ht="13.8">
      <c r="A6" s="197">
        <v>10500</v>
      </c>
      <c r="B6" s="199" t="s">
        <v>256</v>
      </c>
      <c r="C6" s="202">
        <v>18029</v>
      </c>
      <c r="D6" s="202">
        <v>15800</v>
      </c>
      <c r="E6" s="202">
        <v>23549</v>
      </c>
      <c r="F6" s="202">
        <v>1314</v>
      </c>
      <c r="G6" s="202">
        <v>2331</v>
      </c>
      <c r="H6" s="202">
        <v>9986</v>
      </c>
      <c r="J6" s="202">
        <v>3078</v>
      </c>
      <c r="K6" s="202">
        <v>4900</v>
      </c>
      <c r="L6" s="202">
        <v>25079</v>
      </c>
      <c r="M6" s="202">
        <v>-223</v>
      </c>
      <c r="N6" s="202">
        <v>24856</v>
      </c>
    </row>
    <row r="7" spans="1:14" ht="13.8">
      <c r="A7" s="197">
        <v>10700</v>
      </c>
      <c r="B7" s="199" t="s">
        <v>257</v>
      </c>
      <c r="C7" s="202">
        <v>120153</v>
      </c>
      <c r="D7" s="202">
        <v>105299</v>
      </c>
      <c r="E7" s="202">
        <v>156936</v>
      </c>
      <c r="F7" s="202">
        <v>8755</v>
      </c>
      <c r="G7" s="202">
        <v>8208</v>
      </c>
      <c r="H7" s="202">
        <v>66550</v>
      </c>
      <c r="J7" s="202">
        <v>20510</v>
      </c>
      <c r="K7" s="202">
        <v>18157</v>
      </c>
      <c r="L7" s="202">
        <v>167132</v>
      </c>
      <c r="M7" s="202">
        <v>-1152</v>
      </c>
      <c r="N7" s="202">
        <v>165980</v>
      </c>
    </row>
    <row r="8" spans="1:14" ht="13.8">
      <c r="A8" s="197">
        <v>10800</v>
      </c>
      <c r="B8" s="199" t="s">
        <v>258</v>
      </c>
      <c r="C8" s="202">
        <v>511449</v>
      </c>
      <c r="D8" s="202">
        <v>448220</v>
      </c>
      <c r="E8" s="202">
        <v>668022</v>
      </c>
      <c r="F8" s="202">
        <v>37268</v>
      </c>
      <c r="G8" s="202">
        <v>70859</v>
      </c>
      <c r="H8" s="202">
        <v>283282</v>
      </c>
      <c r="J8" s="202">
        <v>87306</v>
      </c>
      <c r="K8" s="202">
        <v>30082</v>
      </c>
      <c r="L8" s="202">
        <v>711425</v>
      </c>
      <c r="M8" s="202">
        <v>11981</v>
      </c>
      <c r="N8" s="202">
        <v>723406</v>
      </c>
    </row>
    <row r="9" spans="1:14" ht="13.8">
      <c r="A9" s="197">
        <v>10850</v>
      </c>
      <c r="B9" s="199" t="s">
        <v>259</v>
      </c>
      <c r="C9" s="202">
        <v>4109</v>
      </c>
      <c r="D9" s="202">
        <v>3601</v>
      </c>
      <c r="E9" s="202">
        <v>5367</v>
      </c>
      <c r="F9" s="202">
        <v>299</v>
      </c>
      <c r="G9" s="202">
        <v>3405</v>
      </c>
      <c r="H9" s="202">
        <v>2276</v>
      </c>
      <c r="J9" s="202">
        <v>701</v>
      </c>
      <c r="K9" s="202">
        <v>0</v>
      </c>
      <c r="L9" s="202">
        <v>5716</v>
      </c>
      <c r="M9" s="202">
        <v>919</v>
      </c>
      <c r="N9" s="202">
        <v>6635</v>
      </c>
    </row>
    <row r="10" spans="1:14" ht="13.8">
      <c r="A10" s="198">
        <v>10900</v>
      </c>
      <c r="B10" s="200" t="s">
        <v>260</v>
      </c>
      <c r="C10" s="203">
        <v>40117</v>
      </c>
      <c r="D10" s="203">
        <v>35158</v>
      </c>
      <c r="E10" s="203">
        <v>52399</v>
      </c>
      <c r="F10" s="203">
        <v>2923</v>
      </c>
      <c r="G10" s="203">
        <v>18444</v>
      </c>
      <c r="H10" s="203">
        <v>22220</v>
      </c>
      <c r="J10" s="203">
        <v>6848</v>
      </c>
      <c r="K10" s="203">
        <v>6151</v>
      </c>
      <c r="L10" s="203">
        <v>55803</v>
      </c>
      <c r="M10" s="203">
        <v>7873</v>
      </c>
      <c r="N10" s="203">
        <v>63676</v>
      </c>
    </row>
    <row r="11" spans="1:14" ht="13.8">
      <c r="A11" s="198">
        <v>10910</v>
      </c>
      <c r="B11" s="201" t="s">
        <v>261</v>
      </c>
      <c r="C11" s="203">
        <v>14354</v>
      </c>
      <c r="D11" s="203">
        <v>12579</v>
      </c>
      <c r="E11" s="203">
        <v>18748</v>
      </c>
      <c r="F11" s="203">
        <v>1046</v>
      </c>
      <c r="G11" s="203">
        <v>0</v>
      </c>
      <c r="H11" s="203">
        <v>7950</v>
      </c>
      <c r="J11" s="203">
        <v>2450</v>
      </c>
      <c r="K11" s="203">
        <v>11135</v>
      </c>
      <c r="L11" s="203">
        <v>19966</v>
      </c>
      <c r="M11" s="203">
        <v>-2787</v>
      </c>
      <c r="N11" s="203">
        <v>17179</v>
      </c>
    </row>
    <row r="12" spans="1:14" ht="13.8">
      <c r="A12" s="198">
        <v>10930</v>
      </c>
      <c r="B12" s="201" t="s">
        <v>262</v>
      </c>
      <c r="C12" s="203">
        <v>130648</v>
      </c>
      <c r="D12" s="203">
        <v>114496</v>
      </c>
      <c r="E12" s="203">
        <v>170643</v>
      </c>
      <c r="F12" s="203">
        <v>9520</v>
      </c>
      <c r="G12" s="203">
        <v>29923</v>
      </c>
      <c r="H12" s="203">
        <v>72363</v>
      </c>
      <c r="J12" s="203">
        <v>22302</v>
      </c>
      <c r="K12" s="203">
        <v>100537</v>
      </c>
      <c r="L12" s="203">
        <v>181731</v>
      </c>
      <c r="M12" s="203">
        <v>-11515</v>
      </c>
      <c r="N12" s="203">
        <v>170216</v>
      </c>
    </row>
    <row r="13" spans="1:14" ht="13.8">
      <c r="A13" s="198">
        <v>10940</v>
      </c>
      <c r="B13" s="200" t="s">
        <v>263</v>
      </c>
      <c r="C13" s="203">
        <v>17742</v>
      </c>
      <c r="D13" s="203">
        <v>15549</v>
      </c>
      <c r="E13" s="203">
        <v>23174</v>
      </c>
      <c r="F13" s="203">
        <v>1293</v>
      </c>
      <c r="G13" s="203">
        <v>5815</v>
      </c>
      <c r="H13" s="203">
        <v>9827</v>
      </c>
      <c r="J13" s="203">
        <v>3029</v>
      </c>
      <c r="K13" s="203">
        <v>0</v>
      </c>
      <c r="L13" s="203">
        <v>24679</v>
      </c>
      <c r="M13" s="203">
        <v>2032</v>
      </c>
      <c r="N13" s="203">
        <v>26711</v>
      </c>
    </row>
    <row r="14" spans="1:14" ht="13.8">
      <c r="A14" s="198">
        <v>10950</v>
      </c>
      <c r="B14" s="201" t="s">
        <v>264</v>
      </c>
      <c r="C14" s="203">
        <v>27022</v>
      </c>
      <c r="D14" s="203">
        <v>23681</v>
      </c>
      <c r="E14" s="203">
        <v>35294</v>
      </c>
      <c r="F14" s="203">
        <v>1969</v>
      </c>
      <c r="G14" s="203">
        <v>2013</v>
      </c>
      <c r="H14" s="203">
        <v>14967</v>
      </c>
      <c r="J14" s="203">
        <v>4613</v>
      </c>
      <c r="K14" s="203">
        <v>9054</v>
      </c>
      <c r="L14" s="203">
        <v>37587</v>
      </c>
      <c r="M14" s="203">
        <v>-2785</v>
      </c>
      <c r="N14" s="203">
        <v>34802</v>
      </c>
    </row>
    <row r="15" spans="1:14" ht="13.8">
      <c r="A15" s="198">
        <v>11050</v>
      </c>
      <c r="B15" s="201" t="s">
        <v>265</v>
      </c>
      <c r="C15" s="203">
        <v>5819</v>
      </c>
      <c r="D15" s="203">
        <v>5100</v>
      </c>
      <c r="E15" s="203">
        <v>7601</v>
      </c>
      <c r="F15" s="203">
        <v>424</v>
      </c>
      <c r="G15" s="203">
        <v>2196</v>
      </c>
      <c r="H15" s="203">
        <v>3223</v>
      </c>
      <c r="J15" s="203">
        <v>993</v>
      </c>
      <c r="K15" s="203">
        <v>3719</v>
      </c>
      <c r="L15" s="203">
        <v>8095</v>
      </c>
      <c r="M15" s="203">
        <v>-1852</v>
      </c>
      <c r="N15" s="203">
        <v>6243</v>
      </c>
    </row>
    <row r="16" spans="1:14" ht="13.8">
      <c r="A16" s="197">
        <v>11300</v>
      </c>
      <c r="B16" s="199" t="s">
        <v>266</v>
      </c>
      <c r="C16" s="202">
        <v>109706</v>
      </c>
      <c r="D16" s="202">
        <v>96143</v>
      </c>
      <c r="E16" s="202">
        <v>143291</v>
      </c>
      <c r="F16" s="202">
        <v>7994</v>
      </c>
      <c r="G16" s="202">
        <v>38074</v>
      </c>
      <c r="H16" s="202">
        <v>60764</v>
      </c>
      <c r="J16" s="202">
        <v>18727</v>
      </c>
      <c r="K16" s="202">
        <v>1570</v>
      </c>
      <c r="L16" s="202">
        <v>152601</v>
      </c>
      <c r="M16" s="202">
        <v>15043</v>
      </c>
      <c r="N16" s="202">
        <v>167644</v>
      </c>
    </row>
    <row r="17" spans="1:14" ht="13.8">
      <c r="A17" s="197">
        <v>11310</v>
      </c>
      <c r="B17" s="199" t="s">
        <v>267</v>
      </c>
      <c r="C17" s="202">
        <v>13133</v>
      </c>
      <c r="D17" s="202">
        <v>11509</v>
      </c>
      <c r="E17" s="202">
        <v>17154</v>
      </c>
      <c r="F17" s="202">
        <v>957</v>
      </c>
      <c r="G17" s="202">
        <v>3658</v>
      </c>
      <c r="H17" s="202">
        <v>7274</v>
      </c>
      <c r="J17" s="202">
        <v>2242</v>
      </c>
      <c r="K17" s="202">
        <v>568</v>
      </c>
      <c r="L17" s="202">
        <v>18268</v>
      </c>
      <c r="M17" s="202">
        <v>869</v>
      </c>
      <c r="N17" s="202">
        <v>19137</v>
      </c>
    </row>
    <row r="18" spans="1:14" ht="13.8">
      <c r="A18" s="197">
        <v>11600</v>
      </c>
      <c r="B18" s="199" t="s">
        <v>268</v>
      </c>
      <c r="C18" s="202">
        <v>58711</v>
      </c>
      <c r="D18" s="202">
        <v>51452</v>
      </c>
      <c r="E18" s="202">
        <v>76684</v>
      </c>
      <c r="F18" s="202">
        <v>4278</v>
      </c>
      <c r="G18" s="202">
        <v>174</v>
      </c>
      <c r="H18" s="202">
        <v>32519</v>
      </c>
      <c r="J18" s="202">
        <v>10022</v>
      </c>
      <c r="K18" s="202">
        <v>21306</v>
      </c>
      <c r="L18" s="202">
        <v>81666</v>
      </c>
      <c r="M18" s="202">
        <v>-5409</v>
      </c>
      <c r="N18" s="202">
        <v>76257</v>
      </c>
    </row>
    <row r="19" spans="1:14" ht="13.8">
      <c r="A19" s="197">
        <v>11900</v>
      </c>
      <c r="B19" s="199" t="s">
        <v>269</v>
      </c>
      <c r="C19" s="202">
        <v>8242</v>
      </c>
      <c r="D19" s="202">
        <v>7223</v>
      </c>
      <c r="E19" s="202">
        <v>10765</v>
      </c>
      <c r="F19" s="202">
        <v>601</v>
      </c>
      <c r="G19" s="202">
        <v>1544</v>
      </c>
      <c r="H19" s="202">
        <v>4565</v>
      </c>
      <c r="J19" s="202">
        <v>1407</v>
      </c>
      <c r="K19" s="202">
        <v>9598</v>
      </c>
      <c r="L19" s="202">
        <v>11465</v>
      </c>
      <c r="M19" s="202">
        <v>-1153</v>
      </c>
      <c r="N19" s="202">
        <v>10312</v>
      </c>
    </row>
    <row r="20" spans="1:14" ht="13.8">
      <c r="A20" s="197">
        <v>12100</v>
      </c>
      <c r="B20" s="199" t="s">
        <v>270</v>
      </c>
      <c r="C20" s="202">
        <v>7761</v>
      </c>
      <c r="D20" s="202">
        <v>6801</v>
      </c>
      <c r="E20" s="202">
        <v>10137</v>
      </c>
      <c r="F20" s="202">
        <v>566</v>
      </c>
      <c r="G20" s="202">
        <v>443</v>
      </c>
      <c r="H20" s="202">
        <v>4299</v>
      </c>
      <c r="J20" s="202">
        <v>1325</v>
      </c>
      <c r="K20" s="202">
        <v>2973</v>
      </c>
      <c r="L20" s="202">
        <v>10795</v>
      </c>
      <c r="M20" s="202">
        <v>-375</v>
      </c>
      <c r="N20" s="202">
        <v>10420</v>
      </c>
    </row>
    <row r="21" spans="1:14" ht="13.8">
      <c r="A21" s="197">
        <v>12150</v>
      </c>
      <c r="B21" s="199" t="s">
        <v>271</v>
      </c>
      <c r="C21" s="202">
        <v>1202</v>
      </c>
      <c r="D21" s="202">
        <v>1054</v>
      </c>
      <c r="E21" s="202">
        <v>1570</v>
      </c>
      <c r="F21" s="202">
        <v>88</v>
      </c>
      <c r="G21" s="202">
        <v>376</v>
      </c>
      <c r="H21" s="202">
        <v>666</v>
      </c>
      <c r="J21" s="202">
        <v>205</v>
      </c>
      <c r="K21" s="202">
        <v>596</v>
      </c>
      <c r="L21" s="202">
        <v>1672</v>
      </c>
      <c r="M21" s="202">
        <v>-168</v>
      </c>
      <c r="N21" s="202">
        <v>1504</v>
      </c>
    </row>
    <row r="22" spans="1:14" ht="13.8">
      <c r="A22" s="198">
        <v>12160</v>
      </c>
      <c r="B22" s="200" t="s">
        <v>272</v>
      </c>
      <c r="C22" s="203">
        <v>47038</v>
      </c>
      <c r="D22" s="203">
        <v>41223</v>
      </c>
      <c r="E22" s="203">
        <v>61438</v>
      </c>
      <c r="F22" s="203">
        <v>3428</v>
      </c>
      <c r="G22" s="203">
        <v>8624</v>
      </c>
      <c r="H22" s="203">
        <v>26053</v>
      </c>
      <c r="J22" s="203">
        <v>8029</v>
      </c>
      <c r="K22" s="203">
        <v>3218</v>
      </c>
      <c r="L22" s="203">
        <v>65429</v>
      </c>
      <c r="M22" s="203">
        <v>3133</v>
      </c>
      <c r="N22" s="203">
        <v>68562</v>
      </c>
    </row>
    <row r="23" spans="1:14" ht="13.8">
      <c r="A23" s="198">
        <v>12220</v>
      </c>
      <c r="B23" s="201" t="s">
        <v>273</v>
      </c>
      <c r="C23" s="203">
        <v>1034164</v>
      </c>
      <c r="D23" s="203">
        <v>906313</v>
      </c>
      <c r="E23" s="203">
        <v>1350759</v>
      </c>
      <c r="F23" s="203">
        <v>75358</v>
      </c>
      <c r="G23" s="203">
        <v>487670</v>
      </c>
      <c r="H23" s="203">
        <v>572803</v>
      </c>
      <c r="J23" s="203">
        <v>176534</v>
      </c>
      <c r="K23" s="203">
        <v>204573</v>
      </c>
      <c r="L23" s="203">
        <v>1438521</v>
      </c>
      <c r="M23" s="203">
        <v>130618</v>
      </c>
      <c r="N23" s="203">
        <v>1569139</v>
      </c>
    </row>
    <row r="24" spans="1:14" ht="13.8">
      <c r="A24" s="198">
        <v>12510</v>
      </c>
      <c r="B24" s="200" t="s">
        <v>274</v>
      </c>
      <c r="C24" s="203">
        <v>100041</v>
      </c>
      <c r="D24" s="203">
        <v>87673</v>
      </c>
      <c r="E24" s="203">
        <v>130667</v>
      </c>
      <c r="F24" s="203">
        <v>7290</v>
      </c>
      <c r="G24" s="203">
        <v>76414</v>
      </c>
      <c r="H24" s="203">
        <v>55411</v>
      </c>
      <c r="J24" s="203">
        <v>17077</v>
      </c>
      <c r="K24" s="203">
        <v>16804</v>
      </c>
      <c r="L24" s="203">
        <v>139157</v>
      </c>
      <c r="M24" s="203">
        <v>31339</v>
      </c>
      <c r="N24" s="203">
        <v>170496</v>
      </c>
    </row>
    <row r="25" spans="1:14" ht="13.8">
      <c r="A25" s="198">
        <v>12600</v>
      </c>
      <c r="B25" s="201" t="s">
        <v>275</v>
      </c>
      <c r="C25" s="203">
        <v>44498</v>
      </c>
      <c r="D25" s="203">
        <v>38997</v>
      </c>
      <c r="E25" s="203">
        <v>58120</v>
      </c>
      <c r="F25" s="203">
        <v>3242</v>
      </c>
      <c r="G25" s="203">
        <v>20962</v>
      </c>
      <c r="H25" s="203">
        <v>24646</v>
      </c>
      <c r="J25" s="203">
        <v>7596</v>
      </c>
      <c r="K25" s="203">
        <v>5710</v>
      </c>
      <c r="L25" s="203">
        <v>61896</v>
      </c>
      <c r="M25" s="203">
        <v>409</v>
      </c>
      <c r="N25" s="203">
        <v>62305</v>
      </c>
    </row>
    <row r="26" spans="1:14" ht="13.8">
      <c r="A26" s="198">
        <v>12700</v>
      </c>
      <c r="B26" s="201" t="s">
        <v>276</v>
      </c>
      <c r="C26" s="203">
        <v>25537</v>
      </c>
      <c r="D26" s="203">
        <v>22380</v>
      </c>
      <c r="E26" s="203">
        <v>33355</v>
      </c>
      <c r="F26" s="203">
        <v>1861</v>
      </c>
      <c r="G26" s="203">
        <v>14437</v>
      </c>
      <c r="H26" s="203">
        <v>14145</v>
      </c>
      <c r="J26" s="203">
        <v>4359</v>
      </c>
      <c r="K26" s="203">
        <v>0</v>
      </c>
      <c r="L26" s="203">
        <v>35523</v>
      </c>
      <c r="M26" s="203">
        <v>4396</v>
      </c>
      <c r="N26" s="203">
        <v>39919</v>
      </c>
    </row>
    <row r="27" spans="1:14" ht="13.8">
      <c r="A27" s="198">
        <v>13500</v>
      </c>
      <c r="B27" s="201" t="s">
        <v>277</v>
      </c>
      <c r="C27" s="203">
        <v>101347</v>
      </c>
      <c r="D27" s="203">
        <v>88817</v>
      </c>
      <c r="E27" s="203">
        <v>132373</v>
      </c>
      <c r="F27" s="203">
        <v>7385</v>
      </c>
      <c r="G27" s="203">
        <v>28780</v>
      </c>
      <c r="H27" s="203">
        <v>56134</v>
      </c>
      <c r="J27" s="203">
        <v>17300</v>
      </c>
      <c r="K27" s="203">
        <v>3378</v>
      </c>
      <c r="L27" s="203">
        <v>140973</v>
      </c>
      <c r="M27" s="203">
        <v>8974</v>
      </c>
      <c r="N27" s="203">
        <v>149947</v>
      </c>
    </row>
    <row r="28" spans="1:14" ht="13.8">
      <c r="A28" s="197">
        <v>13700</v>
      </c>
      <c r="B28" s="199" t="s">
        <v>278</v>
      </c>
      <c r="C28" s="202">
        <v>10995</v>
      </c>
      <c r="D28" s="202">
        <v>9636</v>
      </c>
      <c r="E28" s="202">
        <v>14361</v>
      </c>
      <c r="F28" s="202">
        <v>801</v>
      </c>
      <c r="G28" s="202">
        <v>6268</v>
      </c>
      <c r="H28" s="202">
        <v>6090</v>
      </c>
      <c r="J28" s="202">
        <v>1877</v>
      </c>
      <c r="K28" s="202">
        <v>460</v>
      </c>
      <c r="L28" s="202">
        <v>15294</v>
      </c>
      <c r="M28" s="202">
        <v>1966</v>
      </c>
      <c r="N28" s="202">
        <v>17260</v>
      </c>
    </row>
    <row r="29" spans="1:14" ht="13.8">
      <c r="A29" s="197">
        <v>14300</v>
      </c>
      <c r="B29" s="199" t="s">
        <v>279</v>
      </c>
      <c r="C29" s="202">
        <v>35389</v>
      </c>
      <c r="D29" s="202">
        <v>31014</v>
      </c>
      <c r="E29" s="202">
        <v>46222</v>
      </c>
      <c r="F29" s="202">
        <v>2579</v>
      </c>
      <c r="G29" s="202">
        <v>18983</v>
      </c>
      <c r="H29" s="202">
        <v>19601</v>
      </c>
      <c r="J29" s="202">
        <v>6041</v>
      </c>
      <c r="K29" s="202">
        <v>19966</v>
      </c>
      <c r="L29" s="202">
        <v>49226</v>
      </c>
      <c r="M29" s="202">
        <v>1298</v>
      </c>
      <c r="N29" s="202">
        <v>50524</v>
      </c>
    </row>
    <row r="30" spans="1:14" ht="13.8">
      <c r="A30" s="197">
        <v>14300.2</v>
      </c>
      <c r="B30" s="199" t="s">
        <v>280</v>
      </c>
      <c r="C30" s="202">
        <v>4729</v>
      </c>
      <c r="D30" s="202">
        <v>4144</v>
      </c>
      <c r="E30" s="202">
        <v>6176</v>
      </c>
      <c r="F30" s="202">
        <v>345</v>
      </c>
      <c r="G30" s="202">
        <v>10236</v>
      </c>
      <c r="H30" s="202">
        <v>2619</v>
      </c>
      <c r="J30" s="202">
        <v>807</v>
      </c>
      <c r="K30" s="202">
        <v>3368</v>
      </c>
      <c r="L30" s="202">
        <v>6578</v>
      </c>
      <c r="M30" s="202">
        <v>3342</v>
      </c>
      <c r="N30" s="202">
        <v>9920</v>
      </c>
    </row>
    <row r="31" spans="1:14" ht="13.8">
      <c r="A31" s="197">
        <v>18400</v>
      </c>
      <c r="B31" s="199" t="s">
        <v>281</v>
      </c>
      <c r="C31" s="202">
        <v>122214</v>
      </c>
      <c r="D31" s="202">
        <v>107105</v>
      </c>
      <c r="E31" s="202">
        <v>159628</v>
      </c>
      <c r="F31" s="202">
        <v>8905</v>
      </c>
      <c r="G31" s="202">
        <v>36130</v>
      </c>
      <c r="H31" s="202">
        <v>67692</v>
      </c>
      <c r="J31" s="202">
        <v>20862</v>
      </c>
      <c r="K31" s="202">
        <v>0</v>
      </c>
      <c r="L31" s="202">
        <v>169999</v>
      </c>
      <c r="M31" s="202">
        <v>12058</v>
      </c>
      <c r="N31" s="202">
        <v>182057</v>
      </c>
    </row>
    <row r="32" spans="1:14" ht="13.8">
      <c r="A32" s="197">
        <v>18600</v>
      </c>
      <c r="B32" s="199" t="s">
        <v>282</v>
      </c>
      <c r="C32" s="202">
        <v>301</v>
      </c>
      <c r="D32" s="202">
        <v>263</v>
      </c>
      <c r="E32" s="202">
        <v>393</v>
      </c>
      <c r="F32" s="202">
        <v>22</v>
      </c>
      <c r="G32" s="202">
        <v>258</v>
      </c>
      <c r="H32" s="202">
        <v>166</v>
      </c>
      <c r="J32" s="202">
        <v>51</v>
      </c>
      <c r="K32" s="202">
        <v>84</v>
      </c>
      <c r="L32" s="202">
        <v>418</v>
      </c>
      <c r="M32" s="202">
        <v>81</v>
      </c>
      <c r="N32" s="202">
        <v>499</v>
      </c>
    </row>
    <row r="33" spans="1:14" ht="13.8">
      <c r="A33" s="197">
        <v>18640</v>
      </c>
      <c r="B33" s="199" t="s">
        <v>283</v>
      </c>
      <c r="C33" s="202">
        <v>45</v>
      </c>
      <c r="D33" s="202">
        <v>40</v>
      </c>
      <c r="E33" s="202">
        <v>59</v>
      </c>
      <c r="F33" s="202">
        <v>3</v>
      </c>
      <c r="G33" s="202">
        <v>19</v>
      </c>
      <c r="H33" s="202">
        <v>25</v>
      </c>
      <c r="J33" s="202">
        <v>8</v>
      </c>
      <c r="K33" s="202">
        <v>33</v>
      </c>
      <c r="L33" s="202">
        <v>63</v>
      </c>
      <c r="M33" s="202">
        <v>-13</v>
      </c>
      <c r="N33" s="202">
        <v>50</v>
      </c>
    </row>
    <row r="34" spans="1:14" ht="13.8">
      <c r="A34" s="198">
        <v>18740</v>
      </c>
      <c r="B34" s="201" t="s">
        <v>284</v>
      </c>
      <c r="C34" s="203">
        <v>130</v>
      </c>
      <c r="D34" s="203">
        <v>114</v>
      </c>
      <c r="E34" s="203">
        <v>170</v>
      </c>
      <c r="F34" s="203">
        <v>9</v>
      </c>
      <c r="G34" s="203">
        <v>226</v>
      </c>
      <c r="H34" s="203">
        <v>72</v>
      </c>
      <c r="J34" s="203">
        <v>22</v>
      </c>
      <c r="K34" s="203">
        <v>0</v>
      </c>
      <c r="L34" s="203">
        <v>181</v>
      </c>
      <c r="M34" s="203">
        <v>67</v>
      </c>
      <c r="N34" s="203">
        <v>248</v>
      </c>
    </row>
    <row r="35" spans="1:14" ht="13.8">
      <c r="A35" s="198">
        <v>18780</v>
      </c>
      <c r="B35" s="201" t="s">
        <v>545</v>
      </c>
      <c r="C35" s="203">
        <v>662</v>
      </c>
      <c r="D35" s="203">
        <v>580</v>
      </c>
      <c r="E35" s="203">
        <v>865</v>
      </c>
      <c r="F35" s="203">
        <v>48</v>
      </c>
      <c r="G35" s="203">
        <v>0</v>
      </c>
      <c r="H35" s="203">
        <v>367</v>
      </c>
      <c r="J35" s="203">
        <v>113</v>
      </c>
      <c r="K35" s="203">
        <v>594</v>
      </c>
      <c r="L35" s="203">
        <v>921</v>
      </c>
      <c r="M35" s="203">
        <v>-233</v>
      </c>
      <c r="N35" s="203">
        <v>688</v>
      </c>
    </row>
    <row r="36" spans="1:14" ht="13.8">
      <c r="A36" s="198">
        <v>19005</v>
      </c>
      <c r="B36" s="201" t="s">
        <v>285</v>
      </c>
      <c r="C36" s="203">
        <v>20506</v>
      </c>
      <c r="D36" s="203">
        <v>17970</v>
      </c>
      <c r="E36" s="203">
        <v>26783</v>
      </c>
      <c r="F36" s="203">
        <v>1494</v>
      </c>
      <c r="G36" s="203">
        <v>9236</v>
      </c>
      <c r="H36" s="203">
        <v>11358</v>
      </c>
      <c r="J36" s="203">
        <v>3500</v>
      </c>
      <c r="K36" s="203">
        <v>0</v>
      </c>
      <c r="L36" s="203">
        <v>28523</v>
      </c>
      <c r="M36" s="203">
        <v>2510</v>
      </c>
      <c r="N36" s="203">
        <v>31033</v>
      </c>
    </row>
    <row r="37" spans="1:14" ht="13.8">
      <c r="A37" s="198">
        <v>19100</v>
      </c>
      <c r="B37" s="200" t="s">
        <v>286</v>
      </c>
      <c r="C37" s="203">
        <v>464587</v>
      </c>
      <c r="D37" s="203">
        <v>407151</v>
      </c>
      <c r="E37" s="203">
        <v>606814</v>
      </c>
      <c r="F37" s="203">
        <v>33854</v>
      </c>
      <c r="G37" s="203">
        <v>1331839</v>
      </c>
      <c r="H37" s="203">
        <v>257326</v>
      </c>
      <c r="J37" s="203">
        <v>79306</v>
      </c>
      <c r="K37" s="203">
        <v>346415</v>
      </c>
      <c r="L37" s="203">
        <v>646240</v>
      </c>
      <c r="M37" s="203">
        <v>559173</v>
      </c>
      <c r="N37" s="203">
        <v>1205413</v>
      </c>
    </row>
    <row r="38" spans="1:14" ht="13.8">
      <c r="A38" s="198">
        <v>19120</v>
      </c>
      <c r="B38" s="201" t="s">
        <v>546</v>
      </c>
      <c r="C38" s="203">
        <v>1191075</v>
      </c>
      <c r="D38" s="203">
        <v>1043825</v>
      </c>
      <c r="E38" s="203">
        <v>1555707</v>
      </c>
      <c r="F38" s="203">
        <v>86791</v>
      </c>
      <c r="G38" s="203">
        <v>0</v>
      </c>
      <c r="H38" s="203">
        <v>659713</v>
      </c>
      <c r="J38" s="203">
        <v>203319</v>
      </c>
      <c r="K38" s="203">
        <v>1088295</v>
      </c>
      <c r="L38" s="203">
        <v>1656784</v>
      </c>
      <c r="M38" s="203">
        <v>-544148</v>
      </c>
      <c r="N38" s="203">
        <v>1112636</v>
      </c>
    </row>
    <row r="39" spans="1:14" s="222" customFormat="1" ht="13.8">
      <c r="A39" s="219">
        <v>20100</v>
      </c>
      <c r="B39" s="220" t="s">
        <v>37</v>
      </c>
      <c r="C39" s="221">
        <v>300346</v>
      </c>
      <c r="D39" s="221">
        <v>263215</v>
      </c>
      <c r="E39" s="221">
        <v>392293</v>
      </c>
      <c r="F39" s="221">
        <v>21886</v>
      </c>
      <c r="G39" s="221">
        <v>16828</v>
      </c>
      <c r="H39" s="221">
        <v>166356</v>
      </c>
      <c r="J39" s="221">
        <v>51270</v>
      </c>
      <c r="K39" s="221">
        <v>31827</v>
      </c>
      <c r="L39" s="221">
        <v>417781</v>
      </c>
      <c r="M39" s="221">
        <v>-7153</v>
      </c>
      <c r="N39" s="221">
        <v>410628</v>
      </c>
    </row>
    <row r="40" spans="1:14" ht="13.8">
      <c r="A40" s="197">
        <v>20200</v>
      </c>
      <c r="B40" s="199" t="s">
        <v>287</v>
      </c>
      <c r="C40" s="202">
        <v>41003</v>
      </c>
      <c r="D40" s="202">
        <v>35934</v>
      </c>
      <c r="E40" s="202">
        <v>53556</v>
      </c>
      <c r="F40" s="202">
        <v>2988</v>
      </c>
      <c r="G40" s="202">
        <v>6820</v>
      </c>
      <c r="H40" s="202">
        <v>22711</v>
      </c>
      <c r="J40" s="202">
        <v>6999</v>
      </c>
      <c r="K40" s="202">
        <v>871</v>
      </c>
      <c r="L40" s="202">
        <v>57035</v>
      </c>
      <c r="M40" s="202">
        <v>1501</v>
      </c>
      <c r="N40" s="202">
        <v>58536</v>
      </c>
    </row>
    <row r="41" spans="1:14" ht="13.8">
      <c r="A41" s="197">
        <v>20300</v>
      </c>
      <c r="B41" s="199" t="s">
        <v>39</v>
      </c>
      <c r="C41" s="202">
        <v>613921</v>
      </c>
      <c r="D41" s="202">
        <v>538023</v>
      </c>
      <c r="E41" s="202">
        <v>801864</v>
      </c>
      <c r="F41" s="202">
        <v>44735</v>
      </c>
      <c r="G41" s="202">
        <v>132644</v>
      </c>
      <c r="H41" s="202">
        <v>340039</v>
      </c>
      <c r="J41" s="202">
        <v>104798</v>
      </c>
      <c r="K41" s="202">
        <v>28811</v>
      </c>
      <c r="L41" s="202">
        <v>853963</v>
      </c>
      <c r="M41" s="202">
        <v>5277</v>
      </c>
      <c r="N41" s="202">
        <v>859240</v>
      </c>
    </row>
    <row r="42" spans="1:14" ht="13.8">
      <c r="A42" s="197">
        <v>20400</v>
      </c>
      <c r="B42" s="199" t="s">
        <v>40</v>
      </c>
      <c r="C42" s="202">
        <v>32894</v>
      </c>
      <c r="D42" s="202">
        <v>28827</v>
      </c>
      <c r="E42" s="202">
        <v>42964</v>
      </c>
      <c r="F42" s="202">
        <v>2397</v>
      </c>
      <c r="G42" s="202">
        <v>2725</v>
      </c>
      <c r="H42" s="202">
        <v>18219</v>
      </c>
      <c r="J42" s="202">
        <v>5615</v>
      </c>
      <c r="K42" s="202">
        <v>116</v>
      </c>
      <c r="L42" s="202">
        <v>45755</v>
      </c>
      <c r="M42" s="202">
        <v>964</v>
      </c>
      <c r="N42" s="202">
        <v>46719</v>
      </c>
    </row>
    <row r="43" spans="1:14" ht="13.8">
      <c r="A43" s="197">
        <v>20600</v>
      </c>
      <c r="B43" s="199" t="s">
        <v>41</v>
      </c>
      <c r="C43" s="202">
        <v>73394</v>
      </c>
      <c r="D43" s="202">
        <v>64321</v>
      </c>
      <c r="E43" s="202">
        <v>95863</v>
      </c>
      <c r="F43" s="202">
        <v>5348</v>
      </c>
      <c r="G43" s="202">
        <v>34504</v>
      </c>
      <c r="H43" s="202">
        <v>40652</v>
      </c>
      <c r="J43" s="202">
        <v>12529</v>
      </c>
      <c r="K43" s="202">
        <v>3499</v>
      </c>
      <c r="L43" s="202">
        <v>102091</v>
      </c>
      <c r="M43" s="202">
        <v>4711</v>
      </c>
      <c r="N43" s="202">
        <v>106802</v>
      </c>
    </row>
    <row r="44" spans="1:14" ht="13.8">
      <c r="A44" s="197">
        <v>20700</v>
      </c>
      <c r="B44" s="199" t="s">
        <v>288</v>
      </c>
      <c r="C44" s="202">
        <v>154778</v>
      </c>
      <c r="D44" s="202">
        <v>135643</v>
      </c>
      <c r="E44" s="202">
        <v>202161</v>
      </c>
      <c r="F44" s="202">
        <v>11278</v>
      </c>
      <c r="G44" s="202">
        <v>33148</v>
      </c>
      <c r="H44" s="202">
        <v>85729</v>
      </c>
      <c r="J44" s="202">
        <v>26421</v>
      </c>
      <c r="K44" s="202">
        <v>5512</v>
      </c>
      <c r="L44" s="202">
        <v>215296</v>
      </c>
      <c r="M44" s="202">
        <v>8793</v>
      </c>
      <c r="N44" s="202">
        <v>224089</v>
      </c>
    </row>
    <row r="45" spans="1:14" ht="13.8">
      <c r="A45" s="197">
        <v>20800</v>
      </c>
      <c r="B45" s="199" t="s">
        <v>289</v>
      </c>
      <c r="C45" s="202">
        <v>104647</v>
      </c>
      <c r="D45" s="202">
        <v>91710</v>
      </c>
      <c r="E45" s="202">
        <v>136684</v>
      </c>
      <c r="F45" s="202">
        <v>7625</v>
      </c>
      <c r="G45" s="202">
        <v>51144</v>
      </c>
      <c r="H45" s="202">
        <v>57962</v>
      </c>
      <c r="J45" s="202">
        <v>17864</v>
      </c>
      <c r="K45" s="202">
        <v>0</v>
      </c>
      <c r="L45" s="202">
        <v>145564</v>
      </c>
      <c r="M45" s="202">
        <v>16727</v>
      </c>
      <c r="N45" s="202">
        <v>162291</v>
      </c>
    </row>
    <row r="46" spans="1:14" ht="13.8">
      <c r="A46" s="198">
        <v>20900</v>
      </c>
      <c r="B46" s="200" t="s">
        <v>44</v>
      </c>
      <c r="C46" s="203">
        <v>255058</v>
      </c>
      <c r="D46" s="203">
        <v>223526</v>
      </c>
      <c r="E46" s="203">
        <v>333141</v>
      </c>
      <c r="F46" s="203">
        <v>18586</v>
      </c>
      <c r="G46" s="203">
        <v>29427</v>
      </c>
      <c r="H46" s="203">
        <v>141272</v>
      </c>
      <c r="J46" s="203">
        <v>43539</v>
      </c>
      <c r="K46" s="203">
        <v>24936</v>
      </c>
      <c r="L46" s="203">
        <v>354786</v>
      </c>
      <c r="M46" s="203">
        <v>3240</v>
      </c>
      <c r="N46" s="203">
        <v>358026</v>
      </c>
    </row>
    <row r="47" spans="1:14" ht="13.8">
      <c r="A47" s="198">
        <v>21200</v>
      </c>
      <c r="B47" s="201" t="s">
        <v>290</v>
      </c>
      <c r="C47" s="203">
        <v>83126</v>
      </c>
      <c r="D47" s="203">
        <v>72849</v>
      </c>
      <c r="E47" s="203">
        <v>108574</v>
      </c>
      <c r="F47" s="203">
        <v>6057</v>
      </c>
      <c r="G47" s="203">
        <v>9730</v>
      </c>
      <c r="H47" s="203">
        <v>46042</v>
      </c>
      <c r="J47" s="203">
        <v>14190</v>
      </c>
      <c r="K47" s="203">
        <v>8789</v>
      </c>
      <c r="L47" s="203">
        <v>115628</v>
      </c>
      <c r="M47" s="203">
        <v>-669</v>
      </c>
      <c r="N47" s="203">
        <v>114959</v>
      </c>
    </row>
    <row r="48" spans="1:14" ht="13.8">
      <c r="A48" s="198">
        <v>21300</v>
      </c>
      <c r="B48" s="201" t="s">
        <v>291</v>
      </c>
      <c r="C48" s="203">
        <v>1031656</v>
      </c>
      <c r="D48" s="203">
        <v>904115</v>
      </c>
      <c r="E48" s="203">
        <v>1347484</v>
      </c>
      <c r="F48" s="203">
        <v>75175</v>
      </c>
      <c r="G48" s="203">
        <v>134573</v>
      </c>
      <c r="H48" s="203">
        <v>571414</v>
      </c>
      <c r="J48" s="203">
        <v>176106</v>
      </c>
      <c r="K48" s="203">
        <v>103254</v>
      </c>
      <c r="L48" s="203">
        <v>1435032</v>
      </c>
      <c r="M48" s="203">
        <v>-15596</v>
      </c>
      <c r="N48" s="203">
        <v>1419436</v>
      </c>
    </row>
    <row r="49" spans="1:14" ht="13.8">
      <c r="A49" s="198">
        <v>21520</v>
      </c>
      <c r="B49" s="200" t="s">
        <v>292</v>
      </c>
      <c r="C49" s="203">
        <v>2025860</v>
      </c>
      <c r="D49" s="203">
        <v>1775408</v>
      </c>
      <c r="E49" s="203">
        <v>2646049</v>
      </c>
      <c r="F49" s="203">
        <v>147621</v>
      </c>
      <c r="G49" s="203">
        <v>0</v>
      </c>
      <c r="H49" s="203">
        <v>1122084</v>
      </c>
      <c r="J49" s="203">
        <v>345819</v>
      </c>
      <c r="K49" s="203">
        <v>340376</v>
      </c>
      <c r="L49" s="203">
        <v>2817968</v>
      </c>
      <c r="M49" s="203">
        <v>-114318</v>
      </c>
      <c r="N49" s="203">
        <v>2703650</v>
      </c>
    </row>
    <row r="50" spans="1:14" ht="13.8">
      <c r="A50" s="198">
        <v>21525</v>
      </c>
      <c r="B50" s="200" t="s">
        <v>293</v>
      </c>
      <c r="C50" s="203">
        <v>47833</v>
      </c>
      <c r="D50" s="203">
        <v>41919</v>
      </c>
      <c r="E50" s="203">
        <v>62476</v>
      </c>
      <c r="F50" s="203">
        <v>3485</v>
      </c>
      <c r="G50" s="203">
        <v>11435</v>
      </c>
      <c r="H50" s="203">
        <v>26494</v>
      </c>
      <c r="J50" s="203">
        <v>8165</v>
      </c>
      <c r="K50" s="203">
        <v>20588</v>
      </c>
      <c r="L50" s="203">
        <v>66536</v>
      </c>
      <c r="M50" s="203">
        <v>802</v>
      </c>
      <c r="N50" s="203">
        <v>67338</v>
      </c>
    </row>
    <row r="51" spans="1:14" ht="13.8">
      <c r="A51" s="198">
        <v>21525.200000000001</v>
      </c>
      <c r="B51" s="200" t="s">
        <v>294</v>
      </c>
      <c r="C51" s="203">
        <v>3793</v>
      </c>
      <c r="D51" s="203">
        <v>3324</v>
      </c>
      <c r="E51" s="203">
        <v>4954</v>
      </c>
      <c r="F51" s="203">
        <v>276</v>
      </c>
      <c r="G51" s="203">
        <v>6030</v>
      </c>
      <c r="H51" s="203">
        <v>2101</v>
      </c>
      <c r="J51" s="203">
        <v>647</v>
      </c>
      <c r="K51" s="203">
        <v>2610</v>
      </c>
      <c r="L51" s="203">
        <v>5275</v>
      </c>
      <c r="M51" s="203">
        <v>1208</v>
      </c>
      <c r="N51" s="203">
        <v>6483</v>
      </c>
    </row>
    <row r="52" spans="1:14" ht="13.8">
      <c r="A52" s="197">
        <v>21550</v>
      </c>
      <c r="B52" s="199" t="s">
        <v>48</v>
      </c>
      <c r="C52" s="202">
        <v>1247778</v>
      </c>
      <c r="D52" s="202">
        <v>1093518</v>
      </c>
      <c r="E52" s="202">
        <v>1629768</v>
      </c>
      <c r="F52" s="202">
        <v>90923</v>
      </c>
      <c r="G52" s="202">
        <v>0</v>
      </c>
      <c r="H52" s="202">
        <v>691120</v>
      </c>
      <c r="J52" s="202">
        <v>212999</v>
      </c>
      <c r="K52" s="202">
        <v>464336</v>
      </c>
      <c r="L52" s="202">
        <v>1735657</v>
      </c>
      <c r="M52" s="202">
        <v>-119709</v>
      </c>
      <c r="N52" s="202">
        <v>1615948</v>
      </c>
    </row>
    <row r="53" spans="1:14" ht="13.8">
      <c r="A53" s="197">
        <v>21570</v>
      </c>
      <c r="B53" s="199" t="s">
        <v>295</v>
      </c>
      <c r="C53" s="202">
        <v>6136</v>
      </c>
      <c r="D53" s="202">
        <v>5377</v>
      </c>
      <c r="E53" s="202">
        <v>8014</v>
      </c>
      <c r="F53" s="202">
        <v>447</v>
      </c>
      <c r="G53" s="202">
        <v>172</v>
      </c>
      <c r="H53" s="202">
        <v>3398</v>
      </c>
      <c r="J53" s="202">
        <v>1047</v>
      </c>
      <c r="K53" s="202">
        <v>1878</v>
      </c>
      <c r="L53" s="202">
        <v>8535</v>
      </c>
      <c r="M53" s="202">
        <v>-410</v>
      </c>
      <c r="N53" s="202">
        <v>8125</v>
      </c>
    </row>
    <row r="54" spans="1:14" ht="13.8">
      <c r="A54" s="197">
        <v>21800</v>
      </c>
      <c r="B54" s="199" t="s">
        <v>49</v>
      </c>
      <c r="C54" s="202">
        <v>156720</v>
      </c>
      <c r="D54" s="202">
        <v>137345</v>
      </c>
      <c r="E54" s="202">
        <v>204697</v>
      </c>
      <c r="F54" s="202">
        <v>11420</v>
      </c>
      <c r="G54" s="202">
        <v>4408</v>
      </c>
      <c r="H54" s="202">
        <v>86804</v>
      </c>
      <c r="J54" s="202">
        <v>26752</v>
      </c>
      <c r="K54" s="202">
        <v>17722</v>
      </c>
      <c r="L54" s="202">
        <v>217997</v>
      </c>
      <c r="M54" s="202">
        <v>-5223</v>
      </c>
      <c r="N54" s="202">
        <v>212774</v>
      </c>
    </row>
    <row r="55" spans="1:14" ht="13.8">
      <c r="A55" s="197">
        <v>21900</v>
      </c>
      <c r="B55" s="199" t="s">
        <v>50</v>
      </c>
      <c r="C55" s="202">
        <v>65737</v>
      </c>
      <c r="D55" s="202">
        <v>57610</v>
      </c>
      <c r="E55" s="202">
        <v>85862</v>
      </c>
      <c r="F55" s="202">
        <v>4790</v>
      </c>
      <c r="G55" s="202">
        <v>53608</v>
      </c>
      <c r="H55" s="202">
        <v>36411</v>
      </c>
      <c r="J55" s="202">
        <v>11222</v>
      </c>
      <c r="K55" s="202">
        <v>0</v>
      </c>
      <c r="L55" s="202">
        <v>91441</v>
      </c>
      <c r="M55" s="202">
        <v>13448</v>
      </c>
      <c r="N55" s="202">
        <v>104889</v>
      </c>
    </row>
    <row r="56" spans="1:14" ht="13.8">
      <c r="A56" s="197">
        <v>22000</v>
      </c>
      <c r="B56" s="199" t="s">
        <v>296</v>
      </c>
      <c r="C56" s="202">
        <v>87115</v>
      </c>
      <c r="D56" s="202">
        <v>76345</v>
      </c>
      <c r="E56" s="202">
        <v>113784</v>
      </c>
      <c r="F56" s="202">
        <v>6348</v>
      </c>
      <c r="G56" s="202">
        <v>33942</v>
      </c>
      <c r="H56" s="202">
        <v>48251</v>
      </c>
      <c r="J56" s="202">
        <v>14871</v>
      </c>
      <c r="K56" s="202">
        <v>1911</v>
      </c>
      <c r="L56" s="202">
        <v>121177</v>
      </c>
      <c r="M56" s="202">
        <v>12467</v>
      </c>
      <c r="N56" s="202">
        <v>133644</v>
      </c>
    </row>
    <row r="57" spans="1:14" ht="13.8">
      <c r="A57" s="197">
        <v>23000</v>
      </c>
      <c r="B57" s="199" t="s">
        <v>51</v>
      </c>
      <c r="C57" s="202">
        <v>62184</v>
      </c>
      <c r="D57" s="202">
        <v>54496</v>
      </c>
      <c r="E57" s="202">
        <v>81221</v>
      </c>
      <c r="F57" s="202">
        <v>4531</v>
      </c>
      <c r="G57" s="202">
        <v>15555</v>
      </c>
      <c r="H57" s="202">
        <v>34443</v>
      </c>
      <c r="J57" s="202">
        <v>10615</v>
      </c>
      <c r="K57" s="202">
        <v>2143</v>
      </c>
      <c r="L57" s="202">
        <v>86498</v>
      </c>
      <c r="M57" s="202">
        <v>2375</v>
      </c>
      <c r="N57" s="202">
        <v>88873</v>
      </c>
    </row>
    <row r="58" spans="1:14" ht="13.8">
      <c r="A58" s="198">
        <v>23100</v>
      </c>
      <c r="B58" s="200" t="s">
        <v>52</v>
      </c>
      <c r="C58" s="203">
        <v>414121</v>
      </c>
      <c r="D58" s="203">
        <v>362924</v>
      </c>
      <c r="E58" s="203">
        <v>540898</v>
      </c>
      <c r="F58" s="203">
        <v>30176</v>
      </c>
      <c r="G58" s="203">
        <v>48065</v>
      </c>
      <c r="H58" s="203">
        <v>229373</v>
      </c>
      <c r="J58" s="203">
        <v>70691</v>
      </c>
      <c r="K58" s="203">
        <v>73410</v>
      </c>
      <c r="L58" s="203">
        <v>576042</v>
      </c>
      <c r="M58" s="203">
        <v>-15309</v>
      </c>
      <c r="N58" s="203">
        <v>560733</v>
      </c>
    </row>
    <row r="59" spans="1:14" ht="13.8">
      <c r="A59" s="198">
        <v>23200</v>
      </c>
      <c r="B59" s="200" t="s">
        <v>53</v>
      </c>
      <c r="C59" s="203">
        <v>243181</v>
      </c>
      <c r="D59" s="203">
        <v>213117</v>
      </c>
      <c r="E59" s="203">
        <v>317627</v>
      </c>
      <c r="F59" s="203">
        <v>17720</v>
      </c>
      <c r="G59" s="203">
        <v>0</v>
      </c>
      <c r="H59" s="203">
        <v>134693</v>
      </c>
      <c r="J59" s="203">
        <v>41511</v>
      </c>
      <c r="K59" s="203">
        <v>67613</v>
      </c>
      <c r="L59" s="203">
        <v>338264</v>
      </c>
      <c r="M59" s="203">
        <v>-19003</v>
      </c>
      <c r="N59" s="203">
        <v>319261</v>
      </c>
    </row>
    <row r="60" spans="1:14" ht="13.8">
      <c r="A60" s="198">
        <v>30000</v>
      </c>
      <c r="B60" s="200" t="s">
        <v>297</v>
      </c>
      <c r="C60" s="203">
        <v>18830</v>
      </c>
      <c r="D60" s="203">
        <v>16502</v>
      </c>
      <c r="E60" s="203">
        <v>24595</v>
      </c>
      <c r="F60" s="203">
        <v>1372</v>
      </c>
      <c r="G60" s="203">
        <v>7354</v>
      </c>
      <c r="H60" s="203">
        <v>10430</v>
      </c>
      <c r="J60" s="203">
        <v>3214</v>
      </c>
      <c r="K60" s="203">
        <v>0</v>
      </c>
      <c r="L60" s="203">
        <v>26192</v>
      </c>
      <c r="M60" s="203">
        <v>2170</v>
      </c>
      <c r="N60" s="203">
        <v>28362</v>
      </c>
    </row>
    <row r="61" spans="1:14" ht="13.8">
      <c r="A61" s="198">
        <v>30100</v>
      </c>
      <c r="B61" s="200" t="s">
        <v>298</v>
      </c>
      <c r="C61" s="203">
        <v>196933</v>
      </c>
      <c r="D61" s="203">
        <v>172586</v>
      </c>
      <c r="E61" s="203">
        <v>257221</v>
      </c>
      <c r="F61" s="203">
        <v>14350</v>
      </c>
      <c r="G61" s="203">
        <v>3012</v>
      </c>
      <c r="H61" s="203">
        <v>109077</v>
      </c>
      <c r="J61" s="203">
        <v>33617</v>
      </c>
      <c r="K61" s="203">
        <v>23612</v>
      </c>
      <c r="L61" s="203">
        <v>273933</v>
      </c>
      <c r="M61" s="203">
        <v>-4851</v>
      </c>
      <c r="N61" s="203">
        <v>269082</v>
      </c>
    </row>
    <row r="62" spans="1:14" ht="13.8">
      <c r="A62" s="198">
        <v>30102</v>
      </c>
      <c r="B62" s="200" t="s">
        <v>299</v>
      </c>
      <c r="C62" s="203">
        <v>5037</v>
      </c>
      <c r="D62" s="203">
        <v>4415</v>
      </c>
      <c r="E62" s="203">
        <v>6579</v>
      </c>
      <c r="F62" s="203">
        <v>367</v>
      </c>
      <c r="G62" s="203">
        <v>45</v>
      </c>
      <c r="H62" s="203">
        <v>2790</v>
      </c>
      <c r="J62" s="203">
        <v>860</v>
      </c>
      <c r="K62" s="203">
        <v>2630</v>
      </c>
      <c r="L62" s="203">
        <v>7007</v>
      </c>
      <c r="M62" s="203">
        <v>-937</v>
      </c>
      <c r="N62" s="203">
        <v>6070</v>
      </c>
    </row>
    <row r="63" spans="1:14" ht="13.8">
      <c r="A63" s="198">
        <v>30103</v>
      </c>
      <c r="B63" s="200" t="s">
        <v>300</v>
      </c>
      <c r="C63" s="203">
        <v>5436</v>
      </c>
      <c r="D63" s="203">
        <v>4764</v>
      </c>
      <c r="E63" s="203">
        <v>7100</v>
      </c>
      <c r="F63" s="203">
        <v>396</v>
      </c>
      <c r="G63" s="203">
        <v>219</v>
      </c>
      <c r="H63" s="203">
        <v>3011</v>
      </c>
      <c r="J63" s="203">
        <v>928</v>
      </c>
      <c r="K63" s="203">
        <v>1856</v>
      </c>
      <c r="L63" s="203">
        <v>7562</v>
      </c>
      <c r="M63" s="203">
        <v>-633</v>
      </c>
      <c r="N63" s="203">
        <v>6929</v>
      </c>
    </row>
    <row r="64" spans="1:14" ht="13.8">
      <c r="A64" s="197">
        <v>30104</v>
      </c>
      <c r="B64" s="199" t="s">
        <v>301</v>
      </c>
      <c r="C64" s="202">
        <v>4354</v>
      </c>
      <c r="D64" s="202">
        <v>3816</v>
      </c>
      <c r="E64" s="202">
        <v>5687</v>
      </c>
      <c r="F64" s="202">
        <v>317</v>
      </c>
      <c r="G64" s="202">
        <v>558</v>
      </c>
      <c r="H64" s="202">
        <v>2411</v>
      </c>
      <c r="J64" s="202">
        <v>743</v>
      </c>
      <c r="K64" s="202">
        <v>3495</v>
      </c>
      <c r="L64" s="202">
        <v>6056</v>
      </c>
      <c r="M64" s="202">
        <v>-854</v>
      </c>
      <c r="N64" s="202">
        <v>5202</v>
      </c>
    </row>
    <row r="65" spans="1:14" ht="13.8">
      <c r="A65" s="197">
        <v>30105</v>
      </c>
      <c r="B65" s="199" t="s">
        <v>54</v>
      </c>
      <c r="C65" s="202">
        <v>18343</v>
      </c>
      <c r="D65" s="202">
        <v>16076</v>
      </c>
      <c r="E65" s="202">
        <v>23959</v>
      </c>
      <c r="F65" s="202">
        <v>1337</v>
      </c>
      <c r="G65" s="202">
        <v>9197</v>
      </c>
      <c r="H65" s="202">
        <v>10160</v>
      </c>
      <c r="J65" s="202">
        <v>3131</v>
      </c>
      <c r="K65" s="202">
        <v>56</v>
      </c>
      <c r="L65" s="202">
        <v>25515</v>
      </c>
      <c r="M65" s="202">
        <v>2312</v>
      </c>
      <c r="N65" s="202">
        <v>27827</v>
      </c>
    </row>
    <row r="66" spans="1:14" ht="13.8">
      <c r="A66" s="197">
        <v>30200</v>
      </c>
      <c r="B66" s="199" t="s">
        <v>302</v>
      </c>
      <c r="C66" s="202">
        <v>43578</v>
      </c>
      <c r="D66" s="202">
        <v>38190</v>
      </c>
      <c r="E66" s="202">
        <v>56918</v>
      </c>
      <c r="F66" s="202">
        <v>3175</v>
      </c>
      <c r="G66" s="202">
        <v>5589</v>
      </c>
      <c r="H66" s="202">
        <v>24137</v>
      </c>
      <c r="J66" s="202">
        <v>7439</v>
      </c>
      <c r="K66" s="202">
        <v>1701</v>
      </c>
      <c r="L66" s="202">
        <v>60616</v>
      </c>
      <c r="M66" s="202">
        <v>990</v>
      </c>
      <c r="N66" s="202">
        <v>61606</v>
      </c>
    </row>
    <row r="67" spans="1:14" ht="13.8">
      <c r="A67" s="197">
        <v>30300</v>
      </c>
      <c r="B67" s="199" t="s">
        <v>303</v>
      </c>
      <c r="C67" s="202">
        <v>15335</v>
      </c>
      <c r="D67" s="202">
        <v>13439</v>
      </c>
      <c r="E67" s="202">
        <v>20030</v>
      </c>
      <c r="F67" s="202">
        <v>1117</v>
      </c>
      <c r="G67" s="202">
        <v>2047</v>
      </c>
      <c r="H67" s="202">
        <v>8494</v>
      </c>
      <c r="J67" s="202">
        <v>2618</v>
      </c>
      <c r="K67" s="202">
        <v>1640</v>
      </c>
      <c r="L67" s="202">
        <v>21331</v>
      </c>
      <c r="M67" s="202">
        <v>-333</v>
      </c>
      <c r="N67" s="202">
        <v>20998</v>
      </c>
    </row>
    <row r="68" spans="1:14" ht="13.8">
      <c r="A68" s="197">
        <v>30400</v>
      </c>
      <c r="B68" s="199" t="s">
        <v>304</v>
      </c>
      <c r="C68" s="202">
        <v>29514</v>
      </c>
      <c r="D68" s="202">
        <v>25865</v>
      </c>
      <c r="E68" s="202">
        <v>38549</v>
      </c>
      <c r="F68" s="202">
        <v>2151</v>
      </c>
      <c r="G68" s="202">
        <v>3311</v>
      </c>
      <c r="H68" s="202">
        <v>16347</v>
      </c>
      <c r="J68" s="202">
        <v>5038</v>
      </c>
      <c r="K68" s="202">
        <v>2000</v>
      </c>
      <c r="L68" s="202">
        <v>41053</v>
      </c>
      <c r="M68" s="202">
        <v>436</v>
      </c>
      <c r="N68" s="202">
        <v>41489</v>
      </c>
    </row>
    <row r="69" spans="1:14" ht="13.8">
      <c r="A69" s="197">
        <v>30405</v>
      </c>
      <c r="B69" s="199" t="s">
        <v>55</v>
      </c>
      <c r="C69" s="202">
        <v>16729</v>
      </c>
      <c r="D69" s="202">
        <v>14661</v>
      </c>
      <c r="E69" s="202">
        <v>21850</v>
      </c>
      <c r="F69" s="202">
        <v>1219</v>
      </c>
      <c r="G69" s="202">
        <v>5952</v>
      </c>
      <c r="H69" s="202">
        <v>9266</v>
      </c>
      <c r="J69" s="202">
        <v>2856</v>
      </c>
      <c r="K69" s="202">
        <v>2341</v>
      </c>
      <c r="L69" s="202">
        <v>23270</v>
      </c>
      <c r="M69" s="202">
        <v>1763</v>
      </c>
      <c r="N69" s="202">
        <v>25033</v>
      </c>
    </row>
    <row r="70" spans="1:14" ht="13.8">
      <c r="A70" s="198">
        <v>30500</v>
      </c>
      <c r="B70" s="200" t="s">
        <v>305</v>
      </c>
      <c r="C70" s="203">
        <v>27849</v>
      </c>
      <c r="D70" s="203">
        <v>24406</v>
      </c>
      <c r="E70" s="203">
        <v>36374</v>
      </c>
      <c r="F70" s="203">
        <v>2029</v>
      </c>
      <c r="G70" s="203">
        <v>7453</v>
      </c>
      <c r="H70" s="203">
        <v>15425</v>
      </c>
      <c r="J70" s="203">
        <v>4754</v>
      </c>
      <c r="K70" s="203">
        <v>612</v>
      </c>
      <c r="L70" s="203">
        <v>38737</v>
      </c>
      <c r="M70" s="203">
        <v>1371</v>
      </c>
      <c r="N70" s="203">
        <v>40108</v>
      </c>
    </row>
    <row r="71" spans="1:14" ht="13.8">
      <c r="A71" s="198">
        <v>30600</v>
      </c>
      <c r="B71" s="200" t="s">
        <v>306</v>
      </c>
      <c r="C71" s="203">
        <v>22277</v>
      </c>
      <c r="D71" s="203">
        <v>19523</v>
      </c>
      <c r="E71" s="203">
        <v>29097</v>
      </c>
      <c r="F71" s="203">
        <v>1623</v>
      </c>
      <c r="G71" s="203">
        <v>4493</v>
      </c>
      <c r="H71" s="203">
        <v>12339</v>
      </c>
      <c r="J71" s="203">
        <v>3803</v>
      </c>
      <c r="K71" s="203">
        <v>1899</v>
      </c>
      <c r="L71" s="203">
        <v>30987</v>
      </c>
      <c r="M71" s="203">
        <v>416</v>
      </c>
      <c r="N71" s="203">
        <v>31403</v>
      </c>
    </row>
    <row r="72" spans="1:14" ht="13.8">
      <c r="A72" s="198">
        <v>30601</v>
      </c>
      <c r="B72" s="200" t="s">
        <v>307</v>
      </c>
      <c r="C72" s="203">
        <v>0</v>
      </c>
      <c r="D72" s="203">
        <v>0</v>
      </c>
      <c r="E72" s="203">
        <v>0</v>
      </c>
      <c r="F72" s="203">
        <v>0</v>
      </c>
      <c r="G72" s="203">
        <v>1554</v>
      </c>
      <c r="H72" s="203">
        <v>0</v>
      </c>
      <c r="J72" s="203">
        <v>0</v>
      </c>
      <c r="K72" s="203">
        <v>444</v>
      </c>
      <c r="L72" s="203">
        <v>0</v>
      </c>
      <c r="M72" s="203">
        <v>211</v>
      </c>
      <c r="N72" s="203">
        <v>211</v>
      </c>
    </row>
    <row r="73" spans="1:14" ht="13.8">
      <c r="A73" s="198">
        <v>30700</v>
      </c>
      <c r="B73" s="200" t="s">
        <v>308</v>
      </c>
      <c r="C73" s="203">
        <v>57892</v>
      </c>
      <c r="D73" s="203">
        <v>50735</v>
      </c>
      <c r="E73" s="203">
        <v>75614</v>
      </c>
      <c r="F73" s="203">
        <v>4218</v>
      </c>
      <c r="G73" s="203">
        <v>14484</v>
      </c>
      <c r="H73" s="203">
        <v>32065</v>
      </c>
      <c r="J73" s="203">
        <v>9882</v>
      </c>
      <c r="K73" s="203">
        <v>10559</v>
      </c>
      <c r="L73" s="203">
        <v>80527</v>
      </c>
      <c r="M73" s="203">
        <v>1337</v>
      </c>
      <c r="N73" s="203">
        <v>81864</v>
      </c>
    </row>
    <row r="74" spans="1:14" ht="13.8">
      <c r="A74" s="198">
        <v>30705</v>
      </c>
      <c r="B74" s="200" t="s">
        <v>56</v>
      </c>
      <c r="C74" s="203">
        <v>12037</v>
      </c>
      <c r="D74" s="203">
        <v>10549</v>
      </c>
      <c r="E74" s="203">
        <v>15722</v>
      </c>
      <c r="F74" s="203">
        <v>877</v>
      </c>
      <c r="G74" s="203">
        <v>1099</v>
      </c>
      <c r="H74" s="203">
        <v>6667</v>
      </c>
      <c r="J74" s="203">
        <v>2055</v>
      </c>
      <c r="K74" s="203">
        <v>2084</v>
      </c>
      <c r="L74" s="203">
        <v>16744</v>
      </c>
      <c r="M74" s="203">
        <v>-215</v>
      </c>
      <c r="N74" s="203">
        <v>16529</v>
      </c>
    </row>
    <row r="75" spans="1:14" ht="13.8">
      <c r="A75" s="198">
        <v>30800</v>
      </c>
      <c r="B75" s="200" t="s">
        <v>309</v>
      </c>
      <c r="C75" s="203">
        <v>16290</v>
      </c>
      <c r="D75" s="203">
        <v>14276</v>
      </c>
      <c r="E75" s="203">
        <v>21277</v>
      </c>
      <c r="F75" s="203">
        <v>1187</v>
      </c>
      <c r="G75" s="203">
        <v>12944</v>
      </c>
      <c r="H75" s="203">
        <v>9023</v>
      </c>
      <c r="J75" s="203">
        <v>2781</v>
      </c>
      <c r="K75" s="203">
        <v>0</v>
      </c>
      <c r="L75" s="203">
        <v>22659</v>
      </c>
      <c r="M75" s="203">
        <v>4396</v>
      </c>
      <c r="N75" s="203">
        <v>27055</v>
      </c>
    </row>
    <row r="76" spans="1:14" ht="13.8">
      <c r="A76" s="197">
        <v>30900</v>
      </c>
      <c r="B76" s="199" t="s">
        <v>310</v>
      </c>
      <c r="C76" s="202">
        <v>39248</v>
      </c>
      <c r="D76" s="202">
        <v>34396</v>
      </c>
      <c r="E76" s="202">
        <v>51263</v>
      </c>
      <c r="F76" s="202">
        <v>2860</v>
      </c>
      <c r="G76" s="202">
        <v>14358</v>
      </c>
      <c r="H76" s="202">
        <v>21739</v>
      </c>
      <c r="J76" s="202">
        <v>6700</v>
      </c>
      <c r="K76" s="202">
        <v>2378</v>
      </c>
      <c r="L76" s="202">
        <v>54594</v>
      </c>
      <c r="M76" s="202">
        <v>2692</v>
      </c>
      <c r="N76" s="202">
        <v>57286</v>
      </c>
    </row>
    <row r="77" spans="1:14" ht="13.8">
      <c r="A77" s="197">
        <v>30905</v>
      </c>
      <c r="B77" s="199" t="s">
        <v>57</v>
      </c>
      <c r="C77" s="202">
        <v>6968</v>
      </c>
      <c r="D77" s="202">
        <v>6107</v>
      </c>
      <c r="E77" s="202">
        <v>9101</v>
      </c>
      <c r="F77" s="202">
        <v>508</v>
      </c>
      <c r="G77" s="202">
        <v>5352</v>
      </c>
      <c r="H77" s="202">
        <v>3860</v>
      </c>
      <c r="J77" s="202">
        <v>1189</v>
      </c>
      <c r="K77" s="202">
        <v>0</v>
      </c>
      <c r="L77" s="202">
        <v>9693</v>
      </c>
      <c r="M77" s="202">
        <v>1524</v>
      </c>
      <c r="N77" s="202">
        <v>11217</v>
      </c>
    </row>
    <row r="78" spans="1:14" ht="13.8">
      <c r="A78" s="197">
        <v>31000</v>
      </c>
      <c r="B78" s="199" t="s">
        <v>311</v>
      </c>
      <c r="C78" s="202">
        <v>116177</v>
      </c>
      <c r="D78" s="202">
        <v>101814</v>
      </c>
      <c r="E78" s="202">
        <v>151743</v>
      </c>
      <c r="F78" s="202">
        <v>8466</v>
      </c>
      <c r="G78" s="202">
        <v>8739</v>
      </c>
      <c r="H78" s="202">
        <v>64348</v>
      </c>
      <c r="J78" s="202">
        <v>19832</v>
      </c>
      <c r="K78" s="202">
        <v>7077</v>
      </c>
      <c r="L78" s="202">
        <v>161602</v>
      </c>
      <c r="M78" s="202">
        <v>-1284</v>
      </c>
      <c r="N78" s="202">
        <v>160318</v>
      </c>
    </row>
    <row r="79" spans="1:14" ht="13.8">
      <c r="A79" s="197">
        <v>31005</v>
      </c>
      <c r="B79" s="199" t="s">
        <v>58</v>
      </c>
      <c r="C79" s="202">
        <v>11021</v>
      </c>
      <c r="D79" s="202">
        <v>9659</v>
      </c>
      <c r="E79" s="202">
        <v>14395</v>
      </c>
      <c r="F79" s="202">
        <v>803</v>
      </c>
      <c r="G79" s="202">
        <v>2464</v>
      </c>
      <c r="H79" s="202">
        <v>6105</v>
      </c>
      <c r="J79" s="202">
        <v>1881</v>
      </c>
      <c r="K79" s="202">
        <v>731</v>
      </c>
      <c r="L79" s="202">
        <v>15331</v>
      </c>
      <c r="M79" s="202">
        <v>860</v>
      </c>
      <c r="N79" s="202">
        <v>16191</v>
      </c>
    </row>
    <row r="80" spans="1:14" ht="13.8">
      <c r="A80" s="197">
        <v>31100</v>
      </c>
      <c r="B80" s="199" t="s">
        <v>312</v>
      </c>
      <c r="C80" s="202">
        <v>225898</v>
      </c>
      <c r="D80" s="202">
        <v>197971</v>
      </c>
      <c r="E80" s="202">
        <v>295054</v>
      </c>
      <c r="F80" s="202">
        <v>16461</v>
      </c>
      <c r="G80" s="202">
        <v>20005</v>
      </c>
      <c r="H80" s="202">
        <v>125121</v>
      </c>
      <c r="J80" s="202">
        <v>38561</v>
      </c>
      <c r="K80" s="202">
        <v>6771</v>
      </c>
      <c r="L80" s="202">
        <v>314224</v>
      </c>
      <c r="M80" s="202">
        <v>84</v>
      </c>
      <c r="N80" s="202">
        <v>314308</v>
      </c>
    </row>
    <row r="81" spans="1:14" ht="13.8">
      <c r="A81" s="197">
        <v>31101</v>
      </c>
      <c r="B81" s="199" t="s">
        <v>313</v>
      </c>
      <c r="C81" s="202">
        <v>1497</v>
      </c>
      <c r="D81" s="202">
        <v>1312</v>
      </c>
      <c r="E81" s="202">
        <v>1956</v>
      </c>
      <c r="F81" s="202">
        <v>109</v>
      </c>
      <c r="G81" s="202">
        <v>895</v>
      </c>
      <c r="H81" s="202">
        <v>829</v>
      </c>
      <c r="J81" s="202">
        <v>256</v>
      </c>
      <c r="K81" s="202">
        <v>427</v>
      </c>
      <c r="L81" s="202">
        <v>2083</v>
      </c>
      <c r="M81" s="202">
        <v>81</v>
      </c>
      <c r="N81" s="202">
        <v>2164</v>
      </c>
    </row>
    <row r="82" spans="1:14" ht="13.8">
      <c r="A82" s="197">
        <v>31102</v>
      </c>
      <c r="B82" s="199" t="s">
        <v>314</v>
      </c>
      <c r="C82" s="202">
        <v>4200</v>
      </c>
      <c r="D82" s="202">
        <v>3680</v>
      </c>
      <c r="E82" s="202">
        <v>5485</v>
      </c>
      <c r="F82" s="202">
        <v>306</v>
      </c>
      <c r="G82" s="202">
        <v>1397</v>
      </c>
      <c r="H82" s="202">
        <v>2326</v>
      </c>
      <c r="J82" s="202">
        <v>717</v>
      </c>
      <c r="K82" s="202">
        <v>2905</v>
      </c>
      <c r="L82" s="202">
        <v>5842</v>
      </c>
      <c r="M82" s="202">
        <v>-599</v>
      </c>
      <c r="N82" s="202">
        <v>5243</v>
      </c>
    </row>
    <row r="83" spans="1:14" ht="13.8">
      <c r="A83" s="197">
        <v>31105</v>
      </c>
      <c r="B83" s="199" t="s">
        <v>59</v>
      </c>
      <c r="C83" s="202">
        <v>34639</v>
      </c>
      <c r="D83" s="202">
        <v>30356</v>
      </c>
      <c r="E83" s="202">
        <v>45243</v>
      </c>
      <c r="F83" s="202">
        <v>2524</v>
      </c>
      <c r="G83" s="202">
        <v>10436</v>
      </c>
      <c r="H83" s="202">
        <v>19186</v>
      </c>
      <c r="J83" s="202">
        <v>5913</v>
      </c>
      <c r="K83" s="202">
        <v>3153</v>
      </c>
      <c r="L83" s="202">
        <v>48182</v>
      </c>
      <c r="M83" s="202">
        <v>1923</v>
      </c>
      <c r="N83" s="202">
        <v>50105</v>
      </c>
    </row>
    <row r="84" spans="1:14" ht="13.8">
      <c r="A84" s="197">
        <v>31110</v>
      </c>
      <c r="B84" s="199" t="s">
        <v>315</v>
      </c>
      <c r="C84" s="202">
        <v>52219</v>
      </c>
      <c r="D84" s="202">
        <v>45763</v>
      </c>
      <c r="E84" s="202">
        <v>68205</v>
      </c>
      <c r="F84" s="202">
        <v>3805</v>
      </c>
      <c r="G84" s="202">
        <v>7532</v>
      </c>
      <c r="H84" s="202">
        <v>28923</v>
      </c>
      <c r="J84" s="202">
        <v>8914</v>
      </c>
      <c r="K84" s="202">
        <v>9999</v>
      </c>
      <c r="L84" s="202">
        <v>72636</v>
      </c>
      <c r="M84" s="202">
        <v>-2470</v>
      </c>
      <c r="N84" s="202">
        <v>70166</v>
      </c>
    </row>
    <row r="85" spans="1:14" ht="13.8">
      <c r="A85" s="197">
        <v>31200</v>
      </c>
      <c r="B85" s="199" t="s">
        <v>316</v>
      </c>
      <c r="C85" s="202">
        <v>97328</v>
      </c>
      <c r="D85" s="202">
        <v>85296</v>
      </c>
      <c r="E85" s="202">
        <v>127124</v>
      </c>
      <c r="F85" s="202">
        <v>7092</v>
      </c>
      <c r="G85" s="202">
        <v>23755</v>
      </c>
      <c r="H85" s="202">
        <v>53908</v>
      </c>
      <c r="J85" s="202">
        <v>16614</v>
      </c>
      <c r="K85" s="202">
        <v>5730</v>
      </c>
      <c r="L85" s="202">
        <v>135383</v>
      </c>
      <c r="M85" s="202">
        <v>4400</v>
      </c>
      <c r="N85" s="202">
        <v>139783</v>
      </c>
    </row>
    <row r="86" spans="1:14" ht="13.8">
      <c r="A86" s="197">
        <v>31205</v>
      </c>
      <c r="B86" s="199" t="s">
        <v>317</v>
      </c>
      <c r="C86" s="202">
        <v>10423</v>
      </c>
      <c r="D86" s="202">
        <v>9134</v>
      </c>
      <c r="E86" s="202">
        <v>13614</v>
      </c>
      <c r="F86" s="202">
        <v>760</v>
      </c>
      <c r="G86" s="202">
        <v>6625</v>
      </c>
      <c r="H86" s="202">
        <v>5773</v>
      </c>
      <c r="J86" s="202">
        <v>1779</v>
      </c>
      <c r="K86" s="202">
        <v>394</v>
      </c>
      <c r="L86" s="202">
        <v>14498</v>
      </c>
      <c r="M86" s="202">
        <v>2036</v>
      </c>
      <c r="N86" s="202">
        <v>16534</v>
      </c>
    </row>
    <row r="87" spans="1:14" ht="13.8">
      <c r="A87" s="197">
        <v>31300</v>
      </c>
      <c r="B87" s="199" t="s">
        <v>318</v>
      </c>
      <c r="C87" s="202">
        <v>298556</v>
      </c>
      <c r="D87" s="202">
        <v>261646</v>
      </c>
      <c r="E87" s="202">
        <v>389955</v>
      </c>
      <c r="F87" s="202">
        <v>21755</v>
      </c>
      <c r="G87" s="202">
        <v>1755</v>
      </c>
      <c r="H87" s="202">
        <v>165364</v>
      </c>
      <c r="J87" s="202">
        <v>50964</v>
      </c>
      <c r="K87" s="202">
        <v>74566</v>
      </c>
      <c r="L87" s="202">
        <v>415291</v>
      </c>
      <c r="M87" s="202">
        <v>-21283</v>
      </c>
      <c r="N87" s="202">
        <v>394008</v>
      </c>
    </row>
    <row r="88" spans="1:14" ht="13.8">
      <c r="A88" s="198">
        <v>31301</v>
      </c>
      <c r="B88" s="200" t="s">
        <v>319</v>
      </c>
      <c r="C88" s="203">
        <v>5322</v>
      </c>
      <c r="D88" s="203">
        <v>4664</v>
      </c>
      <c r="E88" s="203">
        <v>6951</v>
      </c>
      <c r="F88" s="203">
        <v>388</v>
      </c>
      <c r="G88" s="203">
        <v>1343</v>
      </c>
      <c r="H88" s="203">
        <v>2948</v>
      </c>
      <c r="J88" s="203">
        <v>908</v>
      </c>
      <c r="K88" s="203">
        <v>262</v>
      </c>
      <c r="L88" s="203">
        <v>7403</v>
      </c>
      <c r="M88" s="203">
        <v>287</v>
      </c>
      <c r="N88" s="203">
        <v>7690</v>
      </c>
    </row>
    <row r="89" spans="1:14" ht="13.8">
      <c r="A89" s="198">
        <v>31320</v>
      </c>
      <c r="B89" s="200" t="s">
        <v>320</v>
      </c>
      <c r="C89" s="203">
        <v>50655</v>
      </c>
      <c r="D89" s="203">
        <v>44392</v>
      </c>
      <c r="E89" s="203">
        <v>66162</v>
      </c>
      <c r="F89" s="203">
        <v>3691</v>
      </c>
      <c r="G89" s="203">
        <v>3112</v>
      </c>
      <c r="H89" s="203">
        <v>28057</v>
      </c>
      <c r="J89" s="203">
        <v>8647</v>
      </c>
      <c r="K89" s="203">
        <v>5889</v>
      </c>
      <c r="L89" s="203">
        <v>70461</v>
      </c>
      <c r="M89" s="203">
        <v>-2020</v>
      </c>
      <c r="N89" s="203">
        <v>68441</v>
      </c>
    </row>
    <row r="90" spans="1:14" ht="13.8">
      <c r="A90" s="198">
        <v>31400</v>
      </c>
      <c r="B90" s="200" t="s">
        <v>321</v>
      </c>
      <c r="C90" s="203">
        <v>91501</v>
      </c>
      <c r="D90" s="203">
        <v>80189</v>
      </c>
      <c r="E90" s="203">
        <v>119513</v>
      </c>
      <c r="F90" s="203">
        <v>6667</v>
      </c>
      <c r="G90" s="203">
        <v>40474</v>
      </c>
      <c r="H90" s="203">
        <v>50681</v>
      </c>
      <c r="J90" s="203">
        <v>15619</v>
      </c>
      <c r="K90" s="203">
        <v>182</v>
      </c>
      <c r="L90" s="203">
        <v>127278</v>
      </c>
      <c r="M90" s="203">
        <v>9543</v>
      </c>
      <c r="N90" s="203">
        <v>136821</v>
      </c>
    </row>
    <row r="91" spans="1:14" ht="13.8">
      <c r="A91" s="198">
        <v>31405</v>
      </c>
      <c r="B91" s="200" t="s">
        <v>61</v>
      </c>
      <c r="C91" s="203">
        <v>21886</v>
      </c>
      <c r="D91" s="203">
        <v>19180</v>
      </c>
      <c r="E91" s="203">
        <v>28586</v>
      </c>
      <c r="F91" s="203">
        <v>1595</v>
      </c>
      <c r="G91" s="203">
        <v>7010</v>
      </c>
      <c r="H91" s="203">
        <v>12122</v>
      </c>
      <c r="J91" s="203">
        <v>3736</v>
      </c>
      <c r="K91" s="203">
        <v>304</v>
      </c>
      <c r="L91" s="203">
        <v>30443</v>
      </c>
      <c r="M91" s="203">
        <v>1786</v>
      </c>
      <c r="N91" s="203">
        <v>32229</v>
      </c>
    </row>
    <row r="92" spans="1:14" ht="13.8">
      <c r="A92" s="198">
        <v>31500</v>
      </c>
      <c r="B92" s="200" t="s">
        <v>322</v>
      </c>
      <c r="C92" s="203">
        <v>17559</v>
      </c>
      <c r="D92" s="203">
        <v>15388</v>
      </c>
      <c r="E92" s="203">
        <v>22934</v>
      </c>
      <c r="F92" s="203">
        <v>1279</v>
      </c>
      <c r="G92" s="203">
        <v>3547</v>
      </c>
      <c r="H92" s="203">
        <v>9725</v>
      </c>
      <c r="J92" s="203">
        <v>2997</v>
      </c>
      <c r="K92" s="203">
        <v>2321</v>
      </c>
      <c r="L92" s="203">
        <v>24424</v>
      </c>
      <c r="M92" s="203">
        <v>440</v>
      </c>
      <c r="N92" s="203">
        <v>24864</v>
      </c>
    </row>
    <row r="93" spans="1:14" ht="13.8">
      <c r="A93" s="198">
        <v>31600</v>
      </c>
      <c r="B93" s="200" t="s">
        <v>323</v>
      </c>
      <c r="C93" s="203">
        <v>74639</v>
      </c>
      <c r="D93" s="203">
        <v>65412</v>
      </c>
      <c r="E93" s="203">
        <v>97489</v>
      </c>
      <c r="F93" s="203">
        <v>5439</v>
      </c>
      <c r="G93" s="203">
        <v>13158</v>
      </c>
      <c r="H93" s="203">
        <v>41341</v>
      </c>
      <c r="J93" s="203">
        <v>12741</v>
      </c>
      <c r="K93" s="203">
        <v>11783</v>
      </c>
      <c r="L93" s="203">
        <v>103823</v>
      </c>
      <c r="M93" s="203">
        <v>810</v>
      </c>
      <c r="N93" s="203">
        <v>104633</v>
      </c>
    </row>
    <row r="94" spans="1:14" ht="13.8">
      <c r="A94" s="197">
        <v>31605</v>
      </c>
      <c r="B94" s="199" t="s">
        <v>62</v>
      </c>
      <c r="C94" s="202">
        <v>11766</v>
      </c>
      <c r="D94" s="202">
        <v>10311</v>
      </c>
      <c r="E94" s="202">
        <v>15368</v>
      </c>
      <c r="F94" s="202">
        <v>857</v>
      </c>
      <c r="G94" s="202">
        <v>2147</v>
      </c>
      <c r="H94" s="202">
        <v>6517</v>
      </c>
      <c r="J94" s="202">
        <v>2008</v>
      </c>
      <c r="K94" s="202">
        <v>224</v>
      </c>
      <c r="L94" s="202">
        <v>16367</v>
      </c>
      <c r="M94" s="202">
        <v>878</v>
      </c>
      <c r="N94" s="202">
        <v>17245</v>
      </c>
    </row>
    <row r="95" spans="1:14" ht="13.8">
      <c r="A95" s="197">
        <v>31700</v>
      </c>
      <c r="B95" s="199" t="s">
        <v>324</v>
      </c>
      <c r="C95" s="202">
        <v>20513</v>
      </c>
      <c r="D95" s="202">
        <v>17977</v>
      </c>
      <c r="E95" s="202">
        <v>26793</v>
      </c>
      <c r="F95" s="202">
        <v>1495</v>
      </c>
      <c r="G95" s="202">
        <v>10063</v>
      </c>
      <c r="H95" s="202">
        <v>11362</v>
      </c>
      <c r="J95" s="202">
        <v>3502</v>
      </c>
      <c r="K95" s="202">
        <v>362</v>
      </c>
      <c r="L95" s="202">
        <v>28534</v>
      </c>
      <c r="M95" s="202">
        <v>1838</v>
      </c>
      <c r="N95" s="202">
        <v>30372</v>
      </c>
    </row>
    <row r="96" spans="1:14" ht="13.8">
      <c r="A96" s="197">
        <v>31800</v>
      </c>
      <c r="B96" s="199" t="s">
        <v>325</v>
      </c>
      <c r="C96" s="202">
        <v>131435</v>
      </c>
      <c r="D96" s="202">
        <v>115186</v>
      </c>
      <c r="E96" s="202">
        <v>171672</v>
      </c>
      <c r="F96" s="202">
        <v>9577</v>
      </c>
      <c r="G96" s="202">
        <v>23839</v>
      </c>
      <c r="H96" s="202">
        <v>72799</v>
      </c>
      <c r="J96" s="202">
        <v>22436</v>
      </c>
      <c r="K96" s="202">
        <v>7668</v>
      </c>
      <c r="L96" s="202">
        <v>182826</v>
      </c>
      <c r="M96" s="202">
        <v>4973</v>
      </c>
      <c r="N96" s="202">
        <v>187799</v>
      </c>
    </row>
    <row r="97" spans="1:14" ht="13.8">
      <c r="A97" s="197">
        <v>31805</v>
      </c>
      <c r="B97" s="199" t="s">
        <v>63</v>
      </c>
      <c r="C97" s="202">
        <v>29184</v>
      </c>
      <c r="D97" s="202">
        <v>25576</v>
      </c>
      <c r="E97" s="202">
        <v>38118</v>
      </c>
      <c r="F97" s="202">
        <v>2127</v>
      </c>
      <c r="G97" s="202">
        <v>4872</v>
      </c>
      <c r="H97" s="202">
        <v>16164</v>
      </c>
      <c r="J97" s="202">
        <v>4982</v>
      </c>
      <c r="K97" s="202">
        <v>1641</v>
      </c>
      <c r="L97" s="202">
        <v>40595</v>
      </c>
      <c r="M97" s="202">
        <v>979</v>
      </c>
      <c r="N97" s="202">
        <v>41574</v>
      </c>
    </row>
    <row r="98" spans="1:14" ht="13.8">
      <c r="A98" s="197">
        <v>31810</v>
      </c>
      <c r="B98" s="199" t="s">
        <v>326</v>
      </c>
      <c r="C98" s="202">
        <v>30859</v>
      </c>
      <c r="D98" s="202">
        <v>27044</v>
      </c>
      <c r="E98" s="202">
        <v>40307</v>
      </c>
      <c r="F98" s="202">
        <v>2249</v>
      </c>
      <c r="G98" s="202">
        <v>10416</v>
      </c>
      <c r="H98" s="202">
        <v>17092</v>
      </c>
      <c r="J98" s="202">
        <v>5268</v>
      </c>
      <c r="K98" s="202">
        <v>312</v>
      </c>
      <c r="L98" s="202">
        <v>42925</v>
      </c>
      <c r="M98" s="202">
        <v>2632</v>
      </c>
      <c r="N98" s="202">
        <v>45557</v>
      </c>
    </row>
    <row r="99" spans="1:14" ht="13.8">
      <c r="A99" s="197">
        <v>31820</v>
      </c>
      <c r="B99" s="199" t="s">
        <v>327</v>
      </c>
      <c r="C99" s="202">
        <v>26083</v>
      </c>
      <c r="D99" s="202">
        <v>22858</v>
      </c>
      <c r="E99" s="202">
        <v>34068</v>
      </c>
      <c r="F99" s="202">
        <v>1901</v>
      </c>
      <c r="G99" s="202">
        <v>5785</v>
      </c>
      <c r="H99" s="202">
        <v>14447</v>
      </c>
      <c r="J99" s="202">
        <v>4452</v>
      </c>
      <c r="K99" s="202">
        <v>496</v>
      </c>
      <c r="L99" s="202">
        <v>36281</v>
      </c>
      <c r="M99" s="202">
        <v>1250</v>
      </c>
      <c r="N99" s="202">
        <v>37531</v>
      </c>
    </row>
    <row r="100" spans="1:14" ht="13.8">
      <c r="A100" s="198">
        <v>31900</v>
      </c>
      <c r="B100" s="200" t="s">
        <v>328</v>
      </c>
      <c r="C100" s="203">
        <v>87062</v>
      </c>
      <c r="D100" s="203">
        <v>76299</v>
      </c>
      <c r="E100" s="203">
        <v>113715</v>
      </c>
      <c r="F100" s="203">
        <v>6344</v>
      </c>
      <c r="G100" s="203">
        <v>2820</v>
      </c>
      <c r="H100" s="203">
        <v>48222</v>
      </c>
      <c r="J100" s="203">
        <v>14862</v>
      </c>
      <c r="K100" s="203">
        <v>10394</v>
      </c>
      <c r="L100" s="203">
        <v>121103</v>
      </c>
      <c r="M100" s="203">
        <v>-2432</v>
      </c>
      <c r="N100" s="203">
        <v>118671</v>
      </c>
    </row>
    <row r="101" spans="1:14" ht="13.8">
      <c r="A101" s="198">
        <v>32000</v>
      </c>
      <c r="B101" s="200" t="s">
        <v>329</v>
      </c>
      <c r="C101" s="203">
        <v>32689</v>
      </c>
      <c r="D101" s="203">
        <v>28648</v>
      </c>
      <c r="E101" s="203">
        <v>42696</v>
      </c>
      <c r="F101" s="203">
        <v>2382</v>
      </c>
      <c r="G101" s="203">
        <v>5434</v>
      </c>
      <c r="H101" s="203">
        <v>18106</v>
      </c>
      <c r="J101" s="203">
        <v>5580</v>
      </c>
      <c r="K101" s="203">
        <v>1111</v>
      </c>
      <c r="L101" s="203">
        <v>45471</v>
      </c>
      <c r="M101" s="203">
        <v>456</v>
      </c>
      <c r="N101" s="203">
        <v>45927</v>
      </c>
    </row>
    <row r="102" spans="1:14" ht="13.8">
      <c r="A102" s="198">
        <v>32005</v>
      </c>
      <c r="B102" s="200" t="s">
        <v>64</v>
      </c>
      <c r="C102" s="203">
        <v>8468</v>
      </c>
      <c r="D102" s="203">
        <v>7421</v>
      </c>
      <c r="E102" s="203">
        <v>11061</v>
      </c>
      <c r="F102" s="203">
        <v>617</v>
      </c>
      <c r="G102" s="203">
        <v>1319</v>
      </c>
      <c r="H102" s="203">
        <v>4690</v>
      </c>
      <c r="J102" s="203">
        <v>1446</v>
      </c>
      <c r="K102" s="203">
        <v>2633</v>
      </c>
      <c r="L102" s="203">
        <v>11779</v>
      </c>
      <c r="M102" s="203">
        <v>-79</v>
      </c>
      <c r="N102" s="203">
        <v>11700</v>
      </c>
    </row>
    <row r="103" spans="1:14" ht="13.8">
      <c r="A103" s="198">
        <v>32100</v>
      </c>
      <c r="B103" s="200" t="s">
        <v>330</v>
      </c>
      <c r="C103" s="203">
        <v>18676</v>
      </c>
      <c r="D103" s="203">
        <v>16367</v>
      </c>
      <c r="E103" s="203">
        <v>24393</v>
      </c>
      <c r="F103" s="203">
        <v>1361</v>
      </c>
      <c r="G103" s="203">
        <v>5697</v>
      </c>
      <c r="H103" s="203">
        <v>10344</v>
      </c>
      <c r="J103" s="203">
        <v>3188</v>
      </c>
      <c r="K103" s="203">
        <v>1306</v>
      </c>
      <c r="L103" s="203">
        <v>25978</v>
      </c>
      <c r="M103" s="203">
        <v>939</v>
      </c>
      <c r="N103" s="203">
        <v>26917</v>
      </c>
    </row>
    <row r="104" spans="1:14" ht="13.8">
      <c r="A104" s="198">
        <v>32200</v>
      </c>
      <c r="B104" s="200" t="s">
        <v>331</v>
      </c>
      <c r="C104" s="203">
        <v>14224</v>
      </c>
      <c r="D104" s="203">
        <v>12465</v>
      </c>
      <c r="E104" s="203">
        <v>18578</v>
      </c>
      <c r="F104" s="203">
        <v>1036</v>
      </c>
      <c r="G104" s="203">
        <v>1688</v>
      </c>
      <c r="H104" s="203">
        <v>7878</v>
      </c>
      <c r="J104" s="203">
        <v>2428</v>
      </c>
      <c r="K104" s="203">
        <v>1943</v>
      </c>
      <c r="L104" s="203">
        <v>19785</v>
      </c>
      <c r="M104" s="203">
        <v>-561</v>
      </c>
      <c r="N104" s="203">
        <v>19224</v>
      </c>
    </row>
    <row r="105" spans="1:14" ht="13.8">
      <c r="A105" s="198">
        <v>32300</v>
      </c>
      <c r="B105" s="200" t="s">
        <v>332</v>
      </c>
      <c r="C105" s="203">
        <v>129286</v>
      </c>
      <c r="D105" s="203">
        <v>113303</v>
      </c>
      <c r="E105" s="203">
        <v>168865</v>
      </c>
      <c r="F105" s="203">
        <v>9421</v>
      </c>
      <c r="G105" s="203">
        <v>31981</v>
      </c>
      <c r="H105" s="203">
        <v>71609</v>
      </c>
      <c r="J105" s="203">
        <v>22069</v>
      </c>
      <c r="K105" s="203">
        <v>4622</v>
      </c>
      <c r="L105" s="203">
        <v>179836</v>
      </c>
      <c r="M105" s="203">
        <v>7287</v>
      </c>
      <c r="N105" s="203">
        <v>187123</v>
      </c>
    </row>
    <row r="106" spans="1:14" ht="13.8">
      <c r="A106" s="197">
        <v>32305</v>
      </c>
      <c r="B106" s="199" t="s">
        <v>333</v>
      </c>
      <c r="C106" s="202">
        <v>15963</v>
      </c>
      <c r="D106" s="202">
        <v>13989</v>
      </c>
      <c r="E106" s="202">
        <v>20850</v>
      </c>
      <c r="F106" s="202">
        <v>1163</v>
      </c>
      <c r="G106" s="202">
        <v>3026</v>
      </c>
      <c r="H106" s="202">
        <v>8842</v>
      </c>
      <c r="J106" s="202">
        <v>2725</v>
      </c>
      <c r="K106" s="202">
        <v>3729</v>
      </c>
      <c r="L106" s="202">
        <v>22204</v>
      </c>
      <c r="M106" s="202">
        <v>117</v>
      </c>
      <c r="N106" s="202">
        <v>22321</v>
      </c>
    </row>
    <row r="107" spans="1:14" ht="13.8">
      <c r="A107" s="197">
        <v>32400</v>
      </c>
      <c r="B107" s="199" t="s">
        <v>334</v>
      </c>
      <c r="C107" s="202">
        <v>46740</v>
      </c>
      <c r="D107" s="202">
        <v>40961</v>
      </c>
      <c r="E107" s="202">
        <v>61049</v>
      </c>
      <c r="F107" s="202">
        <v>3406</v>
      </c>
      <c r="G107" s="202">
        <v>14831</v>
      </c>
      <c r="H107" s="202">
        <v>25888</v>
      </c>
      <c r="J107" s="202">
        <v>7979</v>
      </c>
      <c r="K107" s="202">
        <v>1760</v>
      </c>
      <c r="L107" s="202">
        <v>65015</v>
      </c>
      <c r="M107" s="202">
        <v>4144</v>
      </c>
      <c r="N107" s="202">
        <v>69159</v>
      </c>
    </row>
    <row r="108" spans="1:14" ht="13.8">
      <c r="A108" s="197">
        <v>32405</v>
      </c>
      <c r="B108" s="199" t="s">
        <v>66</v>
      </c>
      <c r="C108" s="202">
        <v>11455</v>
      </c>
      <c r="D108" s="202">
        <v>10039</v>
      </c>
      <c r="E108" s="202">
        <v>14962</v>
      </c>
      <c r="F108" s="202">
        <v>835</v>
      </c>
      <c r="G108" s="202">
        <v>5416</v>
      </c>
      <c r="H108" s="202">
        <v>6345</v>
      </c>
      <c r="J108" s="202">
        <v>1955</v>
      </c>
      <c r="K108" s="202">
        <v>0</v>
      </c>
      <c r="L108" s="202">
        <v>15934</v>
      </c>
      <c r="M108" s="202">
        <v>1476</v>
      </c>
      <c r="N108" s="202">
        <v>17410</v>
      </c>
    </row>
    <row r="109" spans="1:14" ht="13.8">
      <c r="A109" s="197">
        <v>32410</v>
      </c>
      <c r="B109" s="199" t="s">
        <v>335</v>
      </c>
      <c r="C109" s="202">
        <v>21051</v>
      </c>
      <c r="D109" s="202">
        <v>18448</v>
      </c>
      <c r="E109" s="202">
        <v>27495</v>
      </c>
      <c r="F109" s="202">
        <v>1534</v>
      </c>
      <c r="G109" s="202">
        <v>3242</v>
      </c>
      <c r="H109" s="202">
        <v>11660</v>
      </c>
      <c r="J109" s="202">
        <v>3593</v>
      </c>
      <c r="K109" s="202">
        <v>3147</v>
      </c>
      <c r="L109" s="202">
        <v>29282</v>
      </c>
      <c r="M109" s="202">
        <v>478</v>
      </c>
      <c r="N109" s="202">
        <v>29760</v>
      </c>
    </row>
    <row r="110" spans="1:14" ht="13.8">
      <c r="A110" s="197">
        <v>32500</v>
      </c>
      <c r="B110" s="199" t="s">
        <v>336</v>
      </c>
      <c r="C110" s="202">
        <v>112155</v>
      </c>
      <c r="D110" s="202">
        <v>98290</v>
      </c>
      <c r="E110" s="202">
        <v>146490</v>
      </c>
      <c r="F110" s="202">
        <v>8173</v>
      </c>
      <c r="G110" s="202">
        <v>13507</v>
      </c>
      <c r="H110" s="202">
        <v>62121</v>
      </c>
      <c r="J110" s="202">
        <v>19145</v>
      </c>
      <c r="K110" s="202">
        <v>16152</v>
      </c>
      <c r="L110" s="202">
        <v>156008</v>
      </c>
      <c r="M110" s="202">
        <v>-2240</v>
      </c>
      <c r="N110" s="202">
        <v>153768</v>
      </c>
    </row>
    <row r="111" spans="1:14" ht="13.8">
      <c r="A111" s="197">
        <v>32505</v>
      </c>
      <c r="B111" s="199" t="s">
        <v>67</v>
      </c>
      <c r="C111" s="202">
        <v>17737</v>
      </c>
      <c r="D111" s="202">
        <v>15544</v>
      </c>
      <c r="E111" s="202">
        <v>23167</v>
      </c>
      <c r="F111" s="202">
        <v>1292</v>
      </c>
      <c r="G111" s="202">
        <v>3588</v>
      </c>
      <c r="H111" s="202">
        <v>9824</v>
      </c>
      <c r="J111" s="202">
        <v>3028</v>
      </c>
      <c r="K111" s="202">
        <v>1248</v>
      </c>
      <c r="L111" s="202">
        <v>24672</v>
      </c>
      <c r="M111" s="202">
        <v>493</v>
      </c>
      <c r="N111" s="202">
        <v>25165</v>
      </c>
    </row>
    <row r="112" spans="1:14" ht="13.8">
      <c r="A112" s="198">
        <v>32600</v>
      </c>
      <c r="B112" s="200" t="s">
        <v>337</v>
      </c>
      <c r="C112" s="203">
        <v>407318</v>
      </c>
      <c r="D112" s="203">
        <v>356962</v>
      </c>
      <c r="E112" s="203">
        <v>532012</v>
      </c>
      <c r="F112" s="203">
        <v>29680</v>
      </c>
      <c r="G112" s="203">
        <v>60966</v>
      </c>
      <c r="H112" s="203">
        <v>225605</v>
      </c>
      <c r="J112" s="203">
        <v>69530</v>
      </c>
      <c r="K112" s="203">
        <v>80243</v>
      </c>
      <c r="L112" s="203">
        <v>566578</v>
      </c>
      <c r="M112" s="203">
        <v>-2855</v>
      </c>
      <c r="N112" s="203">
        <v>563723</v>
      </c>
    </row>
    <row r="113" spans="1:14" ht="13.8">
      <c r="A113" s="198">
        <v>32605</v>
      </c>
      <c r="B113" s="200" t="s">
        <v>68</v>
      </c>
      <c r="C113" s="203">
        <v>71205</v>
      </c>
      <c r="D113" s="203">
        <v>62403</v>
      </c>
      <c r="E113" s="203">
        <v>93004</v>
      </c>
      <c r="F113" s="203">
        <v>5189</v>
      </c>
      <c r="G113" s="203">
        <v>5442</v>
      </c>
      <c r="H113" s="203">
        <v>39439</v>
      </c>
      <c r="J113" s="203">
        <v>12155</v>
      </c>
      <c r="K113" s="203">
        <v>11842</v>
      </c>
      <c r="L113" s="203">
        <v>99047</v>
      </c>
      <c r="M113" s="203">
        <v>-1480</v>
      </c>
      <c r="N113" s="203">
        <v>97567</v>
      </c>
    </row>
    <row r="114" spans="1:14" ht="13.8">
      <c r="A114" s="198">
        <v>32700</v>
      </c>
      <c r="B114" s="200" t="s">
        <v>338</v>
      </c>
      <c r="C114" s="203">
        <v>42203</v>
      </c>
      <c r="D114" s="203">
        <v>36985</v>
      </c>
      <c r="E114" s="203">
        <v>55122</v>
      </c>
      <c r="F114" s="203">
        <v>3075</v>
      </c>
      <c r="G114" s="203">
        <v>0</v>
      </c>
      <c r="H114" s="203">
        <v>23375</v>
      </c>
      <c r="J114" s="203">
        <v>7204</v>
      </c>
      <c r="K114" s="203">
        <v>7458</v>
      </c>
      <c r="L114" s="203">
        <v>58704</v>
      </c>
      <c r="M114" s="203">
        <v>-2170</v>
      </c>
      <c r="N114" s="203">
        <v>56534</v>
      </c>
    </row>
    <row r="115" spans="1:14" ht="13.8">
      <c r="A115" s="198">
        <v>32800</v>
      </c>
      <c r="B115" s="200" t="s">
        <v>339</v>
      </c>
      <c r="C115" s="203">
        <v>55540</v>
      </c>
      <c r="D115" s="203">
        <v>48674</v>
      </c>
      <c r="E115" s="203">
        <v>72543</v>
      </c>
      <c r="F115" s="203">
        <v>4047</v>
      </c>
      <c r="G115" s="203">
        <v>2961</v>
      </c>
      <c r="H115" s="203">
        <v>30763</v>
      </c>
      <c r="J115" s="203">
        <v>9481</v>
      </c>
      <c r="K115" s="203">
        <v>10146</v>
      </c>
      <c r="L115" s="203">
        <v>77257</v>
      </c>
      <c r="M115" s="203">
        <v>-2468</v>
      </c>
      <c r="N115" s="203">
        <v>74789</v>
      </c>
    </row>
    <row r="116" spans="1:14" ht="13.8">
      <c r="A116" s="198">
        <v>32900</v>
      </c>
      <c r="B116" s="200" t="s">
        <v>340</v>
      </c>
      <c r="C116" s="203">
        <v>140730</v>
      </c>
      <c r="D116" s="203">
        <v>123332</v>
      </c>
      <c r="E116" s="203">
        <v>183813</v>
      </c>
      <c r="F116" s="203">
        <v>10255</v>
      </c>
      <c r="G116" s="203">
        <v>24295</v>
      </c>
      <c r="H116" s="203">
        <v>77948</v>
      </c>
      <c r="J116" s="203">
        <v>24023</v>
      </c>
      <c r="K116" s="203">
        <v>6908</v>
      </c>
      <c r="L116" s="203">
        <v>195755</v>
      </c>
      <c r="M116" s="203">
        <v>2443</v>
      </c>
      <c r="N116" s="203">
        <v>198198</v>
      </c>
    </row>
    <row r="117" spans="1:14" ht="13.8">
      <c r="A117" s="198">
        <v>32901</v>
      </c>
      <c r="B117" s="200" t="s">
        <v>341</v>
      </c>
      <c r="C117" s="203">
        <v>2298</v>
      </c>
      <c r="D117" s="203">
        <v>2014</v>
      </c>
      <c r="E117" s="203">
        <v>3001</v>
      </c>
      <c r="F117" s="203">
        <v>167</v>
      </c>
      <c r="G117" s="203">
        <v>3526</v>
      </c>
      <c r="H117" s="203">
        <v>1273</v>
      </c>
      <c r="J117" s="203">
        <v>392</v>
      </c>
      <c r="K117" s="203">
        <v>2785</v>
      </c>
      <c r="L117" s="203">
        <v>3196</v>
      </c>
      <c r="M117" s="203">
        <v>70</v>
      </c>
      <c r="N117" s="203">
        <v>3266</v>
      </c>
    </row>
    <row r="118" spans="1:14" ht="13.8">
      <c r="A118" s="197">
        <v>32904</v>
      </c>
      <c r="B118" s="199" t="s">
        <v>342</v>
      </c>
      <c r="C118" s="202">
        <v>2487</v>
      </c>
      <c r="D118" s="202">
        <v>2179</v>
      </c>
      <c r="E118" s="202">
        <v>3248</v>
      </c>
      <c r="F118" s="202">
        <v>181</v>
      </c>
      <c r="G118" s="202">
        <v>0</v>
      </c>
      <c r="H118" s="202">
        <v>1377</v>
      </c>
      <c r="J118" s="202">
        <v>424</v>
      </c>
      <c r="K118" s="202">
        <v>4012</v>
      </c>
      <c r="L118" s="202">
        <v>3459</v>
      </c>
      <c r="M118" s="202">
        <v>-1104</v>
      </c>
      <c r="N118" s="202">
        <v>2355</v>
      </c>
    </row>
    <row r="119" spans="1:14" ht="13.8">
      <c r="A119" s="197">
        <v>32905</v>
      </c>
      <c r="B119" s="199" t="s">
        <v>69</v>
      </c>
      <c r="C119" s="202">
        <v>19992</v>
      </c>
      <c r="D119" s="202">
        <v>17521</v>
      </c>
      <c r="E119" s="202">
        <v>26113</v>
      </c>
      <c r="F119" s="202">
        <v>1457</v>
      </c>
      <c r="G119" s="202">
        <v>6174</v>
      </c>
      <c r="H119" s="202">
        <v>11073</v>
      </c>
      <c r="J119" s="202">
        <v>3413</v>
      </c>
      <c r="K119" s="202">
        <v>654</v>
      </c>
      <c r="L119" s="202">
        <v>27809</v>
      </c>
      <c r="M119" s="202">
        <v>2015</v>
      </c>
      <c r="N119" s="202">
        <v>29824</v>
      </c>
    </row>
    <row r="120" spans="1:14" ht="13.8">
      <c r="A120" s="197">
        <v>32910</v>
      </c>
      <c r="B120" s="199" t="s">
        <v>343</v>
      </c>
      <c r="C120" s="202">
        <v>27495</v>
      </c>
      <c r="D120" s="202">
        <v>24096</v>
      </c>
      <c r="E120" s="202">
        <v>35912</v>
      </c>
      <c r="F120" s="202">
        <v>2004</v>
      </c>
      <c r="G120" s="202">
        <v>4368</v>
      </c>
      <c r="H120" s="202">
        <v>15229</v>
      </c>
      <c r="J120" s="202">
        <v>4693</v>
      </c>
      <c r="K120" s="202">
        <v>1651</v>
      </c>
      <c r="L120" s="202">
        <v>38245</v>
      </c>
      <c r="M120" s="202">
        <v>577</v>
      </c>
      <c r="N120" s="202">
        <v>38822</v>
      </c>
    </row>
    <row r="121" spans="1:14" ht="13.8">
      <c r="A121" s="197">
        <v>32915</v>
      </c>
      <c r="B121" s="199" t="s">
        <v>344</v>
      </c>
      <c r="C121" s="202">
        <v>3317</v>
      </c>
      <c r="D121" s="202">
        <v>2907</v>
      </c>
      <c r="E121" s="202">
        <v>4332</v>
      </c>
      <c r="F121" s="202">
        <v>242</v>
      </c>
      <c r="G121" s="202">
        <v>0</v>
      </c>
      <c r="H121" s="202">
        <v>1837</v>
      </c>
      <c r="J121" s="202">
        <v>566</v>
      </c>
      <c r="K121" s="202">
        <v>5761</v>
      </c>
      <c r="L121" s="202">
        <v>4613</v>
      </c>
      <c r="M121" s="202">
        <v>-1339</v>
      </c>
      <c r="N121" s="202">
        <v>3274</v>
      </c>
    </row>
    <row r="122" spans="1:14" ht="13.8">
      <c r="A122" s="197">
        <v>32920</v>
      </c>
      <c r="B122" s="199" t="s">
        <v>345</v>
      </c>
      <c r="C122" s="202">
        <v>22133</v>
      </c>
      <c r="D122" s="202">
        <v>19397</v>
      </c>
      <c r="E122" s="202">
        <v>28909</v>
      </c>
      <c r="F122" s="202">
        <v>1613</v>
      </c>
      <c r="G122" s="202">
        <v>1620</v>
      </c>
      <c r="H122" s="202">
        <v>12259</v>
      </c>
      <c r="J122" s="202">
        <v>3778</v>
      </c>
      <c r="K122" s="202">
        <v>1074</v>
      </c>
      <c r="L122" s="202">
        <v>30787</v>
      </c>
      <c r="M122" s="202">
        <v>-293</v>
      </c>
      <c r="N122" s="202">
        <v>30494</v>
      </c>
    </row>
    <row r="123" spans="1:14" ht="13.8">
      <c r="A123" s="197">
        <v>33000</v>
      </c>
      <c r="B123" s="199" t="s">
        <v>346</v>
      </c>
      <c r="C123" s="202">
        <v>53251</v>
      </c>
      <c r="D123" s="202">
        <v>46667</v>
      </c>
      <c r="E123" s="202">
        <v>69552</v>
      </c>
      <c r="F123" s="202">
        <v>3880</v>
      </c>
      <c r="G123" s="202">
        <v>11233</v>
      </c>
      <c r="H123" s="202">
        <v>29494</v>
      </c>
      <c r="J123" s="202">
        <v>9090</v>
      </c>
      <c r="K123" s="202">
        <v>2209</v>
      </c>
      <c r="L123" s="202">
        <v>74071</v>
      </c>
      <c r="M123" s="202">
        <v>839</v>
      </c>
      <c r="N123" s="202">
        <v>74910</v>
      </c>
    </row>
    <row r="124" spans="1:14" ht="13.8">
      <c r="A124" s="198">
        <v>33001</v>
      </c>
      <c r="B124" s="201" t="s">
        <v>347</v>
      </c>
      <c r="C124" s="203">
        <v>854</v>
      </c>
      <c r="D124" s="203">
        <v>748</v>
      </c>
      <c r="E124" s="203">
        <v>1115</v>
      </c>
      <c r="F124" s="203">
        <v>62</v>
      </c>
      <c r="G124" s="203">
        <v>1601</v>
      </c>
      <c r="H124" s="203">
        <v>473</v>
      </c>
      <c r="J124" s="203">
        <v>146</v>
      </c>
      <c r="K124" s="203">
        <v>66</v>
      </c>
      <c r="L124" s="203">
        <v>1188</v>
      </c>
      <c r="M124" s="203">
        <v>492</v>
      </c>
      <c r="N124" s="203">
        <v>1680</v>
      </c>
    </row>
    <row r="125" spans="1:14" ht="13.8">
      <c r="A125" s="198">
        <v>33027</v>
      </c>
      <c r="B125" s="200" t="s">
        <v>348</v>
      </c>
      <c r="C125" s="203">
        <v>8848</v>
      </c>
      <c r="D125" s="203">
        <v>7755</v>
      </c>
      <c r="E125" s="203">
        <v>11557</v>
      </c>
      <c r="F125" s="203">
        <v>645</v>
      </c>
      <c r="G125" s="203">
        <v>0</v>
      </c>
      <c r="H125" s="203">
        <v>4901</v>
      </c>
      <c r="J125" s="203">
        <v>1510</v>
      </c>
      <c r="K125" s="203">
        <v>4848</v>
      </c>
      <c r="L125" s="203">
        <v>12308</v>
      </c>
      <c r="M125" s="203">
        <v>-1516</v>
      </c>
      <c r="N125" s="203">
        <v>10792</v>
      </c>
    </row>
    <row r="126" spans="1:14" ht="13.8">
      <c r="A126" s="198">
        <v>33100</v>
      </c>
      <c r="B126" s="200" t="s">
        <v>349</v>
      </c>
      <c r="C126" s="203">
        <v>76844</v>
      </c>
      <c r="D126" s="203">
        <v>67344</v>
      </c>
      <c r="E126" s="203">
        <v>100369</v>
      </c>
      <c r="F126" s="203">
        <v>5599</v>
      </c>
      <c r="G126" s="203">
        <v>13743</v>
      </c>
      <c r="H126" s="203">
        <v>42562</v>
      </c>
      <c r="J126" s="203">
        <v>13117</v>
      </c>
      <c r="K126" s="203">
        <v>24</v>
      </c>
      <c r="L126" s="203">
        <v>106890</v>
      </c>
      <c r="M126" s="203">
        <v>3664</v>
      </c>
      <c r="N126" s="203">
        <v>110554</v>
      </c>
    </row>
    <row r="127" spans="1:14" ht="13.8">
      <c r="A127" s="198">
        <v>33105</v>
      </c>
      <c r="B127" s="200" t="s">
        <v>70</v>
      </c>
      <c r="C127" s="203">
        <v>10043</v>
      </c>
      <c r="D127" s="203">
        <v>8801</v>
      </c>
      <c r="E127" s="203">
        <v>13117</v>
      </c>
      <c r="F127" s="203">
        <v>732</v>
      </c>
      <c r="G127" s="203">
        <v>1438</v>
      </c>
      <c r="H127" s="203">
        <v>5562</v>
      </c>
      <c r="J127" s="203">
        <v>1714</v>
      </c>
      <c r="K127" s="203">
        <v>1579</v>
      </c>
      <c r="L127" s="203">
        <v>13969</v>
      </c>
      <c r="M127" s="203">
        <v>48</v>
      </c>
      <c r="N127" s="203">
        <v>14017</v>
      </c>
    </row>
    <row r="128" spans="1:14" ht="13.8">
      <c r="A128" s="198">
        <v>33200</v>
      </c>
      <c r="B128" s="200" t="s">
        <v>350</v>
      </c>
      <c r="C128" s="203">
        <v>372089</v>
      </c>
      <c r="D128" s="203">
        <v>326088</v>
      </c>
      <c r="E128" s="203">
        <v>485999</v>
      </c>
      <c r="F128" s="203">
        <v>27113</v>
      </c>
      <c r="G128" s="203">
        <v>5613</v>
      </c>
      <c r="H128" s="203">
        <v>206093</v>
      </c>
      <c r="J128" s="203">
        <v>63516</v>
      </c>
      <c r="K128" s="203">
        <v>83977</v>
      </c>
      <c r="L128" s="203">
        <v>517575</v>
      </c>
      <c r="M128" s="203">
        <v>-19384</v>
      </c>
      <c r="N128" s="203">
        <v>498191</v>
      </c>
    </row>
    <row r="129" spans="1:14" ht="13.8">
      <c r="A129" s="198">
        <v>33202</v>
      </c>
      <c r="B129" s="201" t="s">
        <v>351</v>
      </c>
      <c r="C129" s="203">
        <v>6840</v>
      </c>
      <c r="D129" s="203">
        <v>5995</v>
      </c>
      <c r="E129" s="203">
        <v>8935</v>
      </c>
      <c r="F129" s="203">
        <v>498</v>
      </c>
      <c r="G129" s="203">
        <v>433</v>
      </c>
      <c r="H129" s="203">
        <v>3789</v>
      </c>
      <c r="J129" s="203">
        <v>1168</v>
      </c>
      <c r="K129" s="203">
        <v>5798</v>
      </c>
      <c r="L129" s="203">
        <v>9515</v>
      </c>
      <c r="M129" s="203">
        <v>-1622</v>
      </c>
      <c r="N129" s="203">
        <v>7893</v>
      </c>
    </row>
    <row r="130" spans="1:14" ht="13.8">
      <c r="A130" s="197">
        <v>33203</v>
      </c>
      <c r="B130" s="199" t="s">
        <v>352</v>
      </c>
      <c r="C130" s="202">
        <v>6668</v>
      </c>
      <c r="D130" s="202">
        <v>5843</v>
      </c>
      <c r="E130" s="202">
        <v>8709</v>
      </c>
      <c r="F130" s="202">
        <v>486</v>
      </c>
      <c r="G130" s="202">
        <v>0</v>
      </c>
      <c r="H130" s="202">
        <v>3693</v>
      </c>
      <c r="J130" s="202">
        <v>1138</v>
      </c>
      <c r="K130" s="202">
        <v>7309</v>
      </c>
      <c r="L130" s="202">
        <v>9275</v>
      </c>
      <c r="M130" s="202">
        <v>-2057</v>
      </c>
      <c r="N130" s="202">
        <v>7218</v>
      </c>
    </row>
    <row r="131" spans="1:14" ht="13.8">
      <c r="A131" s="197">
        <v>33204</v>
      </c>
      <c r="B131" s="199" t="s">
        <v>353</v>
      </c>
      <c r="C131" s="202">
        <v>11585</v>
      </c>
      <c r="D131" s="202">
        <v>10153</v>
      </c>
      <c r="E131" s="202">
        <v>15132</v>
      </c>
      <c r="F131" s="202">
        <v>844</v>
      </c>
      <c r="G131" s="202">
        <v>333</v>
      </c>
      <c r="H131" s="202">
        <v>6417</v>
      </c>
      <c r="J131" s="202">
        <v>1978</v>
      </c>
      <c r="K131" s="202">
        <v>4963</v>
      </c>
      <c r="L131" s="202">
        <v>16115</v>
      </c>
      <c r="M131" s="202">
        <v>-1118</v>
      </c>
      <c r="N131" s="202">
        <v>14997</v>
      </c>
    </row>
    <row r="132" spans="1:14" ht="13.8">
      <c r="A132" s="197">
        <v>33205</v>
      </c>
      <c r="B132" s="199" t="s">
        <v>71</v>
      </c>
      <c r="C132" s="202">
        <v>30266</v>
      </c>
      <c r="D132" s="202">
        <v>26525</v>
      </c>
      <c r="E132" s="202">
        <v>39532</v>
      </c>
      <c r="F132" s="202">
        <v>2205</v>
      </c>
      <c r="G132" s="202">
        <v>6767</v>
      </c>
      <c r="H132" s="202">
        <v>16764</v>
      </c>
      <c r="J132" s="202">
        <v>5167</v>
      </c>
      <c r="K132" s="202">
        <v>2151</v>
      </c>
      <c r="L132" s="202">
        <v>42100</v>
      </c>
      <c r="M132" s="202">
        <v>1996</v>
      </c>
      <c r="N132" s="202">
        <v>44096</v>
      </c>
    </row>
    <row r="133" spans="1:14" ht="13.8">
      <c r="A133" s="197">
        <v>33206</v>
      </c>
      <c r="B133" s="199" t="s">
        <v>354</v>
      </c>
      <c r="C133" s="202">
        <v>2840</v>
      </c>
      <c r="D133" s="202">
        <v>2489</v>
      </c>
      <c r="E133" s="202">
        <v>3710</v>
      </c>
      <c r="F133" s="202">
        <v>207</v>
      </c>
      <c r="G133" s="202">
        <v>789</v>
      </c>
      <c r="H133" s="202">
        <v>1573</v>
      </c>
      <c r="J133" s="202">
        <v>485</v>
      </c>
      <c r="K133" s="202">
        <v>633</v>
      </c>
      <c r="L133" s="202">
        <v>3951</v>
      </c>
      <c r="M133" s="202">
        <v>22</v>
      </c>
      <c r="N133" s="202">
        <v>3973</v>
      </c>
    </row>
    <row r="134" spans="1:14" ht="13.8">
      <c r="A134" s="197">
        <v>33207</v>
      </c>
      <c r="B134" s="199" t="s">
        <v>355</v>
      </c>
      <c r="C134" s="202">
        <v>13593</v>
      </c>
      <c r="D134" s="202">
        <v>11913</v>
      </c>
      <c r="E134" s="202">
        <v>17755</v>
      </c>
      <c r="F134" s="202">
        <v>991</v>
      </c>
      <c r="G134" s="202">
        <v>0</v>
      </c>
      <c r="H134" s="202">
        <v>7529</v>
      </c>
      <c r="J134" s="202">
        <v>2320</v>
      </c>
      <c r="K134" s="202">
        <v>17449</v>
      </c>
      <c r="L134" s="202">
        <v>18908</v>
      </c>
      <c r="M134" s="202">
        <v>-4985</v>
      </c>
      <c r="N134" s="202">
        <v>13923</v>
      </c>
    </row>
    <row r="135" spans="1:14" ht="13.8">
      <c r="A135" s="197">
        <v>33209</v>
      </c>
      <c r="B135" s="199" t="s">
        <v>356</v>
      </c>
      <c r="C135" s="202">
        <v>0</v>
      </c>
      <c r="D135" s="202">
        <v>0</v>
      </c>
      <c r="E135" s="202">
        <v>0</v>
      </c>
      <c r="F135" s="202">
        <v>0</v>
      </c>
      <c r="G135" s="202">
        <v>6035</v>
      </c>
      <c r="H135" s="202">
        <v>0</v>
      </c>
      <c r="J135" s="202">
        <v>0</v>
      </c>
      <c r="K135" s="202">
        <v>1074</v>
      </c>
      <c r="L135" s="202">
        <v>0</v>
      </c>
      <c r="M135" s="202">
        <v>648</v>
      </c>
      <c r="N135" s="202">
        <v>648</v>
      </c>
    </row>
    <row r="136" spans="1:14" ht="13.8">
      <c r="A136" s="198">
        <v>33300</v>
      </c>
      <c r="B136" s="200" t="s">
        <v>357</v>
      </c>
      <c r="C136" s="203">
        <v>52546</v>
      </c>
      <c r="D136" s="203">
        <v>46050</v>
      </c>
      <c r="E136" s="203">
        <v>68632</v>
      </c>
      <c r="F136" s="203">
        <v>3829</v>
      </c>
      <c r="G136" s="203">
        <v>6925</v>
      </c>
      <c r="H136" s="203">
        <v>29104</v>
      </c>
      <c r="J136" s="203">
        <v>8970</v>
      </c>
      <c r="K136" s="203">
        <v>4996</v>
      </c>
      <c r="L136" s="203">
        <v>73091</v>
      </c>
      <c r="M136" s="203">
        <v>-585</v>
      </c>
      <c r="N136" s="203">
        <v>72506</v>
      </c>
    </row>
    <row r="137" spans="1:14" ht="13.8">
      <c r="A137" s="198">
        <v>33305</v>
      </c>
      <c r="B137" s="200" t="s">
        <v>72</v>
      </c>
      <c r="C137" s="203">
        <v>10700</v>
      </c>
      <c r="D137" s="203">
        <v>9377</v>
      </c>
      <c r="E137" s="203">
        <v>13975</v>
      </c>
      <c r="F137" s="203">
        <v>780</v>
      </c>
      <c r="G137" s="203">
        <v>8827</v>
      </c>
      <c r="H137" s="203">
        <v>5926</v>
      </c>
      <c r="J137" s="203">
        <v>1826</v>
      </c>
      <c r="K137" s="203">
        <v>315</v>
      </c>
      <c r="L137" s="203">
        <v>14883</v>
      </c>
      <c r="M137" s="203">
        <v>2156</v>
      </c>
      <c r="N137" s="203">
        <v>17039</v>
      </c>
    </row>
    <row r="138" spans="1:14" ht="13.8">
      <c r="A138" s="198">
        <v>33400</v>
      </c>
      <c r="B138" s="200" t="s">
        <v>358</v>
      </c>
      <c r="C138" s="203">
        <v>495311</v>
      </c>
      <c r="D138" s="203">
        <v>434077</v>
      </c>
      <c r="E138" s="203">
        <v>646943</v>
      </c>
      <c r="F138" s="203">
        <v>36092</v>
      </c>
      <c r="G138" s="203">
        <v>23922</v>
      </c>
      <c r="H138" s="203">
        <v>274343</v>
      </c>
      <c r="J138" s="203">
        <v>84551</v>
      </c>
      <c r="K138" s="203">
        <v>24283</v>
      </c>
      <c r="L138" s="203">
        <v>688976</v>
      </c>
      <c r="M138" s="203">
        <v>-7751</v>
      </c>
      <c r="N138" s="203">
        <v>681225</v>
      </c>
    </row>
    <row r="139" spans="1:14" ht="13.8">
      <c r="A139" s="198">
        <v>33402</v>
      </c>
      <c r="B139" s="200" t="s">
        <v>359</v>
      </c>
      <c r="C139" s="203">
        <v>4795</v>
      </c>
      <c r="D139" s="203">
        <v>4202</v>
      </c>
      <c r="E139" s="203">
        <v>6263</v>
      </c>
      <c r="F139" s="203">
        <v>349</v>
      </c>
      <c r="G139" s="203">
        <v>0</v>
      </c>
      <c r="H139" s="203">
        <v>2656</v>
      </c>
      <c r="J139" s="203">
        <v>819</v>
      </c>
      <c r="K139" s="203">
        <v>2541</v>
      </c>
      <c r="L139" s="203">
        <v>6670</v>
      </c>
      <c r="M139" s="203">
        <v>-891</v>
      </c>
      <c r="N139" s="203">
        <v>5779</v>
      </c>
    </row>
    <row r="140" spans="1:14" ht="13.8">
      <c r="A140" s="198">
        <v>33405</v>
      </c>
      <c r="B140" s="200" t="s">
        <v>73</v>
      </c>
      <c r="C140" s="203">
        <v>43421</v>
      </c>
      <c r="D140" s="203">
        <v>38053</v>
      </c>
      <c r="E140" s="203">
        <v>56713</v>
      </c>
      <c r="F140" s="203">
        <v>3164</v>
      </c>
      <c r="G140" s="203">
        <v>9813</v>
      </c>
      <c r="H140" s="203">
        <v>24050</v>
      </c>
      <c r="J140" s="203">
        <v>7412</v>
      </c>
      <c r="K140" s="203">
        <v>5472</v>
      </c>
      <c r="L140" s="203">
        <v>60398</v>
      </c>
      <c r="M140" s="203">
        <v>3306</v>
      </c>
      <c r="N140" s="203">
        <v>63704</v>
      </c>
    </row>
    <row r="141" spans="1:14" ht="13.8">
      <c r="A141" s="198">
        <v>33500</v>
      </c>
      <c r="B141" s="200" t="s">
        <v>360</v>
      </c>
      <c r="C141" s="203">
        <v>72120</v>
      </c>
      <c r="D141" s="203">
        <v>63204</v>
      </c>
      <c r="E141" s="203">
        <v>94199</v>
      </c>
      <c r="F141" s="203">
        <v>5255</v>
      </c>
      <c r="G141" s="203">
        <v>4356</v>
      </c>
      <c r="H141" s="203">
        <v>39946</v>
      </c>
      <c r="J141" s="203">
        <v>12311</v>
      </c>
      <c r="K141" s="203">
        <v>3249</v>
      </c>
      <c r="L141" s="203">
        <v>100319</v>
      </c>
      <c r="M141" s="203">
        <v>-12</v>
      </c>
      <c r="N141" s="203">
        <v>100307</v>
      </c>
    </row>
    <row r="142" spans="1:14" ht="13.8">
      <c r="A142" s="197">
        <v>33501</v>
      </c>
      <c r="B142" s="199" t="s">
        <v>361</v>
      </c>
      <c r="C142" s="202">
        <v>3021</v>
      </c>
      <c r="D142" s="202">
        <v>2648</v>
      </c>
      <c r="E142" s="202">
        <v>3946</v>
      </c>
      <c r="F142" s="202">
        <v>220</v>
      </c>
      <c r="G142" s="202">
        <v>0</v>
      </c>
      <c r="H142" s="202">
        <v>1673</v>
      </c>
      <c r="J142" s="202">
        <v>516</v>
      </c>
      <c r="K142" s="202">
        <v>1804</v>
      </c>
      <c r="L142" s="202">
        <v>4203</v>
      </c>
      <c r="M142" s="202">
        <v>-456</v>
      </c>
      <c r="N142" s="202">
        <v>3747</v>
      </c>
    </row>
    <row r="143" spans="1:14" ht="13.8">
      <c r="A143" s="197">
        <v>33600</v>
      </c>
      <c r="B143" s="199" t="s">
        <v>362</v>
      </c>
      <c r="C143" s="202">
        <v>239582</v>
      </c>
      <c r="D143" s="202">
        <v>209963</v>
      </c>
      <c r="E143" s="202">
        <v>312927</v>
      </c>
      <c r="F143" s="202">
        <v>17458</v>
      </c>
      <c r="G143" s="202">
        <v>49365</v>
      </c>
      <c r="H143" s="202">
        <v>132700</v>
      </c>
      <c r="J143" s="202">
        <v>40897</v>
      </c>
      <c r="K143" s="202">
        <v>60515</v>
      </c>
      <c r="L143" s="202">
        <v>333258</v>
      </c>
      <c r="M143" s="202">
        <v>-3982</v>
      </c>
      <c r="N143" s="202">
        <v>329276</v>
      </c>
    </row>
    <row r="144" spans="1:14" ht="13.8">
      <c r="A144" s="197">
        <v>33605</v>
      </c>
      <c r="B144" s="199" t="s">
        <v>74</v>
      </c>
      <c r="C144" s="202">
        <v>29846</v>
      </c>
      <c r="D144" s="202">
        <v>26156</v>
      </c>
      <c r="E144" s="202">
        <v>38983</v>
      </c>
      <c r="F144" s="202">
        <v>2175</v>
      </c>
      <c r="G144" s="202">
        <v>16707</v>
      </c>
      <c r="H144" s="202">
        <v>16531</v>
      </c>
      <c r="J144" s="202">
        <v>5095</v>
      </c>
      <c r="K144" s="202">
        <v>0</v>
      </c>
      <c r="L144" s="202">
        <v>41516</v>
      </c>
      <c r="M144" s="202">
        <v>5269</v>
      </c>
      <c r="N144" s="202">
        <v>46785</v>
      </c>
    </row>
    <row r="145" spans="1:14" ht="13.8">
      <c r="A145" s="197">
        <v>33700</v>
      </c>
      <c r="B145" s="199" t="s">
        <v>363</v>
      </c>
      <c r="C145" s="202">
        <v>17633</v>
      </c>
      <c r="D145" s="202">
        <v>15453</v>
      </c>
      <c r="E145" s="202">
        <v>23031</v>
      </c>
      <c r="F145" s="202">
        <v>1285</v>
      </c>
      <c r="G145" s="202">
        <v>927</v>
      </c>
      <c r="H145" s="202">
        <v>9767</v>
      </c>
      <c r="J145" s="202">
        <v>3010</v>
      </c>
      <c r="K145" s="202">
        <v>972</v>
      </c>
      <c r="L145" s="202">
        <v>24528</v>
      </c>
      <c r="M145" s="202">
        <v>103</v>
      </c>
      <c r="N145" s="202">
        <v>24631</v>
      </c>
    </row>
    <row r="146" spans="1:14" ht="13.8">
      <c r="A146" s="197">
        <v>33800</v>
      </c>
      <c r="B146" s="199" t="s">
        <v>364</v>
      </c>
      <c r="C146" s="202">
        <v>13939</v>
      </c>
      <c r="D146" s="202">
        <v>12216</v>
      </c>
      <c r="E146" s="202">
        <v>18206</v>
      </c>
      <c r="F146" s="202">
        <v>1016</v>
      </c>
      <c r="G146" s="202">
        <v>3410</v>
      </c>
      <c r="H146" s="202">
        <v>7721</v>
      </c>
      <c r="J146" s="202">
        <v>2379</v>
      </c>
      <c r="K146" s="202">
        <v>2059</v>
      </c>
      <c r="L146" s="202">
        <v>19389</v>
      </c>
      <c r="M146" s="202">
        <v>155</v>
      </c>
      <c r="N146" s="202">
        <v>19544</v>
      </c>
    </row>
    <row r="147" spans="1:14" ht="13.8">
      <c r="A147" s="197">
        <v>33900</v>
      </c>
      <c r="B147" s="199" t="s">
        <v>365</v>
      </c>
      <c r="C147" s="202">
        <v>55096</v>
      </c>
      <c r="D147" s="202">
        <v>48285</v>
      </c>
      <c r="E147" s="202">
        <v>71963</v>
      </c>
      <c r="F147" s="202">
        <v>4015</v>
      </c>
      <c r="G147" s="202">
        <v>23624</v>
      </c>
      <c r="H147" s="202">
        <v>30517</v>
      </c>
      <c r="J147" s="202">
        <v>9405</v>
      </c>
      <c r="K147" s="202">
        <v>0</v>
      </c>
      <c r="L147" s="202">
        <v>76639</v>
      </c>
      <c r="M147" s="202">
        <v>6555</v>
      </c>
      <c r="N147" s="202">
        <v>83194</v>
      </c>
    </row>
    <row r="148" spans="1:14" ht="13.8">
      <c r="A148" s="198">
        <v>34000</v>
      </c>
      <c r="B148" s="200" t="s">
        <v>366</v>
      </c>
      <c r="C148" s="203">
        <v>31261</v>
      </c>
      <c r="D148" s="203">
        <v>27396</v>
      </c>
      <c r="E148" s="203">
        <v>40831</v>
      </c>
      <c r="F148" s="203">
        <v>2278</v>
      </c>
      <c r="G148" s="203">
        <v>3448</v>
      </c>
      <c r="H148" s="203">
        <v>17315</v>
      </c>
      <c r="J148" s="203">
        <v>5336</v>
      </c>
      <c r="K148" s="203">
        <v>2528</v>
      </c>
      <c r="L148" s="203">
        <v>43484</v>
      </c>
      <c r="M148" s="203">
        <v>-447</v>
      </c>
      <c r="N148" s="203">
        <v>43037</v>
      </c>
    </row>
    <row r="149" spans="1:14" ht="13.8">
      <c r="A149" s="198">
        <v>34100</v>
      </c>
      <c r="B149" s="200" t="s">
        <v>367</v>
      </c>
      <c r="C149" s="203">
        <v>655653</v>
      </c>
      <c r="D149" s="203">
        <v>574596</v>
      </c>
      <c r="E149" s="203">
        <v>856372</v>
      </c>
      <c r="F149" s="203">
        <v>47776</v>
      </c>
      <c r="G149" s="203">
        <v>24974</v>
      </c>
      <c r="H149" s="203">
        <v>363153</v>
      </c>
      <c r="J149" s="203">
        <v>111921</v>
      </c>
      <c r="K149" s="203">
        <v>42494</v>
      </c>
      <c r="L149" s="203">
        <v>912012</v>
      </c>
      <c r="M149" s="203">
        <v>-7519</v>
      </c>
      <c r="N149" s="203">
        <v>904493</v>
      </c>
    </row>
    <row r="150" spans="1:14" ht="13.8">
      <c r="A150" s="198">
        <v>34105</v>
      </c>
      <c r="B150" s="200" t="s">
        <v>75</v>
      </c>
      <c r="C150" s="203">
        <v>49104</v>
      </c>
      <c r="D150" s="203">
        <v>43034</v>
      </c>
      <c r="E150" s="203">
        <v>64137</v>
      </c>
      <c r="F150" s="203">
        <v>3578</v>
      </c>
      <c r="G150" s="203">
        <v>26498</v>
      </c>
      <c r="H150" s="203">
        <v>27198</v>
      </c>
      <c r="J150" s="203">
        <v>8382</v>
      </c>
      <c r="K150" s="203">
        <v>0</v>
      </c>
      <c r="L150" s="203">
        <v>68304</v>
      </c>
      <c r="M150" s="203">
        <v>9400</v>
      </c>
      <c r="N150" s="203">
        <v>77704</v>
      </c>
    </row>
    <row r="151" spans="1:14" ht="13.8">
      <c r="A151" s="198">
        <v>34200</v>
      </c>
      <c r="B151" s="200" t="s">
        <v>368</v>
      </c>
      <c r="C151" s="203">
        <v>19152</v>
      </c>
      <c r="D151" s="203">
        <v>16784</v>
      </c>
      <c r="E151" s="203">
        <v>25015</v>
      </c>
      <c r="F151" s="203">
        <v>1396</v>
      </c>
      <c r="G151" s="203">
        <v>12652</v>
      </c>
      <c r="H151" s="203">
        <v>10608</v>
      </c>
      <c r="J151" s="203">
        <v>3269</v>
      </c>
      <c r="K151" s="203">
        <v>2815</v>
      </c>
      <c r="L151" s="203">
        <v>26640</v>
      </c>
      <c r="M151" s="203">
        <v>2252</v>
      </c>
      <c r="N151" s="203">
        <v>28892</v>
      </c>
    </row>
    <row r="152" spans="1:14" ht="13.8">
      <c r="A152" s="198">
        <v>34205</v>
      </c>
      <c r="B152" s="200" t="s">
        <v>76</v>
      </c>
      <c r="C152" s="203">
        <v>7968</v>
      </c>
      <c r="D152" s="203">
        <v>6983</v>
      </c>
      <c r="E152" s="203">
        <v>10408</v>
      </c>
      <c r="F152" s="203">
        <v>581</v>
      </c>
      <c r="G152" s="203">
        <v>6384</v>
      </c>
      <c r="H152" s="203">
        <v>4413</v>
      </c>
      <c r="J152" s="203">
        <v>1360</v>
      </c>
      <c r="K152" s="203">
        <v>1395</v>
      </c>
      <c r="L152" s="203">
        <v>11084</v>
      </c>
      <c r="M152" s="203">
        <v>1927</v>
      </c>
      <c r="N152" s="203">
        <v>13011</v>
      </c>
    </row>
    <row r="153" spans="1:14" ht="13.8">
      <c r="A153" s="198">
        <v>34220</v>
      </c>
      <c r="B153" s="200" t="s">
        <v>369</v>
      </c>
      <c r="C153" s="203">
        <v>23636</v>
      </c>
      <c r="D153" s="203">
        <v>20714</v>
      </c>
      <c r="E153" s="203">
        <v>30872</v>
      </c>
      <c r="F153" s="203">
        <v>1722</v>
      </c>
      <c r="G153" s="203">
        <v>6986</v>
      </c>
      <c r="H153" s="203">
        <v>13091</v>
      </c>
      <c r="J153" s="203">
        <v>4035</v>
      </c>
      <c r="K153" s="203">
        <v>582</v>
      </c>
      <c r="L153" s="203">
        <v>32877</v>
      </c>
      <c r="M153" s="203">
        <v>1031</v>
      </c>
      <c r="N153" s="203">
        <v>33908</v>
      </c>
    </row>
    <row r="154" spans="1:14" ht="13.8">
      <c r="A154" s="197">
        <v>34230</v>
      </c>
      <c r="B154" s="199" t="s">
        <v>370</v>
      </c>
      <c r="C154" s="202">
        <v>8572</v>
      </c>
      <c r="D154" s="202">
        <v>7512</v>
      </c>
      <c r="E154" s="202">
        <v>11196</v>
      </c>
      <c r="F154" s="202">
        <v>625</v>
      </c>
      <c r="G154" s="202">
        <v>6412</v>
      </c>
      <c r="H154" s="202">
        <v>4748</v>
      </c>
      <c r="J154" s="202">
        <v>1463</v>
      </c>
      <c r="K154" s="202">
        <v>452</v>
      </c>
      <c r="L154" s="202">
        <v>11923</v>
      </c>
      <c r="M154" s="202">
        <v>1384</v>
      </c>
      <c r="N154" s="202">
        <v>13307</v>
      </c>
    </row>
    <row r="155" spans="1:14" ht="13.8">
      <c r="A155" s="197">
        <v>34300</v>
      </c>
      <c r="B155" s="199" t="s">
        <v>371</v>
      </c>
      <c r="C155" s="202">
        <v>154281</v>
      </c>
      <c r="D155" s="202">
        <v>135207</v>
      </c>
      <c r="E155" s="202">
        <v>201512</v>
      </c>
      <c r="F155" s="202">
        <v>11242</v>
      </c>
      <c r="G155" s="202">
        <v>13384</v>
      </c>
      <c r="H155" s="202">
        <v>85453</v>
      </c>
      <c r="J155" s="202">
        <v>26336</v>
      </c>
      <c r="K155" s="202">
        <v>8824</v>
      </c>
      <c r="L155" s="202">
        <v>214604</v>
      </c>
      <c r="M155" s="202">
        <v>-409</v>
      </c>
      <c r="N155" s="202">
        <v>214195</v>
      </c>
    </row>
    <row r="156" spans="1:14" ht="13.8">
      <c r="A156" s="197">
        <v>34400</v>
      </c>
      <c r="B156" s="199" t="s">
        <v>372</v>
      </c>
      <c r="C156" s="202">
        <v>63176</v>
      </c>
      <c r="D156" s="202">
        <v>55366</v>
      </c>
      <c r="E156" s="202">
        <v>82517</v>
      </c>
      <c r="F156" s="202">
        <v>4604</v>
      </c>
      <c r="G156" s="202">
        <v>3441</v>
      </c>
      <c r="H156" s="202">
        <v>34992</v>
      </c>
      <c r="J156" s="202">
        <v>10784</v>
      </c>
      <c r="K156" s="202">
        <v>4386</v>
      </c>
      <c r="L156" s="202">
        <v>87878</v>
      </c>
      <c r="M156" s="202">
        <v>108</v>
      </c>
      <c r="N156" s="202">
        <v>87986</v>
      </c>
    </row>
    <row r="157" spans="1:14" ht="13.8">
      <c r="A157" s="197">
        <v>34405</v>
      </c>
      <c r="B157" s="199" t="s">
        <v>77</v>
      </c>
      <c r="C157" s="202">
        <v>11567</v>
      </c>
      <c r="D157" s="202">
        <v>10137</v>
      </c>
      <c r="E157" s="202">
        <v>15108</v>
      </c>
      <c r="F157" s="202">
        <v>843</v>
      </c>
      <c r="G157" s="202">
        <v>3114</v>
      </c>
      <c r="H157" s="202">
        <v>6407</v>
      </c>
      <c r="J157" s="202">
        <v>1974</v>
      </c>
      <c r="K157" s="202">
        <v>755</v>
      </c>
      <c r="L157" s="202">
        <v>16089</v>
      </c>
      <c r="M157" s="202">
        <v>510</v>
      </c>
      <c r="N157" s="202">
        <v>16599</v>
      </c>
    </row>
    <row r="158" spans="1:14" ht="13.8">
      <c r="A158" s="197">
        <v>34500</v>
      </c>
      <c r="B158" s="199" t="s">
        <v>373</v>
      </c>
      <c r="C158" s="202">
        <v>123326</v>
      </c>
      <c r="D158" s="202">
        <v>108079</v>
      </c>
      <c r="E158" s="202">
        <v>161080</v>
      </c>
      <c r="F158" s="202">
        <v>8987</v>
      </c>
      <c r="G158" s="202">
        <v>5954</v>
      </c>
      <c r="H158" s="202">
        <v>68308</v>
      </c>
      <c r="J158" s="202">
        <v>21052</v>
      </c>
      <c r="K158" s="202">
        <v>17963</v>
      </c>
      <c r="L158" s="202">
        <v>171546</v>
      </c>
      <c r="M158" s="202">
        <v>-5729</v>
      </c>
      <c r="N158" s="202">
        <v>165817</v>
      </c>
    </row>
    <row r="159" spans="1:14" ht="13.8">
      <c r="A159" s="197">
        <v>34501</v>
      </c>
      <c r="B159" s="199" t="s">
        <v>374</v>
      </c>
      <c r="C159" s="202">
        <v>1758</v>
      </c>
      <c r="D159" s="202">
        <v>1541</v>
      </c>
      <c r="E159" s="202">
        <v>2296</v>
      </c>
      <c r="F159" s="202">
        <v>128</v>
      </c>
      <c r="G159" s="202">
        <v>320</v>
      </c>
      <c r="H159" s="202">
        <v>974</v>
      </c>
      <c r="J159" s="202">
        <v>300</v>
      </c>
      <c r="K159" s="202">
        <v>829</v>
      </c>
      <c r="L159" s="202">
        <v>2445</v>
      </c>
      <c r="M159" s="202">
        <v>-303</v>
      </c>
      <c r="N159" s="202">
        <v>2142</v>
      </c>
    </row>
    <row r="160" spans="1:14" ht="13.8">
      <c r="A160" s="197">
        <v>34505</v>
      </c>
      <c r="B160" s="199" t="s">
        <v>78</v>
      </c>
      <c r="C160" s="202">
        <v>18104</v>
      </c>
      <c r="D160" s="202">
        <v>15866</v>
      </c>
      <c r="E160" s="202">
        <v>23646</v>
      </c>
      <c r="F160" s="202">
        <v>1319</v>
      </c>
      <c r="G160" s="202">
        <v>2552</v>
      </c>
      <c r="H160" s="202">
        <v>10027</v>
      </c>
      <c r="J160" s="202">
        <v>3090</v>
      </c>
      <c r="K160" s="202">
        <v>5817</v>
      </c>
      <c r="L160" s="202">
        <v>25182</v>
      </c>
      <c r="M160" s="202">
        <v>-922</v>
      </c>
      <c r="N160" s="202">
        <v>24260</v>
      </c>
    </row>
    <row r="161" spans="1:14" ht="13.8">
      <c r="A161" s="197">
        <v>34600</v>
      </c>
      <c r="B161" s="199" t="s">
        <v>375</v>
      </c>
      <c r="C161" s="202">
        <v>22075</v>
      </c>
      <c r="D161" s="202">
        <v>19346</v>
      </c>
      <c r="E161" s="202">
        <v>28833</v>
      </c>
      <c r="F161" s="202">
        <v>1609</v>
      </c>
      <c r="G161" s="202">
        <v>13581</v>
      </c>
      <c r="H161" s="202">
        <v>12227</v>
      </c>
      <c r="J161" s="202">
        <v>3768</v>
      </c>
      <c r="K161" s="202">
        <v>0</v>
      </c>
      <c r="L161" s="202">
        <v>30706</v>
      </c>
      <c r="M161" s="202">
        <v>3978</v>
      </c>
      <c r="N161" s="202">
        <v>34684</v>
      </c>
    </row>
    <row r="162" spans="1:14" ht="13.8">
      <c r="A162" s="197">
        <v>34605</v>
      </c>
      <c r="B162" s="199" t="s">
        <v>79</v>
      </c>
      <c r="C162" s="202">
        <v>4465</v>
      </c>
      <c r="D162" s="202">
        <v>3913</v>
      </c>
      <c r="E162" s="202">
        <v>5833</v>
      </c>
      <c r="F162" s="202">
        <v>325</v>
      </c>
      <c r="G162" s="202">
        <v>3869</v>
      </c>
      <c r="H162" s="202">
        <v>2473</v>
      </c>
      <c r="J162" s="202">
        <v>762</v>
      </c>
      <c r="K162" s="202">
        <v>108</v>
      </c>
      <c r="L162" s="202">
        <v>6211</v>
      </c>
      <c r="M162" s="202">
        <v>995</v>
      </c>
      <c r="N162" s="202">
        <v>7206</v>
      </c>
    </row>
    <row r="163" spans="1:14" ht="13.8">
      <c r="A163" s="197">
        <v>34700</v>
      </c>
      <c r="B163" s="199" t="s">
        <v>376</v>
      </c>
      <c r="C163" s="202">
        <v>81506</v>
      </c>
      <c r="D163" s="202">
        <v>71430</v>
      </c>
      <c r="E163" s="202">
        <v>106458</v>
      </c>
      <c r="F163" s="202">
        <v>5939</v>
      </c>
      <c r="G163" s="202">
        <v>425</v>
      </c>
      <c r="H163" s="202">
        <v>45145</v>
      </c>
      <c r="J163" s="202">
        <v>13913</v>
      </c>
      <c r="K163" s="202">
        <v>24224</v>
      </c>
      <c r="L163" s="202">
        <v>113375</v>
      </c>
      <c r="M163" s="202">
        <v>-7990</v>
      </c>
      <c r="N163" s="202">
        <v>105385</v>
      </c>
    </row>
    <row r="164" spans="1:14" ht="13.8">
      <c r="A164" s="197">
        <v>34800</v>
      </c>
      <c r="B164" s="199" t="s">
        <v>377</v>
      </c>
      <c r="C164" s="202">
        <v>7960</v>
      </c>
      <c r="D164" s="202">
        <v>6976</v>
      </c>
      <c r="E164" s="202">
        <v>10397</v>
      </c>
      <c r="F164" s="202">
        <v>580</v>
      </c>
      <c r="G164" s="202">
        <v>3896</v>
      </c>
      <c r="H164" s="202">
        <v>4409</v>
      </c>
      <c r="J164" s="202">
        <v>1359</v>
      </c>
      <c r="K164" s="202">
        <v>119</v>
      </c>
      <c r="L164" s="202">
        <v>11073</v>
      </c>
      <c r="M164" s="202">
        <v>836</v>
      </c>
      <c r="N164" s="202">
        <v>11909</v>
      </c>
    </row>
    <row r="165" spans="1:14" ht="13.8">
      <c r="A165" s="197">
        <v>34900</v>
      </c>
      <c r="B165" s="199" t="s">
        <v>378</v>
      </c>
      <c r="C165" s="202">
        <v>170446</v>
      </c>
      <c r="D165" s="202">
        <v>149374</v>
      </c>
      <c r="E165" s="202">
        <v>222625</v>
      </c>
      <c r="F165" s="202">
        <v>12420</v>
      </c>
      <c r="G165" s="202">
        <v>7672</v>
      </c>
      <c r="H165" s="202">
        <v>94407</v>
      </c>
      <c r="J165" s="202">
        <v>29095</v>
      </c>
      <c r="K165" s="202">
        <v>11124</v>
      </c>
      <c r="L165" s="202">
        <v>237090</v>
      </c>
      <c r="M165" s="202">
        <v>-131</v>
      </c>
      <c r="N165" s="202">
        <v>236959</v>
      </c>
    </row>
    <row r="166" spans="1:14" ht="13.8">
      <c r="A166" s="198">
        <v>34901</v>
      </c>
      <c r="B166" s="201" t="s">
        <v>379</v>
      </c>
      <c r="C166" s="203">
        <v>4864</v>
      </c>
      <c r="D166" s="203">
        <v>4263</v>
      </c>
      <c r="E166" s="203">
        <v>6354</v>
      </c>
      <c r="F166" s="203">
        <v>354</v>
      </c>
      <c r="G166" s="203">
        <v>145</v>
      </c>
      <c r="H166" s="203">
        <v>2694</v>
      </c>
      <c r="J166" s="203">
        <v>830</v>
      </c>
      <c r="K166" s="203">
        <v>2099</v>
      </c>
      <c r="L166" s="203">
        <v>6766</v>
      </c>
      <c r="M166" s="203">
        <v>-620</v>
      </c>
      <c r="N166" s="203">
        <v>6146</v>
      </c>
    </row>
    <row r="167" spans="1:14" ht="13.8">
      <c r="A167" s="198">
        <v>34903</v>
      </c>
      <c r="B167" s="200" t="s">
        <v>380</v>
      </c>
      <c r="C167" s="203">
        <v>481</v>
      </c>
      <c r="D167" s="203">
        <v>422</v>
      </c>
      <c r="E167" s="203">
        <v>629</v>
      </c>
      <c r="F167" s="203">
        <v>35</v>
      </c>
      <c r="G167" s="203">
        <v>389</v>
      </c>
      <c r="H167" s="203">
        <v>267</v>
      </c>
      <c r="J167" s="203">
        <v>82</v>
      </c>
      <c r="K167" s="203">
        <v>403</v>
      </c>
      <c r="L167" s="203">
        <v>670</v>
      </c>
      <c r="M167" s="203">
        <v>82</v>
      </c>
      <c r="N167" s="203">
        <v>752</v>
      </c>
    </row>
    <row r="168" spans="1:14" ht="13.8">
      <c r="A168" s="198">
        <v>34905</v>
      </c>
      <c r="B168" s="200" t="s">
        <v>80</v>
      </c>
      <c r="C168" s="203">
        <v>14920</v>
      </c>
      <c r="D168" s="203">
        <v>13076</v>
      </c>
      <c r="E168" s="203">
        <v>19488</v>
      </c>
      <c r="F168" s="203">
        <v>1087</v>
      </c>
      <c r="G168" s="203">
        <v>4405</v>
      </c>
      <c r="H168" s="203">
        <v>8264</v>
      </c>
      <c r="J168" s="203">
        <v>2547</v>
      </c>
      <c r="K168" s="203">
        <v>0</v>
      </c>
      <c r="L168" s="203">
        <v>20754</v>
      </c>
      <c r="M168" s="203">
        <v>1366</v>
      </c>
      <c r="N168" s="203">
        <v>22120</v>
      </c>
    </row>
    <row r="169" spans="1:14" ht="13.8">
      <c r="A169" s="198">
        <v>34910</v>
      </c>
      <c r="B169" s="200" t="s">
        <v>381</v>
      </c>
      <c r="C169" s="203">
        <v>50854</v>
      </c>
      <c r="D169" s="203">
        <v>44567</v>
      </c>
      <c r="E169" s="203">
        <v>66423</v>
      </c>
      <c r="F169" s="203">
        <v>3706</v>
      </c>
      <c r="G169" s="203">
        <v>2507</v>
      </c>
      <c r="H169" s="203">
        <v>28167</v>
      </c>
      <c r="J169" s="203">
        <v>8681</v>
      </c>
      <c r="K169" s="203">
        <v>3710</v>
      </c>
      <c r="L169" s="203">
        <v>70738</v>
      </c>
      <c r="M169" s="203">
        <v>-298</v>
      </c>
      <c r="N169" s="203">
        <v>70440</v>
      </c>
    </row>
    <row r="170" spans="1:14" ht="13.8">
      <c r="A170" s="198">
        <v>35000</v>
      </c>
      <c r="B170" s="200" t="s">
        <v>382</v>
      </c>
      <c r="C170" s="203">
        <v>38218</v>
      </c>
      <c r="D170" s="203">
        <v>33494</v>
      </c>
      <c r="E170" s="203">
        <v>49919</v>
      </c>
      <c r="F170" s="203">
        <v>2785</v>
      </c>
      <c r="G170" s="203">
        <v>406</v>
      </c>
      <c r="H170" s="203">
        <v>21168</v>
      </c>
      <c r="J170" s="203">
        <v>6524</v>
      </c>
      <c r="K170" s="203">
        <v>7411</v>
      </c>
      <c r="L170" s="203">
        <v>53162</v>
      </c>
      <c r="M170" s="203">
        <v>-2800</v>
      </c>
      <c r="N170" s="203">
        <v>50362</v>
      </c>
    </row>
    <row r="171" spans="1:14" ht="13.8">
      <c r="A171" s="198">
        <v>35005</v>
      </c>
      <c r="B171" s="200" t="s">
        <v>81</v>
      </c>
      <c r="C171" s="203">
        <v>13484</v>
      </c>
      <c r="D171" s="203">
        <v>11817</v>
      </c>
      <c r="E171" s="203">
        <v>17612</v>
      </c>
      <c r="F171" s="203">
        <v>983</v>
      </c>
      <c r="G171" s="203">
        <v>5822</v>
      </c>
      <c r="H171" s="203">
        <v>7469</v>
      </c>
      <c r="J171" s="203">
        <v>2302</v>
      </c>
      <c r="K171" s="203">
        <v>0</v>
      </c>
      <c r="L171" s="203">
        <v>18756</v>
      </c>
      <c r="M171" s="203">
        <v>1715</v>
      </c>
      <c r="N171" s="203">
        <v>20471</v>
      </c>
    </row>
    <row r="172" spans="1:14" ht="13.8">
      <c r="A172" s="197">
        <v>35100</v>
      </c>
      <c r="B172" s="199" t="s">
        <v>383</v>
      </c>
      <c r="C172" s="202">
        <v>310631</v>
      </c>
      <c r="D172" s="202">
        <v>272228</v>
      </c>
      <c r="E172" s="202">
        <v>405726</v>
      </c>
      <c r="F172" s="202">
        <v>22635</v>
      </c>
      <c r="G172" s="202">
        <v>10161</v>
      </c>
      <c r="H172" s="202">
        <v>172052</v>
      </c>
      <c r="J172" s="202">
        <v>53025</v>
      </c>
      <c r="K172" s="202">
        <v>42347</v>
      </c>
      <c r="L172" s="202">
        <v>432087</v>
      </c>
      <c r="M172" s="202">
        <v>-14757</v>
      </c>
      <c r="N172" s="202">
        <v>417330</v>
      </c>
    </row>
    <row r="173" spans="1:14" ht="13.8">
      <c r="A173" s="197">
        <v>35105</v>
      </c>
      <c r="B173" s="199" t="s">
        <v>82</v>
      </c>
      <c r="C173" s="202">
        <v>24955</v>
      </c>
      <c r="D173" s="202">
        <v>21870</v>
      </c>
      <c r="E173" s="202">
        <v>32595</v>
      </c>
      <c r="F173" s="202">
        <v>1818</v>
      </c>
      <c r="G173" s="202">
        <v>3543</v>
      </c>
      <c r="H173" s="202">
        <v>13822</v>
      </c>
      <c r="J173" s="202">
        <v>4260</v>
      </c>
      <c r="K173" s="202">
        <v>1959</v>
      </c>
      <c r="L173" s="202">
        <v>34712</v>
      </c>
      <c r="M173" s="202">
        <v>767</v>
      </c>
      <c r="N173" s="202">
        <v>35479</v>
      </c>
    </row>
    <row r="174" spans="1:14" ht="13.8">
      <c r="A174" s="197">
        <v>35106</v>
      </c>
      <c r="B174" s="199" t="s">
        <v>384</v>
      </c>
      <c r="C174" s="202">
        <v>5617</v>
      </c>
      <c r="D174" s="202">
        <v>4923</v>
      </c>
      <c r="E174" s="202">
        <v>7337</v>
      </c>
      <c r="F174" s="202">
        <v>409</v>
      </c>
      <c r="G174" s="202">
        <v>732</v>
      </c>
      <c r="H174" s="202">
        <v>3111</v>
      </c>
      <c r="J174" s="202">
        <v>959</v>
      </c>
      <c r="K174" s="202">
        <v>950</v>
      </c>
      <c r="L174" s="202">
        <v>7813</v>
      </c>
      <c r="M174" s="202">
        <v>-173</v>
      </c>
      <c r="N174" s="202">
        <v>7640</v>
      </c>
    </row>
    <row r="175" spans="1:14" ht="13.8">
      <c r="A175" s="197">
        <v>35200</v>
      </c>
      <c r="B175" s="199" t="s">
        <v>385</v>
      </c>
      <c r="C175" s="202">
        <v>11702</v>
      </c>
      <c r="D175" s="202">
        <v>10256</v>
      </c>
      <c r="E175" s="202">
        <v>15285</v>
      </c>
      <c r="F175" s="202">
        <v>853</v>
      </c>
      <c r="G175" s="202">
        <v>4803</v>
      </c>
      <c r="H175" s="202">
        <v>6482</v>
      </c>
      <c r="J175" s="202">
        <v>1998</v>
      </c>
      <c r="K175" s="202">
        <v>121</v>
      </c>
      <c r="L175" s="202">
        <v>16278</v>
      </c>
      <c r="M175" s="202">
        <v>1417</v>
      </c>
      <c r="N175" s="202">
        <v>17695</v>
      </c>
    </row>
    <row r="176" spans="1:14" ht="13.8">
      <c r="A176" s="197">
        <v>35300</v>
      </c>
      <c r="B176" s="199" t="s">
        <v>386</v>
      </c>
      <c r="C176" s="202">
        <v>92575</v>
      </c>
      <c r="D176" s="202">
        <v>81130</v>
      </c>
      <c r="E176" s="202">
        <v>120916</v>
      </c>
      <c r="F176" s="202">
        <v>6746</v>
      </c>
      <c r="G176" s="202">
        <v>14584</v>
      </c>
      <c r="H176" s="202">
        <v>51276</v>
      </c>
      <c r="J176" s="202">
        <v>15803</v>
      </c>
      <c r="K176" s="202">
        <v>18016</v>
      </c>
      <c r="L176" s="202">
        <v>128772</v>
      </c>
      <c r="M176" s="202">
        <v>-3579</v>
      </c>
      <c r="N176" s="202">
        <v>125193</v>
      </c>
    </row>
    <row r="177" spans="1:14" ht="13.8">
      <c r="A177" s="197">
        <v>35305</v>
      </c>
      <c r="B177" s="199" t="s">
        <v>83</v>
      </c>
      <c r="C177" s="202">
        <v>34591</v>
      </c>
      <c r="D177" s="202">
        <v>30314</v>
      </c>
      <c r="E177" s="202">
        <v>45180</v>
      </c>
      <c r="F177" s="202">
        <v>2521</v>
      </c>
      <c r="G177" s="202">
        <v>4444</v>
      </c>
      <c r="H177" s="202">
        <v>19159</v>
      </c>
      <c r="J177" s="202">
        <v>5905</v>
      </c>
      <c r="K177" s="202">
        <v>6184</v>
      </c>
      <c r="L177" s="202">
        <v>48116</v>
      </c>
      <c r="M177" s="202">
        <v>-426</v>
      </c>
      <c r="N177" s="202">
        <v>47690</v>
      </c>
    </row>
    <row r="178" spans="1:14" ht="13.8">
      <c r="A178" s="198">
        <v>35400</v>
      </c>
      <c r="B178" s="200" t="s">
        <v>387</v>
      </c>
      <c r="C178" s="203">
        <v>78804</v>
      </c>
      <c r="D178" s="203">
        <v>69062</v>
      </c>
      <c r="E178" s="203">
        <v>102929</v>
      </c>
      <c r="F178" s="203">
        <v>5742</v>
      </c>
      <c r="G178" s="203">
        <v>1581</v>
      </c>
      <c r="H178" s="203">
        <v>43648</v>
      </c>
      <c r="J178" s="203">
        <v>13452</v>
      </c>
      <c r="K178" s="203">
        <v>13122</v>
      </c>
      <c r="L178" s="203">
        <v>109616</v>
      </c>
      <c r="M178" s="203">
        <v>-5322</v>
      </c>
      <c r="N178" s="203">
        <v>104294</v>
      </c>
    </row>
    <row r="179" spans="1:14" ht="13.8">
      <c r="A179" s="198">
        <v>35401</v>
      </c>
      <c r="B179" s="200" t="s">
        <v>388</v>
      </c>
      <c r="C179" s="203">
        <v>793</v>
      </c>
      <c r="D179" s="203">
        <v>695</v>
      </c>
      <c r="E179" s="203">
        <v>1035</v>
      </c>
      <c r="F179" s="203">
        <v>58</v>
      </c>
      <c r="G179" s="203">
        <v>467</v>
      </c>
      <c r="H179" s="203">
        <v>439</v>
      </c>
      <c r="J179" s="203">
        <v>135</v>
      </c>
      <c r="K179" s="203">
        <v>889</v>
      </c>
      <c r="L179" s="203">
        <v>1102</v>
      </c>
      <c r="M179" s="203">
        <v>43</v>
      </c>
      <c r="N179" s="203">
        <v>1145</v>
      </c>
    </row>
    <row r="180" spans="1:14" ht="13.8">
      <c r="A180" s="198">
        <v>35405</v>
      </c>
      <c r="B180" s="200" t="s">
        <v>84</v>
      </c>
      <c r="C180" s="203">
        <v>19601</v>
      </c>
      <c r="D180" s="203">
        <v>17178</v>
      </c>
      <c r="E180" s="203">
        <v>25602</v>
      </c>
      <c r="F180" s="203">
        <v>1428</v>
      </c>
      <c r="G180" s="203">
        <v>6421</v>
      </c>
      <c r="H180" s="203">
        <v>10857</v>
      </c>
      <c r="J180" s="203">
        <v>3346</v>
      </c>
      <c r="K180" s="203">
        <v>945</v>
      </c>
      <c r="L180" s="203">
        <v>27265</v>
      </c>
      <c r="M180" s="203">
        <v>1718</v>
      </c>
      <c r="N180" s="203">
        <v>28983</v>
      </c>
    </row>
    <row r="181" spans="1:14" ht="13.8">
      <c r="A181" s="198">
        <v>35500</v>
      </c>
      <c r="B181" s="200" t="s">
        <v>389</v>
      </c>
      <c r="C181" s="203">
        <v>94778</v>
      </c>
      <c r="D181" s="203">
        <v>83060</v>
      </c>
      <c r="E181" s="203">
        <v>123792</v>
      </c>
      <c r="F181" s="203">
        <v>6906</v>
      </c>
      <c r="G181" s="203">
        <v>8059</v>
      </c>
      <c r="H181" s="203">
        <v>52495</v>
      </c>
      <c r="J181" s="203">
        <v>16179</v>
      </c>
      <c r="K181" s="203">
        <v>6767</v>
      </c>
      <c r="L181" s="203">
        <v>131835</v>
      </c>
      <c r="M181" s="203">
        <v>-654</v>
      </c>
      <c r="N181" s="203">
        <v>131181</v>
      </c>
    </row>
    <row r="182" spans="1:14" ht="13.8">
      <c r="A182" s="198">
        <v>35600</v>
      </c>
      <c r="B182" s="200" t="s">
        <v>390</v>
      </c>
      <c r="C182" s="203">
        <v>43059</v>
      </c>
      <c r="D182" s="203">
        <v>37736</v>
      </c>
      <c r="E182" s="203">
        <v>56241</v>
      </c>
      <c r="F182" s="203">
        <v>3138</v>
      </c>
      <c r="G182" s="203">
        <v>4735</v>
      </c>
      <c r="H182" s="203">
        <v>23849</v>
      </c>
      <c r="J182" s="203">
        <v>7350</v>
      </c>
      <c r="K182" s="203">
        <v>8073</v>
      </c>
      <c r="L182" s="203">
        <v>59895</v>
      </c>
      <c r="M182" s="203">
        <v>-1074</v>
      </c>
      <c r="N182" s="203">
        <v>58821</v>
      </c>
    </row>
    <row r="183" spans="1:14" ht="13.8">
      <c r="A183" s="198">
        <v>35700</v>
      </c>
      <c r="B183" s="200" t="s">
        <v>391</v>
      </c>
      <c r="C183" s="203">
        <v>22865</v>
      </c>
      <c r="D183" s="203">
        <v>20038</v>
      </c>
      <c r="E183" s="203">
        <v>29864</v>
      </c>
      <c r="F183" s="203">
        <v>1666</v>
      </c>
      <c r="G183" s="203">
        <v>3152</v>
      </c>
      <c r="H183" s="203">
        <v>12664</v>
      </c>
      <c r="J183" s="203">
        <v>3903</v>
      </c>
      <c r="K183" s="203">
        <v>695</v>
      </c>
      <c r="L183" s="203">
        <v>31805</v>
      </c>
      <c r="M183" s="203">
        <v>396</v>
      </c>
      <c r="N183" s="203">
        <v>32201</v>
      </c>
    </row>
    <row r="184" spans="1:14" ht="13.8">
      <c r="A184" s="197">
        <v>35800</v>
      </c>
      <c r="B184" s="199" t="s">
        <v>392</v>
      </c>
      <c r="C184" s="202">
        <v>25793</v>
      </c>
      <c r="D184" s="202">
        <v>22604</v>
      </c>
      <c r="E184" s="202">
        <v>33689</v>
      </c>
      <c r="F184" s="202">
        <v>1879</v>
      </c>
      <c r="G184" s="202">
        <v>12272</v>
      </c>
      <c r="H184" s="202">
        <v>14286</v>
      </c>
      <c r="J184" s="202">
        <v>4403</v>
      </c>
      <c r="K184" s="202">
        <v>0</v>
      </c>
      <c r="L184" s="202">
        <v>35878</v>
      </c>
      <c r="M184" s="202">
        <v>3907</v>
      </c>
      <c r="N184" s="202">
        <v>39785</v>
      </c>
    </row>
    <row r="185" spans="1:14" ht="13.8">
      <c r="A185" s="197">
        <v>35805</v>
      </c>
      <c r="B185" s="199" t="s">
        <v>85</v>
      </c>
      <c r="C185" s="202">
        <v>5027</v>
      </c>
      <c r="D185" s="202">
        <v>4405</v>
      </c>
      <c r="E185" s="202">
        <v>6565</v>
      </c>
      <c r="F185" s="202">
        <v>366</v>
      </c>
      <c r="G185" s="202">
        <v>3318</v>
      </c>
      <c r="H185" s="202">
        <v>2784</v>
      </c>
      <c r="J185" s="202">
        <v>858</v>
      </c>
      <c r="K185" s="202">
        <v>520</v>
      </c>
      <c r="L185" s="202">
        <v>6992</v>
      </c>
      <c r="M185" s="202">
        <v>1042</v>
      </c>
      <c r="N185" s="202">
        <v>8034</v>
      </c>
    </row>
    <row r="186" spans="1:14" ht="13.8">
      <c r="A186" s="197">
        <v>35900</v>
      </c>
      <c r="B186" s="199" t="s">
        <v>393</v>
      </c>
      <c r="C186" s="202">
        <v>51599</v>
      </c>
      <c r="D186" s="202">
        <v>45220</v>
      </c>
      <c r="E186" s="202">
        <v>67395</v>
      </c>
      <c r="F186" s="202">
        <v>3760</v>
      </c>
      <c r="G186" s="202">
        <v>12983</v>
      </c>
      <c r="H186" s="202">
        <v>28580</v>
      </c>
      <c r="J186" s="202">
        <v>8808</v>
      </c>
      <c r="K186" s="202">
        <v>117</v>
      </c>
      <c r="L186" s="202">
        <v>71774</v>
      </c>
      <c r="M186" s="202">
        <v>3307</v>
      </c>
      <c r="N186" s="202">
        <v>75081</v>
      </c>
    </row>
    <row r="187" spans="1:14" ht="13.8">
      <c r="A187" s="197">
        <v>35905</v>
      </c>
      <c r="B187" s="199" t="s">
        <v>86</v>
      </c>
      <c r="C187" s="202">
        <v>7761</v>
      </c>
      <c r="D187" s="202">
        <v>6801</v>
      </c>
      <c r="E187" s="202">
        <v>10137</v>
      </c>
      <c r="F187" s="202">
        <v>566</v>
      </c>
      <c r="G187" s="202">
        <v>4871</v>
      </c>
      <c r="H187" s="202">
        <v>4299</v>
      </c>
      <c r="J187" s="202">
        <v>1325</v>
      </c>
      <c r="K187" s="202">
        <v>359</v>
      </c>
      <c r="L187" s="202">
        <v>10795</v>
      </c>
      <c r="M187" s="202">
        <v>1499</v>
      </c>
      <c r="N187" s="202">
        <v>12294</v>
      </c>
    </row>
    <row r="188" spans="1:14" ht="13.8">
      <c r="A188" s="197">
        <v>36000</v>
      </c>
      <c r="B188" s="199" t="s">
        <v>394</v>
      </c>
      <c r="C188" s="202">
        <v>1363077</v>
      </c>
      <c r="D188" s="202">
        <v>1194563</v>
      </c>
      <c r="E188" s="202">
        <v>1780364</v>
      </c>
      <c r="F188" s="202">
        <v>99325</v>
      </c>
      <c r="G188" s="202">
        <v>39721</v>
      </c>
      <c r="H188" s="202">
        <v>754981</v>
      </c>
      <c r="J188" s="202">
        <v>232680</v>
      </c>
      <c r="K188" s="202">
        <v>262919</v>
      </c>
      <c r="L188" s="202">
        <v>1896038</v>
      </c>
      <c r="M188" s="202">
        <v>-54676</v>
      </c>
      <c r="N188" s="202">
        <v>1841362</v>
      </c>
    </row>
    <row r="189" spans="1:14" ht="13.8">
      <c r="A189" s="197">
        <v>36001</v>
      </c>
      <c r="B189" s="199" t="s">
        <v>395</v>
      </c>
      <c r="C189" s="202">
        <v>0</v>
      </c>
      <c r="D189" s="202">
        <v>0</v>
      </c>
      <c r="E189" s="202">
        <v>0</v>
      </c>
      <c r="F189" s="202">
        <v>0</v>
      </c>
      <c r="G189" s="202">
        <v>339</v>
      </c>
      <c r="H189" s="202">
        <v>0</v>
      </c>
      <c r="J189" s="202">
        <v>0</v>
      </c>
      <c r="K189" s="202">
        <v>0</v>
      </c>
      <c r="L189" s="202">
        <v>0</v>
      </c>
      <c r="M189" s="202">
        <v>339</v>
      </c>
      <c r="N189" s="202">
        <v>339</v>
      </c>
    </row>
    <row r="190" spans="1:14" ht="13.8">
      <c r="A190" s="198">
        <v>36003</v>
      </c>
      <c r="B190" s="200" t="s">
        <v>396</v>
      </c>
      <c r="C190" s="203">
        <v>9870</v>
      </c>
      <c r="D190" s="203">
        <v>8650</v>
      </c>
      <c r="E190" s="203">
        <v>12891</v>
      </c>
      <c r="F190" s="203">
        <v>719</v>
      </c>
      <c r="G190" s="203">
        <v>2269</v>
      </c>
      <c r="H190" s="203">
        <v>5467</v>
      </c>
      <c r="J190" s="203">
        <v>1685</v>
      </c>
      <c r="K190" s="203">
        <v>2118</v>
      </c>
      <c r="L190" s="203">
        <v>13729</v>
      </c>
      <c r="M190" s="203">
        <v>175</v>
      </c>
      <c r="N190" s="203">
        <v>13904</v>
      </c>
    </row>
    <row r="191" spans="1:14" ht="13.8">
      <c r="A191" s="198">
        <v>36004</v>
      </c>
      <c r="B191" s="200" t="s">
        <v>397</v>
      </c>
      <c r="C191" s="203">
        <v>8684</v>
      </c>
      <c r="D191" s="203">
        <v>7610</v>
      </c>
      <c r="E191" s="203">
        <v>11342</v>
      </c>
      <c r="F191" s="203">
        <v>633</v>
      </c>
      <c r="G191" s="203">
        <v>0</v>
      </c>
      <c r="H191" s="203">
        <v>4810</v>
      </c>
      <c r="J191" s="203">
        <v>1482</v>
      </c>
      <c r="K191" s="203">
        <v>7232</v>
      </c>
      <c r="L191" s="203">
        <v>12079</v>
      </c>
      <c r="M191" s="203">
        <v>-1923</v>
      </c>
      <c r="N191" s="203">
        <v>10156</v>
      </c>
    </row>
    <row r="192" spans="1:14" ht="13.8">
      <c r="A192" s="198">
        <v>36005</v>
      </c>
      <c r="B192" s="200" t="s">
        <v>87</v>
      </c>
      <c r="C192" s="203">
        <v>95908</v>
      </c>
      <c r="D192" s="203">
        <v>84051</v>
      </c>
      <c r="E192" s="203">
        <v>125269</v>
      </c>
      <c r="F192" s="203">
        <v>6989</v>
      </c>
      <c r="G192" s="203">
        <v>38837</v>
      </c>
      <c r="H192" s="203">
        <v>53121</v>
      </c>
      <c r="J192" s="203">
        <v>16372</v>
      </c>
      <c r="K192" s="203">
        <v>0</v>
      </c>
      <c r="L192" s="203">
        <v>133408</v>
      </c>
      <c r="M192" s="203">
        <v>10227</v>
      </c>
      <c r="N192" s="203">
        <v>143635</v>
      </c>
    </row>
    <row r="193" spans="1:14" ht="13.8">
      <c r="A193" s="198">
        <v>36006</v>
      </c>
      <c r="B193" s="200" t="s">
        <v>398</v>
      </c>
      <c r="C193" s="203">
        <v>16253</v>
      </c>
      <c r="D193" s="203">
        <v>14244</v>
      </c>
      <c r="E193" s="203">
        <v>21228</v>
      </c>
      <c r="F193" s="203">
        <v>1184</v>
      </c>
      <c r="G193" s="203">
        <v>80</v>
      </c>
      <c r="H193" s="203">
        <v>9002</v>
      </c>
      <c r="J193" s="203">
        <v>2774</v>
      </c>
      <c r="K193" s="203">
        <v>8254</v>
      </c>
      <c r="L193" s="203">
        <v>22608</v>
      </c>
      <c r="M193" s="203">
        <v>-3244</v>
      </c>
      <c r="N193" s="203">
        <v>19364</v>
      </c>
    </row>
    <row r="194" spans="1:14" ht="13.8">
      <c r="A194" s="198">
        <v>36007</v>
      </c>
      <c r="B194" s="200" t="s">
        <v>399</v>
      </c>
      <c r="C194" s="203">
        <v>6827</v>
      </c>
      <c r="D194" s="203">
        <v>5983</v>
      </c>
      <c r="E194" s="203">
        <v>8917</v>
      </c>
      <c r="F194" s="203">
        <v>497</v>
      </c>
      <c r="G194" s="203">
        <v>0</v>
      </c>
      <c r="H194" s="203">
        <v>3781</v>
      </c>
      <c r="J194" s="203">
        <v>1165</v>
      </c>
      <c r="K194" s="203">
        <v>4883</v>
      </c>
      <c r="L194" s="203">
        <v>9497</v>
      </c>
      <c r="M194" s="203">
        <v>-1489</v>
      </c>
      <c r="N194" s="203">
        <v>8008</v>
      </c>
    </row>
    <row r="195" spans="1:14" ht="13.8">
      <c r="A195" s="198">
        <v>36008</v>
      </c>
      <c r="B195" s="200" t="s">
        <v>400</v>
      </c>
      <c r="C195" s="203">
        <v>15048</v>
      </c>
      <c r="D195" s="203">
        <v>13188</v>
      </c>
      <c r="E195" s="203">
        <v>19655</v>
      </c>
      <c r="F195" s="203">
        <v>1097</v>
      </c>
      <c r="G195" s="203">
        <v>40</v>
      </c>
      <c r="H195" s="203">
        <v>8335</v>
      </c>
      <c r="J195" s="203">
        <v>2569</v>
      </c>
      <c r="K195" s="203">
        <v>7393</v>
      </c>
      <c r="L195" s="203">
        <v>20932</v>
      </c>
      <c r="M195" s="203">
        <v>-1883</v>
      </c>
      <c r="N195" s="203">
        <v>19049</v>
      </c>
    </row>
    <row r="196" spans="1:14" ht="13.8">
      <c r="A196" s="197">
        <v>36009</v>
      </c>
      <c r="B196" s="199" t="s">
        <v>401</v>
      </c>
      <c r="C196" s="202">
        <v>1654</v>
      </c>
      <c r="D196" s="202">
        <v>1450</v>
      </c>
      <c r="E196" s="202">
        <v>2161</v>
      </c>
      <c r="F196" s="202">
        <v>121</v>
      </c>
      <c r="G196" s="202">
        <v>2562</v>
      </c>
      <c r="H196" s="202">
        <v>916</v>
      </c>
      <c r="J196" s="202">
        <v>282</v>
      </c>
      <c r="K196" s="202">
        <v>817</v>
      </c>
      <c r="L196" s="202">
        <v>2301</v>
      </c>
      <c r="M196" s="202">
        <v>483</v>
      </c>
      <c r="N196" s="202">
        <v>2784</v>
      </c>
    </row>
    <row r="197" spans="1:14" ht="13.8">
      <c r="A197" s="197">
        <v>36100</v>
      </c>
      <c r="B197" s="199" t="s">
        <v>402</v>
      </c>
      <c r="C197" s="202">
        <v>16575</v>
      </c>
      <c r="D197" s="202">
        <v>14526</v>
      </c>
      <c r="E197" s="202">
        <v>21649</v>
      </c>
      <c r="F197" s="202">
        <v>1208</v>
      </c>
      <c r="G197" s="202">
        <v>4683</v>
      </c>
      <c r="H197" s="202">
        <v>9180</v>
      </c>
      <c r="J197" s="202">
        <v>2829</v>
      </c>
      <c r="K197" s="202">
        <v>329</v>
      </c>
      <c r="L197" s="202">
        <v>23055</v>
      </c>
      <c r="M197" s="202">
        <v>1058</v>
      </c>
      <c r="N197" s="202">
        <v>24113</v>
      </c>
    </row>
    <row r="198" spans="1:14" ht="13.8">
      <c r="A198" s="197">
        <v>36102</v>
      </c>
      <c r="B198" s="199" t="s">
        <v>403</v>
      </c>
      <c r="C198" s="202">
        <v>0</v>
      </c>
      <c r="D198" s="202">
        <v>0</v>
      </c>
      <c r="E198" s="202">
        <v>0</v>
      </c>
      <c r="F198" s="202">
        <v>0</v>
      </c>
      <c r="G198" s="202">
        <v>14908</v>
      </c>
      <c r="H198" s="202">
        <v>0</v>
      </c>
      <c r="J198" s="202">
        <v>0</v>
      </c>
      <c r="K198" s="202">
        <v>3948</v>
      </c>
      <c r="L198" s="202">
        <v>0</v>
      </c>
      <c r="M198" s="202">
        <v>918</v>
      </c>
      <c r="N198" s="202">
        <v>918</v>
      </c>
    </row>
    <row r="199" spans="1:14" ht="13.8">
      <c r="A199" s="197">
        <v>36105</v>
      </c>
      <c r="B199" s="199" t="s">
        <v>88</v>
      </c>
      <c r="C199" s="202">
        <v>7394</v>
      </c>
      <c r="D199" s="202">
        <v>6480</v>
      </c>
      <c r="E199" s="202">
        <v>9657</v>
      </c>
      <c r="F199" s="202">
        <v>539</v>
      </c>
      <c r="G199" s="202">
        <v>5071</v>
      </c>
      <c r="H199" s="202">
        <v>4095</v>
      </c>
      <c r="J199" s="202">
        <v>1262</v>
      </c>
      <c r="K199" s="202">
        <v>0</v>
      </c>
      <c r="L199" s="202">
        <v>10285</v>
      </c>
      <c r="M199" s="202">
        <v>1476</v>
      </c>
      <c r="N199" s="202">
        <v>11761</v>
      </c>
    </row>
    <row r="200" spans="1:14" ht="13.8">
      <c r="A200" s="197">
        <v>36200</v>
      </c>
      <c r="B200" s="199" t="s">
        <v>404</v>
      </c>
      <c r="C200" s="202">
        <v>30966</v>
      </c>
      <c r="D200" s="202">
        <v>27138</v>
      </c>
      <c r="E200" s="202">
        <v>40445</v>
      </c>
      <c r="F200" s="202">
        <v>2256</v>
      </c>
      <c r="G200" s="202">
        <v>15714</v>
      </c>
      <c r="H200" s="202">
        <v>17151</v>
      </c>
      <c r="J200" s="202">
        <v>5286</v>
      </c>
      <c r="K200" s="202">
        <v>0</v>
      </c>
      <c r="L200" s="202">
        <v>43073</v>
      </c>
      <c r="M200" s="202">
        <v>3649</v>
      </c>
      <c r="N200" s="202">
        <v>46722</v>
      </c>
    </row>
    <row r="201" spans="1:14" ht="13.8">
      <c r="A201" s="197">
        <v>36205</v>
      </c>
      <c r="B201" s="199" t="s">
        <v>89</v>
      </c>
      <c r="C201" s="202">
        <v>6681</v>
      </c>
      <c r="D201" s="202">
        <v>5855</v>
      </c>
      <c r="E201" s="202">
        <v>8726</v>
      </c>
      <c r="F201" s="202">
        <v>487</v>
      </c>
      <c r="G201" s="202">
        <v>345</v>
      </c>
      <c r="H201" s="202">
        <v>3700</v>
      </c>
      <c r="J201" s="202">
        <v>1140</v>
      </c>
      <c r="K201" s="202">
        <v>1122</v>
      </c>
      <c r="L201" s="202">
        <v>9293</v>
      </c>
      <c r="M201" s="202">
        <v>-236</v>
      </c>
      <c r="N201" s="202">
        <v>9057</v>
      </c>
    </row>
    <row r="202" spans="1:14" ht="13.8">
      <c r="A202" s="198">
        <v>36300</v>
      </c>
      <c r="B202" s="200" t="s">
        <v>405</v>
      </c>
      <c r="C202" s="203">
        <v>112698</v>
      </c>
      <c r="D202" s="203">
        <v>98765</v>
      </c>
      <c r="E202" s="203">
        <v>147199</v>
      </c>
      <c r="F202" s="203">
        <v>8212</v>
      </c>
      <c r="G202" s="203">
        <v>8427</v>
      </c>
      <c r="H202" s="203">
        <v>62421</v>
      </c>
      <c r="J202" s="203">
        <v>19238</v>
      </c>
      <c r="K202" s="203">
        <v>3905</v>
      </c>
      <c r="L202" s="203">
        <v>156763</v>
      </c>
      <c r="M202" s="203">
        <v>1102</v>
      </c>
      <c r="N202" s="203">
        <v>157865</v>
      </c>
    </row>
    <row r="203" spans="1:14" ht="13.8">
      <c r="A203" s="198">
        <v>36301</v>
      </c>
      <c r="B203" s="200" t="s">
        <v>406</v>
      </c>
      <c r="C203" s="203">
        <v>2814</v>
      </c>
      <c r="D203" s="203">
        <v>2466</v>
      </c>
      <c r="E203" s="203">
        <v>3675</v>
      </c>
      <c r="F203" s="203">
        <v>205</v>
      </c>
      <c r="G203" s="203">
        <v>388</v>
      </c>
      <c r="H203" s="203">
        <v>1559</v>
      </c>
      <c r="J203" s="203">
        <v>480</v>
      </c>
      <c r="K203" s="203">
        <v>2471</v>
      </c>
      <c r="L203" s="203">
        <v>3914</v>
      </c>
      <c r="M203" s="203">
        <v>-445</v>
      </c>
      <c r="N203" s="203">
        <v>3469</v>
      </c>
    </row>
    <row r="204" spans="1:14" ht="13.8">
      <c r="A204" s="198">
        <v>36302</v>
      </c>
      <c r="B204" s="200" t="s">
        <v>407</v>
      </c>
      <c r="C204" s="203">
        <v>5056</v>
      </c>
      <c r="D204" s="203">
        <v>4431</v>
      </c>
      <c r="E204" s="203">
        <v>6604</v>
      </c>
      <c r="F204" s="203">
        <v>368</v>
      </c>
      <c r="G204" s="203">
        <v>33</v>
      </c>
      <c r="H204" s="203">
        <v>2800</v>
      </c>
      <c r="J204" s="203">
        <v>863</v>
      </c>
      <c r="K204" s="203">
        <v>4891</v>
      </c>
      <c r="L204" s="203">
        <v>7033</v>
      </c>
      <c r="M204" s="203">
        <v>-1339</v>
      </c>
      <c r="N204" s="203">
        <v>5694</v>
      </c>
    </row>
    <row r="205" spans="1:14" ht="13.8">
      <c r="A205" s="198">
        <v>36303</v>
      </c>
      <c r="B205" s="200" t="s">
        <v>408</v>
      </c>
      <c r="C205" s="203">
        <v>6636</v>
      </c>
      <c r="D205" s="203">
        <v>5815</v>
      </c>
      <c r="E205" s="203">
        <v>8667</v>
      </c>
      <c r="F205" s="203">
        <v>484</v>
      </c>
      <c r="G205" s="203">
        <v>0</v>
      </c>
      <c r="H205" s="203">
        <v>3675</v>
      </c>
      <c r="J205" s="203">
        <v>1133</v>
      </c>
      <c r="K205" s="203">
        <v>9237</v>
      </c>
      <c r="L205" s="203">
        <v>9230</v>
      </c>
      <c r="M205" s="203">
        <v>-4018</v>
      </c>
      <c r="N205" s="203">
        <v>5212</v>
      </c>
    </row>
    <row r="206" spans="1:14" ht="13.8">
      <c r="A206" s="198">
        <v>36305</v>
      </c>
      <c r="B206" s="200" t="s">
        <v>90</v>
      </c>
      <c r="C206" s="203">
        <v>23825</v>
      </c>
      <c r="D206" s="203">
        <v>20879</v>
      </c>
      <c r="E206" s="203">
        <v>31118</v>
      </c>
      <c r="F206" s="203">
        <v>1736</v>
      </c>
      <c r="G206" s="203">
        <v>3790</v>
      </c>
      <c r="H206" s="203">
        <v>13196</v>
      </c>
      <c r="J206" s="203">
        <v>4067</v>
      </c>
      <c r="K206" s="203">
        <v>1050</v>
      </c>
      <c r="L206" s="203">
        <v>33140</v>
      </c>
      <c r="M206" s="203">
        <v>871</v>
      </c>
      <c r="N206" s="203">
        <v>34011</v>
      </c>
    </row>
    <row r="207" spans="1:14" ht="13.8">
      <c r="A207" s="198">
        <v>36310</v>
      </c>
      <c r="B207" s="200" t="s">
        <v>409</v>
      </c>
      <c r="C207" s="203">
        <v>0</v>
      </c>
      <c r="D207" s="203">
        <v>0</v>
      </c>
      <c r="E207" s="203">
        <v>0</v>
      </c>
      <c r="F207" s="203">
        <v>0</v>
      </c>
      <c r="G207" s="203">
        <v>467</v>
      </c>
      <c r="H207" s="203">
        <v>0</v>
      </c>
      <c r="J207" s="203">
        <v>0</v>
      </c>
      <c r="K207" s="203">
        <v>0</v>
      </c>
      <c r="L207" s="203">
        <v>0</v>
      </c>
      <c r="M207" s="203">
        <v>465</v>
      </c>
      <c r="N207" s="203">
        <v>465</v>
      </c>
    </row>
    <row r="208" spans="1:14" ht="13.8">
      <c r="A208" s="197">
        <v>36400</v>
      </c>
      <c r="B208" s="199" t="s">
        <v>410</v>
      </c>
      <c r="C208" s="202">
        <v>114823</v>
      </c>
      <c r="D208" s="202">
        <v>100628</v>
      </c>
      <c r="E208" s="202">
        <v>149974</v>
      </c>
      <c r="F208" s="202">
        <v>8367</v>
      </c>
      <c r="G208" s="202">
        <v>37942</v>
      </c>
      <c r="H208" s="202">
        <v>63598</v>
      </c>
      <c r="J208" s="202">
        <v>19601</v>
      </c>
      <c r="K208" s="202">
        <v>2829</v>
      </c>
      <c r="L208" s="202">
        <v>159719</v>
      </c>
      <c r="M208" s="202">
        <v>10470</v>
      </c>
      <c r="N208" s="202">
        <v>170189</v>
      </c>
    </row>
    <row r="209" spans="1:14" ht="13.8">
      <c r="A209" s="197">
        <v>36405</v>
      </c>
      <c r="B209" s="199" t="s">
        <v>411</v>
      </c>
      <c r="C209" s="202">
        <v>16638</v>
      </c>
      <c r="D209" s="202">
        <v>14581</v>
      </c>
      <c r="E209" s="202">
        <v>21732</v>
      </c>
      <c r="F209" s="202">
        <v>1212</v>
      </c>
      <c r="G209" s="202">
        <v>8598</v>
      </c>
      <c r="H209" s="202">
        <v>9216</v>
      </c>
      <c r="J209" s="202">
        <v>2840</v>
      </c>
      <c r="K209" s="202">
        <v>0</v>
      </c>
      <c r="L209" s="202">
        <v>23144</v>
      </c>
      <c r="M209" s="202">
        <v>2856</v>
      </c>
      <c r="N209" s="202">
        <v>26000</v>
      </c>
    </row>
    <row r="210" spans="1:14" ht="13.8">
      <c r="A210" s="197">
        <v>36500</v>
      </c>
      <c r="B210" s="199" t="s">
        <v>412</v>
      </c>
      <c r="C210" s="202">
        <v>275308</v>
      </c>
      <c r="D210" s="202">
        <v>241273</v>
      </c>
      <c r="E210" s="202">
        <v>359590</v>
      </c>
      <c r="F210" s="202">
        <v>20061</v>
      </c>
      <c r="G210" s="202">
        <v>10756</v>
      </c>
      <c r="H210" s="202">
        <v>152488</v>
      </c>
      <c r="J210" s="202">
        <v>46996</v>
      </c>
      <c r="K210" s="202">
        <v>43679</v>
      </c>
      <c r="L210" s="202">
        <v>382954</v>
      </c>
      <c r="M210" s="202">
        <v>-14845</v>
      </c>
      <c r="N210" s="202">
        <v>368109</v>
      </c>
    </row>
    <row r="211" spans="1:14" ht="13.8">
      <c r="A211" s="197">
        <v>36501</v>
      </c>
      <c r="B211" s="199" t="s">
        <v>413</v>
      </c>
      <c r="C211" s="202">
        <v>3556</v>
      </c>
      <c r="D211" s="202">
        <v>3116</v>
      </c>
      <c r="E211" s="202">
        <v>4644</v>
      </c>
      <c r="F211" s="202">
        <v>259</v>
      </c>
      <c r="G211" s="202">
        <v>93</v>
      </c>
      <c r="H211" s="202">
        <v>1970</v>
      </c>
      <c r="J211" s="202">
        <v>607</v>
      </c>
      <c r="K211" s="202">
        <v>1820</v>
      </c>
      <c r="L211" s="202">
        <v>4946</v>
      </c>
      <c r="M211" s="202">
        <v>-435</v>
      </c>
      <c r="N211" s="202">
        <v>4511</v>
      </c>
    </row>
    <row r="212" spans="1:14" ht="13.8">
      <c r="A212" s="197">
        <v>36502</v>
      </c>
      <c r="B212" s="199" t="s">
        <v>414</v>
      </c>
      <c r="C212" s="202">
        <v>598</v>
      </c>
      <c r="D212" s="202">
        <v>524</v>
      </c>
      <c r="E212" s="202">
        <v>782</v>
      </c>
      <c r="F212" s="202">
        <v>44</v>
      </c>
      <c r="G212" s="202">
        <v>767</v>
      </c>
      <c r="H212" s="202">
        <v>331</v>
      </c>
      <c r="J212" s="202">
        <v>102</v>
      </c>
      <c r="K212" s="202">
        <v>230</v>
      </c>
      <c r="L212" s="202">
        <v>832</v>
      </c>
      <c r="M212" s="202">
        <v>95</v>
      </c>
      <c r="N212" s="202">
        <v>927</v>
      </c>
    </row>
    <row r="213" spans="1:14" ht="13.8">
      <c r="A213" s="197">
        <v>36505</v>
      </c>
      <c r="B213" s="199" t="s">
        <v>92</v>
      </c>
      <c r="C213" s="202">
        <v>49788</v>
      </c>
      <c r="D213" s="202">
        <v>43633</v>
      </c>
      <c r="E213" s="202">
        <v>65030</v>
      </c>
      <c r="F213" s="202">
        <v>3628</v>
      </c>
      <c r="G213" s="202">
        <v>11195</v>
      </c>
      <c r="H213" s="202">
        <v>27576</v>
      </c>
      <c r="J213" s="202">
        <v>8499</v>
      </c>
      <c r="K213" s="202">
        <v>2583</v>
      </c>
      <c r="L213" s="202">
        <v>69255</v>
      </c>
      <c r="M213" s="202">
        <v>2395</v>
      </c>
      <c r="N213" s="202">
        <v>71650</v>
      </c>
    </row>
    <row r="214" spans="1:14" ht="13.8">
      <c r="A214" s="198">
        <v>36600</v>
      </c>
      <c r="B214" s="200" t="s">
        <v>415</v>
      </c>
      <c r="C214" s="203">
        <v>12099</v>
      </c>
      <c r="D214" s="203">
        <v>10603</v>
      </c>
      <c r="E214" s="203">
        <v>15802</v>
      </c>
      <c r="F214" s="203">
        <v>882</v>
      </c>
      <c r="G214" s="203">
        <v>12379</v>
      </c>
      <c r="H214" s="203">
        <v>6701</v>
      </c>
      <c r="J214" s="203">
        <v>2065</v>
      </c>
      <c r="K214" s="203">
        <v>0</v>
      </c>
      <c r="L214" s="203">
        <v>16829</v>
      </c>
      <c r="M214" s="203">
        <v>3461</v>
      </c>
      <c r="N214" s="203">
        <v>20290</v>
      </c>
    </row>
    <row r="215" spans="1:14" ht="13.8">
      <c r="A215" s="198">
        <v>36601</v>
      </c>
      <c r="B215" s="200" t="s">
        <v>416</v>
      </c>
      <c r="C215" s="203">
        <v>0</v>
      </c>
      <c r="D215" s="203">
        <v>0</v>
      </c>
      <c r="E215" s="203">
        <v>0</v>
      </c>
      <c r="F215" s="203">
        <v>0</v>
      </c>
      <c r="G215" s="203">
        <v>15565</v>
      </c>
      <c r="H215" s="203">
        <v>0</v>
      </c>
      <c r="J215" s="203">
        <v>0</v>
      </c>
      <c r="K215" s="203">
        <v>689</v>
      </c>
      <c r="L215" s="203">
        <v>0</v>
      </c>
      <c r="M215" s="203">
        <v>3081</v>
      </c>
      <c r="N215" s="203">
        <v>3081</v>
      </c>
    </row>
    <row r="216" spans="1:14" ht="13.8">
      <c r="A216" s="198">
        <v>36700</v>
      </c>
      <c r="B216" s="200" t="s">
        <v>417</v>
      </c>
      <c r="C216" s="203">
        <v>225941</v>
      </c>
      <c r="D216" s="203">
        <v>198008</v>
      </c>
      <c r="E216" s="203">
        <v>295110</v>
      </c>
      <c r="F216" s="203">
        <v>16464</v>
      </c>
      <c r="G216" s="203">
        <v>6119</v>
      </c>
      <c r="H216" s="203">
        <v>125144</v>
      </c>
      <c r="J216" s="203">
        <v>38569</v>
      </c>
      <c r="K216" s="203">
        <v>32218</v>
      </c>
      <c r="L216" s="203">
        <v>314284</v>
      </c>
      <c r="M216" s="203">
        <v>-13016</v>
      </c>
      <c r="N216" s="203">
        <v>301268</v>
      </c>
    </row>
    <row r="217" spans="1:14" ht="13.8">
      <c r="A217" s="198">
        <v>36701</v>
      </c>
      <c r="B217" s="200" t="s">
        <v>418</v>
      </c>
      <c r="C217" s="203">
        <v>606</v>
      </c>
      <c r="D217" s="203">
        <v>531</v>
      </c>
      <c r="E217" s="203">
        <v>792</v>
      </c>
      <c r="F217" s="203">
        <v>44</v>
      </c>
      <c r="G217" s="203">
        <v>487</v>
      </c>
      <c r="H217" s="203">
        <v>336</v>
      </c>
      <c r="J217" s="203">
        <v>104</v>
      </c>
      <c r="K217" s="203">
        <v>945</v>
      </c>
      <c r="L217" s="203">
        <v>843</v>
      </c>
      <c r="M217" s="203">
        <v>-70</v>
      </c>
      <c r="N217" s="203">
        <v>773</v>
      </c>
    </row>
    <row r="218" spans="1:14" ht="13.8">
      <c r="A218" s="198">
        <v>36705</v>
      </c>
      <c r="B218" s="200" t="s">
        <v>93</v>
      </c>
      <c r="C218" s="203">
        <v>21314</v>
      </c>
      <c r="D218" s="203">
        <v>18679</v>
      </c>
      <c r="E218" s="203">
        <v>27839</v>
      </c>
      <c r="F218" s="203">
        <v>1553</v>
      </c>
      <c r="G218" s="203">
        <v>9115</v>
      </c>
      <c r="H218" s="203">
        <v>11805</v>
      </c>
      <c r="J218" s="203">
        <v>3638</v>
      </c>
      <c r="K218" s="203">
        <v>3715</v>
      </c>
      <c r="L218" s="203">
        <v>29648</v>
      </c>
      <c r="M218" s="203">
        <v>1758</v>
      </c>
      <c r="N218" s="203">
        <v>31406</v>
      </c>
    </row>
    <row r="219" spans="1:14" ht="13.8">
      <c r="A219" s="198">
        <v>36800</v>
      </c>
      <c r="B219" s="200" t="s">
        <v>419</v>
      </c>
      <c r="C219" s="203">
        <v>81437</v>
      </c>
      <c r="D219" s="203">
        <v>71369</v>
      </c>
      <c r="E219" s="203">
        <v>106368</v>
      </c>
      <c r="F219" s="203">
        <v>5934</v>
      </c>
      <c r="G219" s="203">
        <v>12393</v>
      </c>
      <c r="H219" s="203">
        <v>45106</v>
      </c>
      <c r="J219" s="203">
        <v>13901</v>
      </c>
      <c r="K219" s="203">
        <v>7359</v>
      </c>
      <c r="L219" s="203">
        <v>113279</v>
      </c>
      <c r="M219" s="203">
        <v>-643</v>
      </c>
      <c r="N219" s="203">
        <v>112636</v>
      </c>
    </row>
    <row r="220" spans="1:14" ht="13.8">
      <c r="A220" s="197">
        <v>36802</v>
      </c>
      <c r="B220" s="199" t="s">
        <v>420</v>
      </c>
      <c r="C220" s="202">
        <v>6210</v>
      </c>
      <c r="D220" s="202">
        <v>5442</v>
      </c>
      <c r="E220" s="202">
        <v>8111</v>
      </c>
      <c r="F220" s="202">
        <v>453</v>
      </c>
      <c r="G220" s="202">
        <v>0</v>
      </c>
      <c r="H220" s="202">
        <v>3440</v>
      </c>
      <c r="J220" s="202">
        <v>1060</v>
      </c>
      <c r="K220" s="202">
        <v>6032</v>
      </c>
      <c r="L220" s="202">
        <v>8638</v>
      </c>
      <c r="M220" s="202">
        <v>-2157</v>
      </c>
      <c r="N220" s="202">
        <v>6481</v>
      </c>
    </row>
    <row r="221" spans="1:14" ht="13.8">
      <c r="A221" s="197">
        <v>36810</v>
      </c>
      <c r="B221" s="199" t="s">
        <v>421</v>
      </c>
      <c r="C221" s="202">
        <v>156132</v>
      </c>
      <c r="D221" s="202">
        <v>136830</v>
      </c>
      <c r="E221" s="202">
        <v>203929</v>
      </c>
      <c r="F221" s="202">
        <v>11377</v>
      </c>
      <c r="G221" s="202">
        <v>2237</v>
      </c>
      <c r="H221" s="202">
        <v>86478</v>
      </c>
      <c r="J221" s="202">
        <v>26652</v>
      </c>
      <c r="K221" s="202">
        <v>16920</v>
      </c>
      <c r="L221" s="202">
        <v>217179</v>
      </c>
      <c r="M221" s="202">
        <v>-5351</v>
      </c>
      <c r="N221" s="202">
        <v>211828</v>
      </c>
    </row>
    <row r="222" spans="1:14" ht="13.8">
      <c r="A222" s="197">
        <v>36900</v>
      </c>
      <c r="B222" s="199" t="s">
        <v>422</v>
      </c>
      <c r="C222" s="202">
        <v>17317</v>
      </c>
      <c r="D222" s="202">
        <v>15176</v>
      </c>
      <c r="E222" s="202">
        <v>22618</v>
      </c>
      <c r="F222" s="202">
        <v>1262</v>
      </c>
      <c r="G222" s="202">
        <v>2656</v>
      </c>
      <c r="H222" s="202">
        <v>9591</v>
      </c>
      <c r="J222" s="202">
        <v>2956</v>
      </c>
      <c r="K222" s="202">
        <v>4530</v>
      </c>
      <c r="L222" s="202">
        <v>24087</v>
      </c>
      <c r="M222" s="202">
        <v>-892</v>
      </c>
      <c r="N222" s="202">
        <v>23195</v>
      </c>
    </row>
    <row r="223" spans="1:14" ht="13.8">
      <c r="A223" s="197">
        <v>36901</v>
      </c>
      <c r="B223" s="199" t="s">
        <v>423</v>
      </c>
      <c r="C223" s="202">
        <v>5354</v>
      </c>
      <c r="D223" s="202">
        <v>4692</v>
      </c>
      <c r="E223" s="202">
        <v>6993</v>
      </c>
      <c r="F223" s="202">
        <v>390</v>
      </c>
      <c r="G223" s="202">
        <v>2184</v>
      </c>
      <c r="H223" s="202">
        <v>2965</v>
      </c>
      <c r="J223" s="202">
        <v>914</v>
      </c>
      <c r="K223" s="202">
        <v>838</v>
      </c>
      <c r="L223" s="202">
        <v>7447</v>
      </c>
      <c r="M223" s="202">
        <v>51</v>
      </c>
      <c r="N223" s="202">
        <v>7498</v>
      </c>
    </row>
    <row r="224" spans="1:14" ht="13.8">
      <c r="A224" s="197">
        <v>36905</v>
      </c>
      <c r="B224" s="199" t="s">
        <v>94</v>
      </c>
      <c r="C224" s="202">
        <v>4535</v>
      </c>
      <c r="D224" s="202">
        <v>3974</v>
      </c>
      <c r="E224" s="202">
        <v>5923</v>
      </c>
      <c r="F224" s="202">
        <v>330</v>
      </c>
      <c r="G224" s="202">
        <v>1840</v>
      </c>
      <c r="H224" s="202">
        <v>2512</v>
      </c>
      <c r="J224" s="202">
        <v>774</v>
      </c>
      <c r="K224" s="202">
        <v>82</v>
      </c>
      <c r="L224" s="202">
        <v>6308</v>
      </c>
      <c r="M224" s="202">
        <v>532</v>
      </c>
      <c r="N224" s="202">
        <v>6840</v>
      </c>
    </row>
    <row r="225" spans="1:14" ht="13.8">
      <c r="A225" s="197">
        <v>37000</v>
      </c>
      <c r="B225" s="199" t="s">
        <v>424</v>
      </c>
      <c r="C225" s="202">
        <v>44830</v>
      </c>
      <c r="D225" s="202">
        <v>39288</v>
      </c>
      <c r="E225" s="202">
        <v>58554</v>
      </c>
      <c r="F225" s="202">
        <v>3267</v>
      </c>
      <c r="G225" s="202">
        <v>12079</v>
      </c>
      <c r="H225" s="202">
        <v>24831</v>
      </c>
      <c r="J225" s="202">
        <v>7653</v>
      </c>
      <c r="K225" s="202">
        <v>1502</v>
      </c>
      <c r="L225" s="202">
        <v>62359</v>
      </c>
      <c r="M225" s="202">
        <v>1322</v>
      </c>
      <c r="N225" s="202">
        <v>63681</v>
      </c>
    </row>
    <row r="226" spans="1:14" ht="13.8">
      <c r="A226" s="198">
        <v>37001</v>
      </c>
      <c r="B226" s="201" t="s">
        <v>425</v>
      </c>
      <c r="C226" s="203">
        <v>5258</v>
      </c>
      <c r="D226" s="203">
        <v>4608</v>
      </c>
      <c r="E226" s="203">
        <v>6868</v>
      </c>
      <c r="F226" s="203">
        <v>383</v>
      </c>
      <c r="G226" s="203">
        <v>0</v>
      </c>
      <c r="H226" s="203">
        <v>2912</v>
      </c>
      <c r="J226" s="203">
        <v>898</v>
      </c>
      <c r="K226" s="203">
        <v>5550</v>
      </c>
      <c r="L226" s="203">
        <v>7314</v>
      </c>
      <c r="M226" s="203">
        <v>-1550</v>
      </c>
      <c r="N226" s="203">
        <v>5764</v>
      </c>
    </row>
    <row r="227" spans="1:14" ht="13.8">
      <c r="A227" s="198">
        <v>37005</v>
      </c>
      <c r="B227" s="200" t="s">
        <v>95</v>
      </c>
      <c r="C227" s="203">
        <v>13910</v>
      </c>
      <c r="D227" s="203">
        <v>12190</v>
      </c>
      <c r="E227" s="203">
        <v>18168</v>
      </c>
      <c r="F227" s="203">
        <v>1014</v>
      </c>
      <c r="G227" s="203">
        <v>1313</v>
      </c>
      <c r="H227" s="203">
        <v>7704</v>
      </c>
      <c r="J227" s="203">
        <v>2374</v>
      </c>
      <c r="K227" s="203">
        <v>1361</v>
      </c>
      <c r="L227" s="203">
        <v>19348</v>
      </c>
      <c r="M227" s="203">
        <v>341</v>
      </c>
      <c r="N227" s="203">
        <v>19689</v>
      </c>
    </row>
    <row r="228" spans="1:14" ht="13.8">
      <c r="A228" s="198">
        <v>37100</v>
      </c>
      <c r="B228" s="200" t="s">
        <v>426</v>
      </c>
      <c r="C228" s="203">
        <v>89323</v>
      </c>
      <c r="D228" s="203">
        <v>78280</v>
      </c>
      <c r="E228" s="203">
        <v>116668</v>
      </c>
      <c r="F228" s="203">
        <v>6509</v>
      </c>
      <c r="G228" s="203">
        <v>602</v>
      </c>
      <c r="H228" s="203">
        <v>49474</v>
      </c>
      <c r="J228" s="203">
        <v>15248</v>
      </c>
      <c r="K228" s="203">
        <v>23516</v>
      </c>
      <c r="L228" s="203">
        <v>124248</v>
      </c>
      <c r="M228" s="203">
        <v>-7956</v>
      </c>
      <c r="N228" s="203">
        <v>116292</v>
      </c>
    </row>
    <row r="229" spans="1:14" ht="13.8">
      <c r="A229" s="198">
        <v>37200</v>
      </c>
      <c r="B229" s="200" t="s">
        <v>427</v>
      </c>
      <c r="C229" s="203">
        <v>16623</v>
      </c>
      <c r="D229" s="203">
        <v>14568</v>
      </c>
      <c r="E229" s="203">
        <v>21711</v>
      </c>
      <c r="F229" s="203">
        <v>1211</v>
      </c>
      <c r="G229" s="203">
        <v>4287</v>
      </c>
      <c r="H229" s="203">
        <v>9207</v>
      </c>
      <c r="J229" s="203">
        <v>2838</v>
      </c>
      <c r="K229" s="203">
        <v>2015</v>
      </c>
      <c r="L229" s="203">
        <v>23122</v>
      </c>
      <c r="M229" s="203">
        <v>593</v>
      </c>
      <c r="N229" s="203">
        <v>23715</v>
      </c>
    </row>
    <row r="230" spans="1:14" ht="13.8">
      <c r="A230" s="198">
        <v>37300</v>
      </c>
      <c r="B230" s="200" t="s">
        <v>428</v>
      </c>
      <c r="C230" s="203">
        <v>43171</v>
      </c>
      <c r="D230" s="203">
        <v>37834</v>
      </c>
      <c r="E230" s="203">
        <v>56387</v>
      </c>
      <c r="F230" s="203">
        <v>3146</v>
      </c>
      <c r="G230" s="203">
        <v>8188</v>
      </c>
      <c r="H230" s="203">
        <v>23911</v>
      </c>
      <c r="J230" s="203">
        <v>7369</v>
      </c>
      <c r="K230" s="203">
        <v>6301</v>
      </c>
      <c r="L230" s="203">
        <v>60050</v>
      </c>
      <c r="M230" s="203">
        <v>-290</v>
      </c>
      <c r="N230" s="203">
        <v>59760</v>
      </c>
    </row>
    <row r="231" spans="1:14" ht="13.8">
      <c r="A231" s="198">
        <v>37301</v>
      </c>
      <c r="B231" s="200" t="s">
        <v>429</v>
      </c>
      <c r="C231" s="203">
        <v>4242</v>
      </c>
      <c r="D231" s="203">
        <v>3718</v>
      </c>
      <c r="E231" s="203">
        <v>5541</v>
      </c>
      <c r="F231" s="203">
        <v>309</v>
      </c>
      <c r="G231" s="203">
        <v>978</v>
      </c>
      <c r="H231" s="203">
        <v>2350</v>
      </c>
      <c r="J231" s="203">
        <v>724</v>
      </c>
      <c r="K231" s="203">
        <v>150</v>
      </c>
      <c r="L231" s="203">
        <v>5901</v>
      </c>
      <c r="M231" s="203">
        <v>274</v>
      </c>
      <c r="N231" s="203">
        <v>6175</v>
      </c>
    </row>
    <row r="232" spans="1:14" ht="13.8">
      <c r="A232" s="197">
        <v>37305</v>
      </c>
      <c r="B232" s="199" t="s">
        <v>96</v>
      </c>
      <c r="C232" s="202">
        <v>10383</v>
      </c>
      <c r="D232" s="202">
        <v>9099</v>
      </c>
      <c r="E232" s="202">
        <v>13562</v>
      </c>
      <c r="F232" s="202">
        <v>757</v>
      </c>
      <c r="G232" s="202">
        <v>5327</v>
      </c>
      <c r="H232" s="202">
        <v>5751</v>
      </c>
      <c r="J232" s="202">
        <v>1772</v>
      </c>
      <c r="K232" s="202">
        <v>0</v>
      </c>
      <c r="L232" s="202">
        <v>14443</v>
      </c>
      <c r="M232" s="202">
        <v>1814</v>
      </c>
      <c r="N232" s="202">
        <v>16257</v>
      </c>
    </row>
    <row r="233" spans="1:14" ht="13.8">
      <c r="A233" s="197">
        <v>37400</v>
      </c>
      <c r="B233" s="199" t="s">
        <v>430</v>
      </c>
      <c r="C233" s="202">
        <v>223398</v>
      </c>
      <c r="D233" s="202">
        <v>195780</v>
      </c>
      <c r="E233" s="202">
        <v>291789</v>
      </c>
      <c r="F233" s="202">
        <v>16279</v>
      </c>
      <c r="G233" s="202">
        <v>6268</v>
      </c>
      <c r="H233" s="202">
        <v>123736</v>
      </c>
      <c r="J233" s="202">
        <v>38135</v>
      </c>
      <c r="K233" s="202">
        <v>57092</v>
      </c>
      <c r="L233" s="202">
        <v>310747</v>
      </c>
      <c r="M233" s="202">
        <v>-17411</v>
      </c>
      <c r="N233" s="202">
        <v>293336</v>
      </c>
    </row>
    <row r="234" spans="1:14" ht="13.8">
      <c r="A234" s="197">
        <v>37405</v>
      </c>
      <c r="B234" s="199" t="s">
        <v>97</v>
      </c>
      <c r="C234" s="202">
        <v>39748</v>
      </c>
      <c r="D234" s="202">
        <v>34834</v>
      </c>
      <c r="E234" s="202">
        <v>51916</v>
      </c>
      <c r="F234" s="202">
        <v>2896</v>
      </c>
      <c r="G234" s="202">
        <v>17430</v>
      </c>
      <c r="H234" s="202">
        <v>22015</v>
      </c>
      <c r="J234" s="202">
        <v>6785</v>
      </c>
      <c r="K234" s="202">
        <v>266</v>
      </c>
      <c r="L234" s="202">
        <v>55289</v>
      </c>
      <c r="M234" s="202">
        <v>5300</v>
      </c>
      <c r="N234" s="202">
        <v>60589</v>
      </c>
    </row>
    <row r="235" spans="1:14" ht="13.8">
      <c r="A235" s="197">
        <v>37500</v>
      </c>
      <c r="B235" s="199" t="s">
        <v>431</v>
      </c>
      <c r="C235" s="202">
        <v>22958</v>
      </c>
      <c r="D235" s="202">
        <v>20119</v>
      </c>
      <c r="E235" s="202">
        <v>29986</v>
      </c>
      <c r="F235" s="202">
        <v>1673</v>
      </c>
      <c r="G235" s="202">
        <v>4619</v>
      </c>
      <c r="H235" s="202">
        <v>12716</v>
      </c>
      <c r="J235" s="202">
        <v>3919</v>
      </c>
      <c r="K235" s="202">
        <v>566</v>
      </c>
      <c r="L235" s="202">
        <v>31934</v>
      </c>
      <c r="M235" s="202">
        <v>1131</v>
      </c>
      <c r="N235" s="202">
        <v>33065</v>
      </c>
    </row>
    <row r="236" spans="1:14" ht="13.8">
      <c r="A236" s="197">
        <v>37600</v>
      </c>
      <c r="B236" s="199" t="s">
        <v>432</v>
      </c>
      <c r="C236" s="202">
        <v>131921</v>
      </c>
      <c r="D236" s="202">
        <v>115612</v>
      </c>
      <c r="E236" s="202">
        <v>172307</v>
      </c>
      <c r="F236" s="202">
        <v>9613</v>
      </c>
      <c r="G236" s="202">
        <v>24311</v>
      </c>
      <c r="H236" s="202">
        <v>73069</v>
      </c>
      <c r="J236" s="202">
        <v>22519</v>
      </c>
      <c r="K236" s="202">
        <v>5935</v>
      </c>
      <c r="L236" s="202">
        <v>183503</v>
      </c>
      <c r="M236" s="202">
        <v>3686</v>
      </c>
      <c r="N236" s="202">
        <v>187189</v>
      </c>
    </row>
    <row r="237" spans="1:14" ht="13.8">
      <c r="A237" s="197">
        <v>37601</v>
      </c>
      <c r="B237" s="199" t="s">
        <v>433</v>
      </c>
      <c r="C237" s="202">
        <v>13686</v>
      </c>
      <c r="D237" s="202">
        <v>11994</v>
      </c>
      <c r="E237" s="202">
        <v>17876</v>
      </c>
      <c r="F237" s="202">
        <v>997</v>
      </c>
      <c r="G237" s="202">
        <v>0</v>
      </c>
      <c r="H237" s="202">
        <v>7581</v>
      </c>
      <c r="J237" s="202">
        <v>2336</v>
      </c>
      <c r="K237" s="202">
        <v>18145</v>
      </c>
      <c r="L237" s="202">
        <v>19038</v>
      </c>
      <c r="M237" s="202">
        <v>-5001</v>
      </c>
      <c r="N237" s="202">
        <v>14037</v>
      </c>
    </row>
    <row r="238" spans="1:14" ht="13.8">
      <c r="A238" s="197">
        <v>37605</v>
      </c>
      <c r="B238" s="199" t="s">
        <v>98</v>
      </c>
      <c r="C238" s="202">
        <v>15527</v>
      </c>
      <c r="D238" s="202">
        <v>13607</v>
      </c>
      <c r="E238" s="202">
        <v>20280</v>
      </c>
      <c r="F238" s="202">
        <v>1131</v>
      </c>
      <c r="G238" s="202">
        <v>4865</v>
      </c>
      <c r="H238" s="202">
        <v>8600</v>
      </c>
      <c r="J238" s="202">
        <v>2650</v>
      </c>
      <c r="K238" s="202">
        <v>0</v>
      </c>
      <c r="L238" s="202">
        <v>21598</v>
      </c>
      <c r="M238" s="202">
        <v>1390</v>
      </c>
      <c r="N238" s="202">
        <v>22988</v>
      </c>
    </row>
    <row r="239" spans="1:14" ht="13.8">
      <c r="A239" s="197">
        <v>37610</v>
      </c>
      <c r="B239" s="199" t="s">
        <v>434</v>
      </c>
      <c r="C239" s="202">
        <v>40492</v>
      </c>
      <c r="D239" s="202">
        <v>35486</v>
      </c>
      <c r="E239" s="202">
        <v>52889</v>
      </c>
      <c r="F239" s="202">
        <v>2951</v>
      </c>
      <c r="G239" s="202">
        <v>4880</v>
      </c>
      <c r="H239" s="202">
        <v>22428</v>
      </c>
      <c r="J239" s="202">
        <v>6912</v>
      </c>
      <c r="K239" s="202">
        <v>3530</v>
      </c>
      <c r="L239" s="202">
        <v>56325</v>
      </c>
      <c r="M239" s="202">
        <v>269</v>
      </c>
      <c r="N239" s="202">
        <v>56594</v>
      </c>
    </row>
    <row r="240" spans="1:14" ht="13.8">
      <c r="A240" s="197">
        <v>37700</v>
      </c>
      <c r="B240" s="199" t="s">
        <v>435</v>
      </c>
      <c r="C240" s="202">
        <v>61147</v>
      </c>
      <c r="D240" s="202">
        <v>53587</v>
      </c>
      <c r="E240" s="202">
        <v>79866</v>
      </c>
      <c r="F240" s="202">
        <v>4456</v>
      </c>
      <c r="G240" s="202">
        <v>11612</v>
      </c>
      <c r="H240" s="202">
        <v>33868</v>
      </c>
      <c r="J240" s="202">
        <v>10438</v>
      </c>
      <c r="K240" s="202">
        <v>4359</v>
      </c>
      <c r="L240" s="202">
        <v>85055</v>
      </c>
      <c r="M240" s="202">
        <v>693</v>
      </c>
      <c r="N240" s="202">
        <v>85748</v>
      </c>
    </row>
    <row r="241" spans="1:14" ht="13.8">
      <c r="A241" s="197">
        <v>37705</v>
      </c>
      <c r="B241" s="199" t="s">
        <v>99</v>
      </c>
      <c r="C241" s="202">
        <v>16947</v>
      </c>
      <c r="D241" s="202">
        <v>14852</v>
      </c>
      <c r="E241" s="202">
        <v>22135</v>
      </c>
      <c r="F241" s="202">
        <v>1235</v>
      </c>
      <c r="G241" s="202">
        <v>7213</v>
      </c>
      <c r="H241" s="202">
        <v>9387</v>
      </c>
      <c r="J241" s="202">
        <v>2893</v>
      </c>
      <c r="K241" s="202">
        <v>502</v>
      </c>
      <c r="L241" s="202">
        <v>23573</v>
      </c>
      <c r="M241" s="202">
        <v>1319</v>
      </c>
      <c r="N241" s="202">
        <v>24892</v>
      </c>
    </row>
    <row r="242" spans="1:14" ht="13.8">
      <c r="A242" s="197">
        <v>37800</v>
      </c>
      <c r="B242" s="199" t="s">
        <v>436</v>
      </c>
      <c r="C242" s="202">
        <v>192350</v>
      </c>
      <c r="D242" s="202">
        <v>168570</v>
      </c>
      <c r="E242" s="202">
        <v>251236</v>
      </c>
      <c r="F242" s="202">
        <v>14016</v>
      </c>
      <c r="G242" s="202">
        <v>58473</v>
      </c>
      <c r="H242" s="202">
        <v>106539</v>
      </c>
      <c r="J242" s="202">
        <v>32835</v>
      </c>
      <c r="K242" s="202">
        <v>30036</v>
      </c>
      <c r="L242" s="202">
        <v>267559</v>
      </c>
      <c r="M242" s="202">
        <v>1087</v>
      </c>
      <c r="N242" s="202">
        <v>268646</v>
      </c>
    </row>
    <row r="243" spans="1:14" ht="13.8">
      <c r="A243" s="197">
        <v>37801</v>
      </c>
      <c r="B243" s="199" t="s">
        <v>437</v>
      </c>
      <c r="C243" s="202">
        <v>1545</v>
      </c>
      <c r="D243" s="202">
        <v>1354</v>
      </c>
      <c r="E243" s="202">
        <v>2018</v>
      </c>
      <c r="F243" s="202">
        <v>113</v>
      </c>
      <c r="G243" s="202">
        <v>68</v>
      </c>
      <c r="H243" s="202">
        <v>856</v>
      </c>
      <c r="J243" s="202">
        <v>264</v>
      </c>
      <c r="K243" s="202">
        <v>885</v>
      </c>
      <c r="L243" s="202">
        <v>2149</v>
      </c>
      <c r="M243" s="202">
        <v>-226</v>
      </c>
      <c r="N243" s="202">
        <v>1923</v>
      </c>
    </row>
    <row r="244" spans="1:14" ht="13.8">
      <c r="A244" s="198">
        <v>37805</v>
      </c>
      <c r="B244" s="200" t="s">
        <v>100</v>
      </c>
      <c r="C244" s="203">
        <v>14372</v>
      </c>
      <c r="D244" s="203">
        <v>12596</v>
      </c>
      <c r="E244" s="203">
        <v>18772</v>
      </c>
      <c r="F244" s="203">
        <v>1047</v>
      </c>
      <c r="G244" s="203">
        <v>2819</v>
      </c>
      <c r="H244" s="203">
        <v>7961</v>
      </c>
      <c r="J244" s="203">
        <v>2453</v>
      </c>
      <c r="K244" s="203">
        <v>809</v>
      </c>
      <c r="L244" s="203">
        <v>19992</v>
      </c>
      <c r="M244" s="203">
        <v>1024</v>
      </c>
      <c r="N244" s="203">
        <v>21016</v>
      </c>
    </row>
    <row r="245" spans="1:14" ht="13.8">
      <c r="A245" s="198">
        <v>37900</v>
      </c>
      <c r="B245" s="200" t="s">
        <v>438</v>
      </c>
      <c r="C245" s="203">
        <v>93578</v>
      </c>
      <c r="D245" s="203">
        <v>82009</v>
      </c>
      <c r="E245" s="203">
        <v>122226</v>
      </c>
      <c r="F245" s="203">
        <v>6819</v>
      </c>
      <c r="G245" s="203">
        <v>20422</v>
      </c>
      <c r="H245" s="203">
        <v>51831</v>
      </c>
      <c r="J245" s="203">
        <v>15974</v>
      </c>
      <c r="K245" s="203">
        <v>4643</v>
      </c>
      <c r="L245" s="203">
        <v>130167</v>
      </c>
      <c r="M245" s="203">
        <v>5908</v>
      </c>
      <c r="N245" s="203">
        <v>136075</v>
      </c>
    </row>
    <row r="246" spans="1:14" ht="13.8">
      <c r="A246" s="198">
        <v>37901</v>
      </c>
      <c r="B246" s="200" t="s">
        <v>439</v>
      </c>
      <c r="C246" s="203">
        <v>3673</v>
      </c>
      <c r="D246" s="203">
        <v>3219</v>
      </c>
      <c r="E246" s="203">
        <v>4797</v>
      </c>
      <c r="F246" s="203">
        <v>268</v>
      </c>
      <c r="G246" s="203">
        <v>0</v>
      </c>
      <c r="H246" s="203">
        <v>2034</v>
      </c>
      <c r="J246" s="203">
        <v>627</v>
      </c>
      <c r="K246" s="203">
        <v>3209</v>
      </c>
      <c r="L246" s="203">
        <v>5109</v>
      </c>
      <c r="M246" s="203">
        <v>-1143</v>
      </c>
      <c r="N246" s="203">
        <v>3966</v>
      </c>
    </row>
    <row r="247" spans="1:14" ht="13.8">
      <c r="A247" s="198">
        <v>37905</v>
      </c>
      <c r="B247" s="200" t="s">
        <v>101</v>
      </c>
      <c r="C247" s="203">
        <v>10067</v>
      </c>
      <c r="D247" s="203">
        <v>8822</v>
      </c>
      <c r="E247" s="203">
        <v>13148</v>
      </c>
      <c r="F247" s="203">
        <v>734</v>
      </c>
      <c r="G247" s="203">
        <v>5116</v>
      </c>
      <c r="H247" s="203">
        <v>5576</v>
      </c>
      <c r="J247" s="203">
        <v>1718</v>
      </c>
      <c r="K247" s="203">
        <v>453</v>
      </c>
      <c r="L247" s="203">
        <v>14003</v>
      </c>
      <c r="M247" s="203">
        <v>2128</v>
      </c>
      <c r="N247" s="203">
        <v>16131</v>
      </c>
    </row>
    <row r="248" spans="1:14" ht="13.8">
      <c r="A248" s="198">
        <v>38000</v>
      </c>
      <c r="B248" s="200" t="s">
        <v>440</v>
      </c>
      <c r="C248" s="203">
        <v>149132</v>
      </c>
      <c r="D248" s="203">
        <v>130695</v>
      </c>
      <c r="E248" s="203">
        <v>194786</v>
      </c>
      <c r="F248" s="203">
        <v>10867</v>
      </c>
      <c r="G248" s="203">
        <v>25999</v>
      </c>
      <c r="H248" s="203">
        <v>82601</v>
      </c>
      <c r="J248" s="203">
        <v>25457</v>
      </c>
      <c r="K248" s="203">
        <v>6837</v>
      </c>
      <c r="L248" s="203">
        <v>207442</v>
      </c>
      <c r="M248" s="203">
        <v>6329</v>
      </c>
      <c r="N248" s="203">
        <v>213771</v>
      </c>
    </row>
    <row r="249" spans="1:14" ht="13.8">
      <c r="A249" s="198">
        <v>38005</v>
      </c>
      <c r="B249" s="200" t="s">
        <v>102</v>
      </c>
      <c r="C249" s="203">
        <v>33136</v>
      </c>
      <c r="D249" s="203">
        <v>29039</v>
      </c>
      <c r="E249" s="203">
        <v>43280</v>
      </c>
      <c r="F249" s="203">
        <v>2415</v>
      </c>
      <c r="G249" s="203">
        <v>1712</v>
      </c>
      <c r="H249" s="203">
        <v>18353</v>
      </c>
      <c r="J249" s="203">
        <v>5656</v>
      </c>
      <c r="K249" s="203">
        <v>2536</v>
      </c>
      <c r="L249" s="203">
        <v>46092</v>
      </c>
      <c r="M249" s="203">
        <v>694</v>
      </c>
      <c r="N249" s="203">
        <v>46786</v>
      </c>
    </row>
    <row r="250" spans="1:14" ht="13.8">
      <c r="A250" s="197">
        <v>38100</v>
      </c>
      <c r="B250" s="199" t="s">
        <v>441</v>
      </c>
      <c r="C250" s="202">
        <v>77777</v>
      </c>
      <c r="D250" s="202">
        <v>68162</v>
      </c>
      <c r="E250" s="202">
        <v>101588</v>
      </c>
      <c r="F250" s="202">
        <v>5667</v>
      </c>
      <c r="G250" s="202">
        <v>14133</v>
      </c>
      <c r="H250" s="202">
        <v>43079</v>
      </c>
      <c r="J250" s="202">
        <v>13277</v>
      </c>
      <c r="K250" s="202">
        <v>10199</v>
      </c>
      <c r="L250" s="202">
        <v>108188</v>
      </c>
      <c r="M250" s="202">
        <v>-953</v>
      </c>
      <c r="N250" s="202">
        <v>107235</v>
      </c>
    </row>
    <row r="251" spans="1:14" ht="13.8">
      <c r="A251" s="197">
        <v>38105</v>
      </c>
      <c r="B251" s="199" t="s">
        <v>103</v>
      </c>
      <c r="C251" s="202">
        <v>13564</v>
      </c>
      <c r="D251" s="202">
        <v>11887</v>
      </c>
      <c r="E251" s="202">
        <v>17716</v>
      </c>
      <c r="F251" s="202">
        <v>988</v>
      </c>
      <c r="G251" s="202">
        <v>4585</v>
      </c>
      <c r="H251" s="202">
        <v>7513</v>
      </c>
      <c r="J251" s="202">
        <v>2315</v>
      </c>
      <c r="K251" s="202">
        <v>0</v>
      </c>
      <c r="L251" s="202">
        <v>18867</v>
      </c>
      <c r="M251" s="202">
        <v>1322</v>
      </c>
      <c r="N251" s="202">
        <v>20189</v>
      </c>
    </row>
    <row r="252" spans="1:14" ht="13.8">
      <c r="A252" s="197">
        <v>38200</v>
      </c>
      <c r="B252" s="199" t="s">
        <v>442</v>
      </c>
      <c r="C252" s="202">
        <v>66796</v>
      </c>
      <c r="D252" s="202">
        <v>58538</v>
      </c>
      <c r="E252" s="202">
        <v>87244</v>
      </c>
      <c r="F252" s="202">
        <v>4867</v>
      </c>
      <c r="G252" s="202">
        <v>18468</v>
      </c>
      <c r="H252" s="202">
        <v>36997</v>
      </c>
      <c r="J252" s="202">
        <v>11402</v>
      </c>
      <c r="K252" s="202">
        <v>5807</v>
      </c>
      <c r="L252" s="202">
        <v>92913</v>
      </c>
      <c r="M252" s="202">
        <v>3533</v>
      </c>
      <c r="N252" s="202">
        <v>96446</v>
      </c>
    </row>
    <row r="253" spans="1:14" ht="13.8">
      <c r="A253" s="197">
        <v>38205</v>
      </c>
      <c r="B253" s="199" t="s">
        <v>104</v>
      </c>
      <c r="C253" s="202">
        <v>10593</v>
      </c>
      <c r="D253" s="202">
        <v>9284</v>
      </c>
      <c r="E253" s="202">
        <v>13836</v>
      </c>
      <c r="F253" s="202">
        <v>772</v>
      </c>
      <c r="G253" s="202">
        <v>2054</v>
      </c>
      <c r="H253" s="202">
        <v>5867</v>
      </c>
      <c r="J253" s="202">
        <v>1808</v>
      </c>
      <c r="K253" s="202">
        <v>1029</v>
      </c>
      <c r="L253" s="202">
        <v>14735</v>
      </c>
      <c r="M253" s="202">
        <v>209</v>
      </c>
      <c r="N253" s="202">
        <v>14944</v>
      </c>
    </row>
    <row r="254" spans="1:14" ht="13.8">
      <c r="A254" s="197">
        <v>38210</v>
      </c>
      <c r="B254" s="199" t="s">
        <v>443</v>
      </c>
      <c r="C254" s="202">
        <v>26181</v>
      </c>
      <c r="D254" s="202">
        <v>22944</v>
      </c>
      <c r="E254" s="202">
        <v>34196</v>
      </c>
      <c r="F254" s="202">
        <v>1908</v>
      </c>
      <c r="G254" s="202">
        <v>6451</v>
      </c>
      <c r="H254" s="202">
        <v>14501</v>
      </c>
      <c r="J254" s="202">
        <v>4469</v>
      </c>
      <c r="K254" s="202">
        <v>2904</v>
      </c>
      <c r="L254" s="202">
        <v>36418</v>
      </c>
      <c r="M254" s="202">
        <v>545</v>
      </c>
      <c r="N254" s="202">
        <v>36963</v>
      </c>
    </row>
    <row r="255" spans="1:14" ht="13.8">
      <c r="A255" s="197">
        <v>38300</v>
      </c>
      <c r="B255" s="199" t="s">
        <v>444</v>
      </c>
      <c r="C255" s="202">
        <v>52538</v>
      </c>
      <c r="D255" s="202">
        <v>46043</v>
      </c>
      <c r="E255" s="202">
        <v>68621</v>
      </c>
      <c r="F255" s="202">
        <v>3828</v>
      </c>
      <c r="G255" s="202">
        <v>11014</v>
      </c>
      <c r="H255" s="202">
        <v>29100</v>
      </c>
      <c r="J255" s="202">
        <v>8968</v>
      </c>
      <c r="K255" s="202">
        <v>6197</v>
      </c>
      <c r="L255" s="202">
        <v>73080</v>
      </c>
      <c r="M255" s="202">
        <v>1012</v>
      </c>
      <c r="N255" s="202">
        <v>74092</v>
      </c>
    </row>
    <row r="256" spans="1:14" ht="13.8">
      <c r="A256" s="198">
        <v>38400</v>
      </c>
      <c r="B256" s="200" t="s">
        <v>445</v>
      </c>
      <c r="C256" s="203">
        <v>68174</v>
      </c>
      <c r="D256" s="203">
        <v>59745</v>
      </c>
      <c r="E256" s="203">
        <v>89044</v>
      </c>
      <c r="F256" s="203">
        <v>4968</v>
      </c>
      <c r="G256" s="203">
        <v>13624</v>
      </c>
      <c r="H256" s="203">
        <v>37760</v>
      </c>
      <c r="J256" s="203">
        <v>11637</v>
      </c>
      <c r="K256" s="203">
        <v>6426</v>
      </c>
      <c r="L256" s="203">
        <v>94829</v>
      </c>
      <c r="M256" s="203">
        <v>1128</v>
      </c>
      <c r="N256" s="203">
        <v>95957</v>
      </c>
    </row>
    <row r="257" spans="1:14" ht="13.8">
      <c r="A257" s="198">
        <v>38402</v>
      </c>
      <c r="B257" s="200" t="s">
        <v>446</v>
      </c>
      <c r="C257" s="203">
        <v>4803</v>
      </c>
      <c r="D257" s="203">
        <v>4209</v>
      </c>
      <c r="E257" s="203">
        <v>6274</v>
      </c>
      <c r="F257" s="203">
        <v>350</v>
      </c>
      <c r="G257" s="203">
        <v>404</v>
      </c>
      <c r="H257" s="203">
        <v>2660</v>
      </c>
      <c r="J257" s="203">
        <v>820</v>
      </c>
      <c r="K257" s="203">
        <v>2473</v>
      </c>
      <c r="L257" s="203">
        <v>6681</v>
      </c>
      <c r="M257" s="203">
        <v>-1344</v>
      </c>
      <c r="N257" s="203">
        <v>5337</v>
      </c>
    </row>
    <row r="258" spans="1:14" ht="13.8">
      <c r="A258" s="198">
        <v>38405</v>
      </c>
      <c r="B258" s="200" t="s">
        <v>105</v>
      </c>
      <c r="C258" s="203">
        <v>16455</v>
      </c>
      <c r="D258" s="203">
        <v>14421</v>
      </c>
      <c r="E258" s="203">
        <v>21492</v>
      </c>
      <c r="F258" s="203">
        <v>1199</v>
      </c>
      <c r="G258" s="203">
        <v>4884</v>
      </c>
      <c r="H258" s="203">
        <v>9114</v>
      </c>
      <c r="J258" s="203">
        <v>2809</v>
      </c>
      <c r="K258" s="203">
        <v>535</v>
      </c>
      <c r="L258" s="203">
        <v>22889</v>
      </c>
      <c r="M258" s="203">
        <v>685</v>
      </c>
      <c r="N258" s="203">
        <v>23574</v>
      </c>
    </row>
    <row r="259" spans="1:14" ht="13.8">
      <c r="A259" s="198">
        <v>38500</v>
      </c>
      <c r="B259" s="200" t="s">
        <v>447</v>
      </c>
      <c r="C259" s="203">
        <v>50689</v>
      </c>
      <c r="D259" s="203">
        <v>44423</v>
      </c>
      <c r="E259" s="203">
        <v>66207</v>
      </c>
      <c r="F259" s="203">
        <v>3694</v>
      </c>
      <c r="G259" s="203">
        <v>11429</v>
      </c>
      <c r="H259" s="203">
        <v>28076</v>
      </c>
      <c r="J259" s="203">
        <v>8653</v>
      </c>
      <c r="K259" s="203">
        <v>2654</v>
      </c>
      <c r="L259" s="203">
        <v>70509</v>
      </c>
      <c r="M259" s="203">
        <v>2515</v>
      </c>
      <c r="N259" s="203">
        <v>73024</v>
      </c>
    </row>
    <row r="260" spans="1:14" ht="13.8">
      <c r="A260" s="198">
        <v>38600</v>
      </c>
      <c r="B260" s="200" t="s">
        <v>448</v>
      </c>
      <c r="C260" s="203">
        <v>64583</v>
      </c>
      <c r="D260" s="203">
        <v>56599</v>
      </c>
      <c r="E260" s="203">
        <v>84354</v>
      </c>
      <c r="F260" s="203">
        <v>4706</v>
      </c>
      <c r="G260" s="203">
        <v>18997</v>
      </c>
      <c r="H260" s="203">
        <v>35771</v>
      </c>
      <c r="J260" s="203">
        <v>11024</v>
      </c>
      <c r="K260" s="203">
        <v>6797</v>
      </c>
      <c r="L260" s="203">
        <v>89835</v>
      </c>
      <c r="M260" s="203">
        <v>3313</v>
      </c>
      <c r="N260" s="203">
        <v>93148</v>
      </c>
    </row>
    <row r="261" spans="1:14" ht="13.8">
      <c r="A261" s="198">
        <v>38601</v>
      </c>
      <c r="B261" s="200" t="s">
        <v>449</v>
      </c>
      <c r="C261" s="203">
        <v>0</v>
      </c>
      <c r="D261" s="203">
        <v>0</v>
      </c>
      <c r="E261" s="203">
        <v>0</v>
      </c>
      <c r="F261" s="203">
        <v>0</v>
      </c>
      <c r="G261" s="203">
        <v>1432</v>
      </c>
      <c r="H261" s="203">
        <v>0</v>
      </c>
      <c r="J261" s="203">
        <v>0</v>
      </c>
      <c r="K261" s="203">
        <v>304</v>
      </c>
      <c r="L261" s="203">
        <v>0</v>
      </c>
      <c r="M261" s="203">
        <v>201</v>
      </c>
      <c r="N261" s="203">
        <v>201</v>
      </c>
    </row>
    <row r="262" spans="1:14" ht="13.8">
      <c r="A262" s="197">
        <v>38602</v>
      </c>
      <c r="B262" s="199" t="s">
        <v>450</v>
      </c>
      <c r="C262" s="202">
        <v>5019</v>
      </c>
      <c r="D262" s="202">
        <v>4398</v>
      </c>
      <c r="E262" s="202">
        <v>6555</v>
      </c>
      <c r="F262" s="202">
        <v>366</v>
      </c>
      <c r="G262" s="202">
        <v>1126</v>
      </c>
      <c r="H262" s="202">
        <v>2780</v>
      </c>
      <c r="J262" s="202">
        <v>857</v>
      </c>
      <c r="K262" s="202">
        <v>585</v>
      </c>
      <c r="L262" s="202">
        <v>6981</v>
      </c>
      <c r="M262" s="202">
        <v>-72</v>
      </c>
      <c r="N262" s="202">
        <v>6909</v>
      </c>
    </row>
    <row r="263" spans="1:14" ht="13.8">
      <c r="A263" s="197">
        <v>38605</v>
      </c>
      <c r="B263" s="199" t="s">
        <v>106</v>
      </c>
      <c r="C263" s="202">
        <v>16577</v>
      </c>
      <c r="D263" s="202">
        <v>14528</v>
      </c>
      <c r="E263" s="202">
        <v>21652</v>
      </c>
      <c r="F263" s="202">
        <v>1208</v>
      </c>
      <c r="G263" s="202">
        <v>6127</v>
      </c>
      <c r="H263" s="202">
        <v>9182</v>
      </c>
      <c r="J263" s="202">
        <v>2830</v>
      </c>
      <c r="K263" s="202">
        <v>1860</v>
      </c>
      <c r="L263" s="202">
        <v>23059</v>
      </c>
      <c r="M263" s="202">
        <v>1867</v>
      </c>
      <c r="N263" s="202">
        <v>24926</v>
      </c>
    </row>
    <row r="264" spans="1:14" ht="13.8">
      <c r="A264" s="197">
        <v>38610</v>
      </c>
      <c r="B264" s="199" t="s">
        <v>451</v>
      </c>
      <c r="C264" s="202">
        <v>17138</v>
      </c>
      <c r="D264" s="202">
        <v>15020</v>
      </c>
      <c r="E264" s="202">
        <v>22385</v>
      </c>
      <c r="F264" s="202">
        <v>1249</v>
      </c>
      <c r="G264" s="202">
        <v>94</v>
      </c>
      <c r="H264" s="202">
        <v>9493</v>
      </c>
      <c r="J264" s="202">
        <v>2926</v>
      </c>
      <c r="K264" s="202">
        <v>5005</v>
      </c>
      <c r="L264" s="202">
        <v>23840</v>
      </c>
      <c r="M264" s="202">
        <v>-1540</v>
      </c>
      <c r="N264" s="202">
        <v>22300</v>
      </c>
    </row>
    <row r="265" spans="1:14" ht="13.8">
      <c r="A265" s="197">
        <v>38620</v>
      </c>
      <c r="B265" s="199" t="s">
        <v>452</v>
      </c>
      <c r="C265" s="202">
        <v>11992</v>
      </c>
      <c r="D265" s="202">
        <v>10510</v>
      </c>
      <c r="E265" s="202">
        <v>15663</v>
      </c>
      <c r="F265" s="202">
        <v>874</v>
      </c>
      <c r="G265" s="202">
        <v>2578</v>
      </c>
      <c r="H265" s="202">
        <v>6642</v>
      </c>
      <c r="J265" s="202">
        <v>2047</v>
      </c>
      <c r="K265" s="202">
        <v>1099</v>
      </c>
      <c r="L265" s="202">
        <v>16681</v>
      </c>
      <c r="M265" s="202">
        <v>603</v>
      </c>
      <c r="N265" s="202">
        <v>17284</v>
      </c>
    </row>
    <row r="266" spans="1:14" ht="13.8">
      <c r="A266" s="197">
        <v>38700</v>
      </c>
      <c r="B266" s="199" t="s">
        <v>453</v>
      </c>
      <c r="C266" s="202">
        <v>21521</v>
      </c>
      <c r="D266" s="202">
        <v>18861</v>
      </c>
      <c r="E266" s="202">
        <v>28110</v>
      </c>
      <c r="F266" s="202">
        <v>1568</v>
      </c>
      <c r="G266" s="202">
        <v>1455</v>
      </c>
      <c r="H266" s="202">
        <v>11920</v>
      </c>
      <c r="J266" s="202">
        <v>3674</v>
      </c>
      <c r="K266" s="202">
        <v>3058</v>
      </c>
      <c r="L266" s="202">
        <v>29936</v>
      </c>
      <c r="M266" s="202">
        <v>-758</v>
      </c>
      <c r="N266" s="202">
        <v>29178</v>
      </c>
    </row>
    <row r="267" spans="1:14" ht="13.8">
      <c r="A267" s="197">
        <v>38701</v>
      </c>
      <c r="B267" s="199" t="s">
        <v>454</v>
      </c>
      <c r="C267" s="202">
        <v>1721</v>
      </c>
      <c r="D267" s="202">
        <v>1508</v>
      </c>
      <c r="E267" s="202">
        <v>2248</v>
      </c>
      <c r="F267" s="202">
        <v>125</v>
      </c>
      <c r="G267" s="202">
        <v>314</v>
      </c>
      <c r="H267" s="202">
        <v>953</v>
      </c>
      <c r="J267" s="202">
        <v>294</v>
      </c>
      <c r="K267" s="202">
        <v>1171</v>
      </c>
      <c r="L267" s="202">
        <v>2394</v>
      </c>
      <c r="M267" s="202">
        <v>-296</v>
      </c>
      <c r="N267" s="202">
        <v>2098</v>
      </c>
    </row>
    <row r="268" spans="1:14" ht="13.8">
      <c r="A268" s="198">
        <v>38800</v>
      </c>
      <c r="B268" s="200" t="s">
        <v>455</v>
      </c>
      <c r="C268" s="203">
        <v>36588</v>
      </c>
      <c r="D268" s="203">
        <v>32065</v>
      </c>
      <c r="E268" s="203">
        <v>47789</v>
      </c>
      <c r="F268" s="203">
        <v>2666</v>
      </c>
      <c r="G268" s="203">
        <v>2897</v>
      </c>
      <c r="H268" s="203">
        <v>20265</v>
      </c>
      <c r="J268" s="203">
        <v>6246</v>
      </c>
      <c r="K268" s="203">
        <v>5208</v>
      </c>
      <c r="L268" s="203">
        <v>50894</v>
      </c>
      <c r="M268" s="203">
        <v>-665</v>
      </c>
      <c r="N268" s="203">
        <v>50229</v>
      </c>
    </row>
    <row r="269" spans="1:14" ht="13.8">
      <c r="A269" s="198">
        <v>38801</v>
      </c>
      <c r="B269" s="200" t="s">
        <v>456</v>
      </c>
      <c r="C269" s="203">
        <v>3468</v>
      </c>
      <c r="D269" s="203">
        <v>3039</v>
      </c>
      <c r="E269" s="203">
        <v>4530</v>
      </c>
      <c r="F269" s="203">
        <v>253</v>
      </c>
      <c r="G269" s="203">
        <v>1731</v>
      </c>
      <c r="H269" s="203">
        <v>1921</v>
      </c>
      <c r="J269" s="203">
        <v>592</v>
      </c>
      <c r="K269" s="203">
        <v>3778</v>
      </c>
      <c r="L269" s="203">
        <v>4824</v>
      </c>
      <c r="M269" s="203">
        <v>-554</v>
      </c>
      <c r="N269" s="203">
        <v>4270</v>
      </c>
    </row>
    <row r="270" spans="1:14" ht="13.8">
      <c r="A270" s="198">
        <v>38900</v>
      </c>
      <c r="B270" s="200" t="s">
        <v>457</v>
      </c>
      <c r="C270" s="203">
        <v>7532</v>
      </c>
      <c r="D270" s="203">
        <v>6601</v>
      </c>
      <c r="E270" s="203">
        <v>9838</v>
      </c>
      <c r="F270" s="203">
        <v>549</v>
      </c>
      <c r="G270" s="203">
        <v>582</v>
      </c>
      <c r="H270" s="203">
        <v>4172</v>
      </c>
      <c r="J270" s="203">
        <v>1286</v>
      </c>
      <c r="K270" s="203">
        <v>644</v>
      </c>
      <c r="L270" s="203">
        <v>10477</v>
      </c>
      <c r="M270" s="203">
        <v>214</v>
      </c>
      <c r="N270" s="203">
        <v>10691</v>
      </c>
    </row>
    <row r="271" spans="1:14" ht="13.8">
      <c r="A271" s="198">
        <v>39000</v>
      </c>
      <c r="B271" s="200" t="s">
        <v>458</v>
      </c>
      <c r="C271" s="203">
        <v>353565</v>
      </c>
      <c r="D271" s="203">
        <v>309854</v>
      </c>
      <c r="E271" s="203">
        <v>461803</v>
      </c>
      <c r="F271" s="203">
        <v>25764</v>
      </c>
      <c r="G271" s="203">
        <v>45333</v>
      </c>
      <c r="H271" s="203">
        <v>195832</v>
      </c>
      <c r="J271" s="203">
        <v>60354</v>
      </c>
      <c r="K271" s="203">
        <v>48214</v>
      </c>
      <c r="L271" s="203">
        <v>491808</v>
      </c>
      <c r="M271" s="203">
        <v>-5128</v>
      </c>
      <c r="N271" s="203">
        <v>486680</v>
      </c>
    </row>
    <row r="272" spans="1:14" ht="13.8">
      <c r="A272" s="198">
        <v>39100</v>
      </c>
      <c r="B272" s="200" t="s">
        <v>459</v>
      </c>
      <c r="C272" s="203">
        <v>41756</v>
      </c>
      <c r="D272" s="203">
        <v>36594</v>
      </c>
      <c r="E272" s="203">
        <v>54539</v>
      </c>
      <c r="F272" s="203">
        <v>3043</v>
      </c>
      <c r="G272" s="203">
        <v>29091</v>
      </c>
      <c r="H272" s="203">
        <v>23128</v>
      </c>
      <c r="J272" s="203">
        <v>7128</v>
      </c>
      <c r="K272" s="203">
        <v>79</v>
      </c>
      <c r="L272" s="203">
        <v>58082</v>
      </c>
      <c r="M272" s="203">
        <v>7619</v>
      </c>
      <c r="N272" s="203">
        <v>65701</v>
      </c>
    </row>
    <row r="273" spans="1:14" ht="13.8">
      <c r="A273" s="198">
        <v>39101</v>
      </c>
      <c r="B273" s="200" t="s">
        <v>460</v>
      </c>
      <c r="C273" s="203">
        <v>6436</v>
      </c>
      <c r="D273" s="203">
        <v>5641</v>
      </c>
      <c r="E273" s="203">
        <v>8407</v>
      </c>
      <c r="F273" s="203">
        <v>469</v>
      </c>
      <c r="G273" s="203">
        <v>358</v>
      </c>
      <c r="H273" s="203">
        <v>3565</v>
      </c>
      <c r="J273" s="203">
        <v>1099</v>
      </c>
      <c r="K273" s="203">
        <v>3097</v>
      </c>
      <c r="L273" s="203">
        <v>8953</v>
      </c>
      <c r="M273" s="203">
        <v>-846</v>
      </c>
      <c r="N273" s="203">
        <v>8107</v>
      </c>
    </row>
    <row r="274" spans="1:14" ht="13.8">
      <c r="A274" s="197">
        <v>39105</v>
      </c>
      <c r="B274" s="199" t="s">
        <v>107</v>
      </c>
      <c r="C274" s="202">
        <v>15372</v>
      </c>
      <c r="D274" s="202">
        <v>13472</v>
      </c>
      <c r="E274" s="202">
        <v>20079</v>
      </c>
      <c r="F274" s="202">
        <v>1120</v>
      </c>
      <c r="G274" s="202">
        <v>12088</v>
      </c>
      <c r="H274" s="202">
        <v>8515</v>
      </c>
      <c r="J274" s="202">
        <v>2624</v>
      </c>
      <c r="K274" s="202">
        <v>0</v>
      </c>
      <c r="L274" s="202">
        <v>21383</v>
      </c>
      <c r="M274" s="202">
        <v>4105</v>
      </c>
      <c r="N274" s="202">
        <v>25488</v>
      </c>
    </row>
    <row r="275" spans="1:14" ht="13.8">
      <c r="A275" s="197">
        <v>39200</v>
      </c>
      <c r="B275" s="199" t="s">
        <v>461</v>
      </c>
      <c r="C275" s="202">
        <v>1570334</v>
      </c>
      <c r="D275" s="202">
        <v>1376198</v>
      </c>
      <c r="E275" s="202">
        <v>2051070</v>
      </c>
      <c r="F275" s="202">
        <v>114427</v>
      </c>
      <c r="G275" s="202">
        <v>5716</v>
      </c>
      <c r="H275" s="202">
        <v>869777</v>
      </c>
      <c r="J275" s="202">
        <v>268060</v>
      </c>
      <c r="K275" s="202">
        <v>214136</v>
      </c>
      <c r="L275" s="202">
        <v>2184333</v>
      </c>
      <c r="M275" s="202">
        <v>-77703</v>
      </c>
      <c r="N275" s="202">
        <v>2106630</v>
      </c>
    </row>
    <row r="276" spans="1:14" ht="13.8">
      <c r="A276" s="197">
        <v>39201</v>
      </c>
      <c r="B276" s="199" t="s">
        <v>462</v>
      </c>
      <c r="C276" s="202">
        <v>6973</v>
      </c>
      <c r="D276" s="202">
        <v>6111</v>
      </c>
      <c r="E276" s="202">
        <v>9108</v>
      </c>
      <c r="F276" s="202">
        <v>508</v>
      </c>
      <c r="G276" s="202">
        <v>238</v>
      </c>
      <c r="H276" s="202">
        <v>3862</v>
      </c>
      <c r="J276" s="202">
        <v>1190</v>
      </c>
      <c r="K276" s="202">
        <v>4997</v>
      </c>
      <c r="L276" s="202">
        <v>9700</v>
      </c>
      <c r="M276" s="202">
        <v>-1643</v>
      </c>
      <c r="N276" s="202">
        <v>8057</v>
      </c>
    </row>
    <row r="277" spans="1:14" ht="13.8">
      <c r="A277" s="197">
        <v>39204</v>
      </c>
      <c r="B277" s="199" t="s">
        <v>463</v>
      </c>
      <c r="C277" s="202">
        <v>6723</v>
      </c>
      <c r="D277" s="202">
        <v>5892</v>
      </c>
      <c r="E277" s="202">
        <v>8782</v>
      </c>
      <c r="F277" s="202">
        <v>490</v>
      </c>
      <c r="G277" s="202">
        <v>2225</v>
      </c>
      <c r="H277" s="202">
        <v>3724</v>
      </c>
      <c r="J277" s="202">
        <v>1148</v>
      </c>
      <c r="K277" s="202">
        <v>8274</v>
      </c>
      <c r="L277" s="202">
        <v>9352</v>
      </c>
      <c r="M277" s="202">
        <v>-2095</v>
      </c>
      <c r="N277" s="202">
        <v>7257</v>
      </c>
    </row>
    <row r="278" spans="1:14" ht="13.8">
      <c r="A278" s="197">
        <v>39205</v>
      </c>
      <c r="B278" s="199" t="s">
        <v>108</v>
      </c>
      <c r="C278" s="202">
        <v>135632</v>
      </c>
      <c r="D278" s="202">
        <v>118864</v>
      </c>
      <c r="E278" s="202">
        <v>177153</v>
      </c>
      <c r="F278" s="202">
        <v>9883</v>
      </c>
      <c r="G278" s="202">
        <v>15912</v>
      </c>
      <c r="H278" s="202">
        <v>75124</v>
      </c>
      <c r="J278" s="202">
        <v>23153</v>
      </c>
      <c r="K278" s="202">
        <v>32872</v>
      </c>
      <c r="L278" s="202">
        <v>188663</v>
      </c>
      <c r="M278" s="202">
        <v>-3406</v>
      </c>
      <c r="N278" s="202">
        <v>185257</v>
      </c>
    </row>
    <row r="279" spans="1:14" ht="13.8">
      <c r="A279" s="197">
        <v>39208</v>
      </c>
      <c r="B279" s="199" t="s">
        <v>464</v>
      </c>
      <c r="C279" s="202">
        <v>9790</v>
      </c>
      <c r="D279" s="202">
        <v>8580</v>
      </c>
      <c r="E279" s="202">
        <v>12787</v>
      </c>
      <c r="F279" s="202">
        <v>713</v>
      </c>
      <c r="G279" s="202">
        <v>472</v>
      </c>
      <c r="H279" s="202">
        <v>5422</v>
      </c>
      <c r="J279" s="202">
        <v>1671</v>
      </c>
      <c r="K279" s="202">
        <v>4464</v>
      </c>
      <c r="L279" s="202">
        <v>13618</v>
      </c>
      <c r="M279" s="202">
        <v>-1448</v>
      </c>
      <c r="N279" s="202">
        <v>12170</v>
      </c>
    </row>
    <row r="280" spans="1:14" ht="13.8">
      <c r="A280" s="198">
        <v>39209</v>
      </c>
      <c r="B280" s="200" t="s">
        <v>465</v>
      </c>
      <c r="C280" s="203">
        <v>0</v>
      </c>
      <c r="D280" s="203">
        <v>0</v>
      </c>
      <c r="E280" s="203">
        <v>0</v>
      </c>
      <c r="F280" s="203">
        <v>0</v>
      </c>
      <c r="G280" s="203">
        <v>7671</v>
      </c>
      <c r="H280" s="203">
        <v>0</v>
      </c>
      <c r="J280" s="203">
        <v>0</v>
      </c>
      <c r="K280" s="203">
        <v>1785</v>
      </c>
      <c r="L280" s="203">
        <v>0</v>
      </c>
      <c r="M280" s="203">
        <v>1588</v>
      </c>
      <c r="N280" s="203">
        <v>1588</v>
      </c>
    </row>
    <row r="281" spans="1:14" ht="13.8">
      <c r="A281" s="198">
        <v>39220</v>
      </c>
      <c r="B281" s="200" t="s">
        <v>466</v>
      </c>
      <c r="C281" s="203">
        <v>0</v>
      </c>
      <c r="D281" s="203">
        <v>0</v>
      </c>
      <c r="E281" s="203">
        <v>0</v>
      </c>
      <c r="F281" s="203">
        <v>0</v>
      </c>
      <c r="G281" s="203">
        <v>1657</v>
      </c>
      <c r="H281" s="203">
        <v>0</v>
      </c>
      <c r="J281" s="203">
        <v>0</v>
      </c>
      <c r="K281" s="203">
        <v>3795</v>
      </c>
      <c r="L281" s="203">
        <v>0</v>
      </c>
      <c r="M281" s="203">
        <v>-166</v>
      </c>
      <c r="N281" s="203">
        <v>-166</v>
      </c>
    </row>
    <row r="282" spans="1:14" ht="13.8">
      <c r="A282" s="198">
        <v>39300</v>
      </c>
      <c r="B282" s="200" t="s">
        <v>467</v>
      </c>
      <c r="C282" s="203">
        <v>17745</v>
      </c>
      <c r="D282" s="203">
        <v>15551</v>
      </c>
      <c r="E282" s="203">
        <v>23177</v>
      </c>
      <c r="F282" s="203">
        <v>1293</v>
      </c>
      <c r="G282" s="203">
        <v>11568</v>
      </c>
      <c r="H282" s="203">
        <v>9829</v>
      </c>
      <c r="J282" s="203">
        <v>3029</v>
      </c>
      <c r="K282" s="203">
        <v>1488</v>
      </c>
      <c r="L282" s="203">
        <v>24683</v>
      </c>
      <c r="M282" s="203">
        <v>2272</v>
      </c>
      <c r="N282" s="203">
        <v>26955</v>
      </c>
    </row>
    <row r="283" spans="1:14" ht="13.8">
      <c r="A283" s="198">
        <v>39301</v>
      </c>
      <c r="B283" s="200" t="s">
        <v>468</v>
      </c>
      <c r="C283" s="203">
        <v>1505</v>
      </c>
      <c r="D283" s="203">
        <v>1319</v>
      </c>
      <c r="E283" s="203">
        <v>1966</v>
      </c>
      <c r="F283" s="203">
        <v>110</v>
      </c>
      <c r="G283" s="203">
        <v>821</v>
      </c>
      <c r="H283" s="203">
        <v>834</v>
      </c>
      <c r="J283" s="203">
        <v>257</v>
      </c>
      <c r="K283" s="203">
        <v>1175</v>
      </c>
      <c r="L283" s="203">
        <v>2094</v>
      </c>
      <c r="M283" s="203">
        <v>-12</v>
      </c>
      <c r="N283" s="203">
        <v>2082</v>
      </c>
    </row>
    <row r="284" spans="1:14" ht="13.8">
      <c r="A284" s="198">
        <v>39400</v>
      </c>
      <c r="B284" s="200" t="s">
        <v>469</v>
      </c>
      <c r="C284" s="203">
        <v>10165</v>
      </c>
      <c r="D284" s="203">
        <v>8908</v>
      </c>
      <c r="E284" s="203">
        <v>13277</v>
      </c>
      <c r="F284" s="203">
        <v>741</v>
      </c>
      <c r="G284" s="203">
        <v>11161</v>
      </c>
      <c r="H284" s="203">
        <v>5630</v>
      </c>
      <c r="J284" s="203">
        <v>1735</v>
      </c>
      <c r="K284" s="203">
        <v>0</v>
      </c>
      <c r="L284" s="203">
        <v>14139</v>
      </c>
      <c r="M284" s="203">
        <v>2957</v>
      </c>
      <c r="N284" s="203">
        <v>17096</v>
      </c>
    </row>
    <row r="285" spans="1:14" ht="13.8">
      <c r="A285" s="198">
        <v>39401</v>
      </c>
      <c r="B285" s="200" t="s">
        <v>470</v>
      </c>
      <c r="C285" s="203">
        <v>12678</v>
      </c>
      <c r="D285" s="203">
        <v>11111</v>
      </c>
      <c r="E285" s="203">
        <v>16560</v>
      </c>
      <c r="F285" s="203">
        <v>924</v>
      </c>
      <c r="G285" s="203">
        <v>0</v>
      </c>
      <c r="H285" s="203">
        <v>7022</v>
      </c>
      <c r="J285" s="203">
        <v>2164</v>
      </c>
      <c r="K285" s="203">
        <v>13582</v>
      </c>
      <c r="L285" s="203">
        <v>17636</v>
      </c>
      <c r="M285" s="203">
        <v>-4283</v>
      </c>
      <c r="N285" s="203">
        <v>13353</v>
      </c>
    </row>
    <row r="286" spans="1:14" ht="13.8">
      <c r="A286" s="197">
        <v>39500</v>
      </c>
      <c r="B286" s="199" t="s">
        <v>471</v>
      </c>
      <c r="C286" s="202">
        <v>51732</v>
      </c>
      <c r="D286" s="202">
        <v>45336</v>
      </c>
      <c r="E286" s="202">
        <v>67569</v>
      </c>
      <c r="F286" s="202">
        <v>3770</v>
      </c>
      <c r="G286" s="202">
        <v>1810</v>
      </c>
      <c r="H286" s="202">
        <v>28653</v>
      </c>
      <c r="J286" s="202">
        <v>8831</v>
      </c>
      <c r="K286" s="202">
        <v>16996</v>
      </c>
      <c r="L286" s="202">
        <v>71959</v>
      </c>
      <c r="M286" s="202">
        <v>-4084</v>
      </c>
      <c r="N286" s="202">
        <v>67875</v>
      </c>
    </row>
    <row r="287" spans="1:14" ht="13.8">
      <c r="A287" s="197">
        <v>39501</v>
      </c>
      <c r="B287" s="199" t="s">
        <v>472</v>
      </c>
      <c r="C287" s="202">
        <v>1303</v>
      </c>
      <c r="D287" s="202">
        <v>1142</v>
      </c>
      <c r="E287" s="202">
        <v>1702</v>
      </c>
      <c r="F287" s="202">
        <v>95</v>
      </c>
      <c r="G287" s="202">
        <v>290</v>
      </c>
      <c r="H287" s="202">
        <v>722</v>
      </c>
      <c r="J287" s="202">
        <v>222</v>
      </c>
      <c r="K287" s="202">
        <v>362</v>
      </c>
      <c r="L287" s="202">
        <v>1813</v>
      </c>
      <c r="M287" s="202">
        <v>65</v>
      </c>
      <c r="N287" s="202">
        <v>1878</v>
      </c>
    </row>
    <row r="288" spans="1:14" ht="13.8">
      <c r="A288" s="197">
        <v>39600</v>
      </c>
      <c r="B288" s="199" t="s">
        <v>473</v>
      </c>
      <c r="C288" s="202">
        <v>135882</v>
      </c>
      <c r="D288" s="202">
        <v>119083</v>
      </c>
      <c r="E288" s="202">
        <v>177480</v>
      </c>
      <c r="F288" s="202">
        <v>9901</v>
      </c>
      <c r="G288" s="202">
        <v>42602</v>
      </c>
      <c r="H288" s="202">
        <v>75262</v>
      </c>
      <c r="J288" s="202">
        <v>23195</v>
      </c>
      <c r="K288" s="202">
        <v>436</v>
      </c>
      <c r="L288" s="202">
        <v>189011</v>
      </c>
      <c r="M288" s="202">
        <v>7804</v>
      </c>
      <c r="N288" s="202">
        <v>196815</v>
      </c>
    </row>
    <row r="289" spans="1:14" ht="13.8">
      <c r="A289" s="197">
        <v>39605</v>
      </c>
      <c r="B289" s="199" t="s">
        <v>109</v>
      </c>
      <c r="C289" s="202">
        <v>19865</v>
      </c>
      <c r="D289" s="202">
        <v>17409</v>
      </c>
      <c r="E289" s="202">
        <v>25946</v>
      </c>
      <c r="F289" s="202">
        <v>1447</v>
      </c>
      <c r="G289" s="202">
        <v>5398</v>
      </c>
      <c r="H289" s="202">
        <v>11003</v>
      </c>
      <c r="J289" s="202">
        <v>3391</v>
      </c>
      <c r="K289" s="202">
        <v>1569</v>
      </c>
      <c r="L289" s="202">
        <v>27632</v>
      </c>
      <c r="M289" s="202">
        <v>1314</v>
      </c>
      <c r="N289" s="202">
        <v>28946</v>
      </c>
    </row>
    <row r="290" spans="1:14" ht="13.8">
      <c r="A290" s="197">
        <v>39700</v>
      </c>
      <c r="B290" s="199" t="s">
        <v>474</v>
      </c>
      <c r="C290" s="202">
        <v>76535</v>
      </c>
      <c r="D290" s="202">
        <v>67073</v>
      </c>
      <c r="E290" s="202">
        <v>99966</v>
      </c>
      <c r="F290" s="202">
        <v>5577</v>
      </c>
      <c r="G290" s="202">
        <v>11999</v>
      </c>
      <c r="H290" s="202">
        <v>42391</v>
      </c>
      <c r="J290" s="202">
        <v>13065</v>
      </c>
      <c r="K290" s="202">
        <v>0</v>
      </c>
      <c r="L290" s="202">
        <v>106461</v>
      </c>
      <c r="M290" s="202">
        <v>3967</v>
      </c>
      <c r="N290" s="202">
        <v>110428</v>
      </c>
    </row>
    <row r="291" spans="1:14" ht="13.8">
      <c r="A291" s="197">
        <v>39703</v>
      </c>
      <c r="B291" s="199" t="s">
        <v>475</v>
      </c>
      <c r="C291" s="202">
        <v>5936</v>
      </c>
      <c r="D291" s="202">
        <v>5202</v>
      </c>
      <c r="E291" s="202">
        <v>7754</v>
      </c>
      <c r="F291" s="202">
        <v>433</v>
      </c>
      <c r="G291" s="202">
        <v>0</v>
      </c>
      <c r="H291" s="202">
        <v>3288</v>
      </c>
      <c r="J291" s="202">
        <v>1013</v>
      </c>
      <c r="K291" s="202">
        <v>4487</v>
      </c>
      <c r="L291" s="202">
        <v>8257</v>
      </c>
      <c r="M291" s="202">
        <v>-1850</v>
      </c>
      <c r="N291" s="202">
        <v>6407</v>
      </c>
    </row>
    <row r="292" spans="1:14" ht="13.8">
      <c r="A292" s="198">
        <v>39705</v>
      </c>
      <c r="B292" s="200" t="s">
        <v>110</v>
      </c>
      <c r="C292" s="203">
        <v>20349</v>
      </c>
      <c r="D292" s="203">
        <v>17833</v>
      </c>
      <c r="E292" s="203">
        <v>26578</v>
      </c>
      <c r="F292" s="203">
        <v>1483</v>
      </c>
      <c r="G292" s="203">
        <v>3015</v>
      </c>
      <c r="H292" s="203">
        <v>11271</v>
      </c>
      <c r="J292" s="203">
        <v>3474</v>
      </c>
      <c r="K292" s="203">
        <v>733</v>
      </c>
      <c r="L292" s="203">
        <v>28305</v>
      </c>
      <c r="M292" s="203">
        <v>780</v>
      </c>
      <c r="N292" s="203">
        <v>29085</v>
      </c>
    </row>
    <row r="293" spans="1:14" ht="13.8">
      <c r="A293" s="198">
        <v>39800</v>
      </c>
      <c r="B293" s="200" t="s">
        <v>476</v>
      </c>
      <c r="C293" s="203">
        <v>85511</v>
      </c>
      <c r="D293" s="203">
        <v>74940</v>
      </c>
      <c r="E293" s="203">
        <v>111690</v>
      </c>
      <c r="F293" s="203">
        <v>6231</v>
      </c>
      <c r="G293" s="203">
        <v>30083</v>
      </c>
      <c r="H293" s="203">
        <v>47363</v>
      </c>
      <c r="J293" s="203">
        <v>14597</v>
      </c>
      <c r="K293" s="203">
        <v>292</v>
      </c>
      <c r="L293" s="203">
        <v>118946</v>
      </c>
      <c r="M293" s="203">
        <v>6431</v>
      </c>
      <c r="N293" s="203">
        <v>125377</v>
      </c>
    </row>
    <row r="294" spans="1:14" ht="13.8">
      <c r="A294" s="198">
        <v>39805</v>
      </c>
      <c r="B294" s="200" t="s">
        <v>111</v>
      </c>
      <c r="C294" s="203">
        <v>9771</v>
      </c>
      <c r="D294" s="203">
        <v>8563</v>
      </c>
      <c r="E294" s="203">
        <v>12763</v>
      </c>
      <c r="F294" s="203">
        <v>712</v>
      </c>
      <c r="G294" s="203">
        <v>3520</v>
      </c>
      <c r="H294" s="203">
        <v>5412</v>
      </c>
      <c r="J294" s="203">
        <v>1668</v>
      </c>
      <c r="K294" s="203">
        <v>35</v>
      </c>
      <c r="L294" s="203">
        <v>13592</v>
      </c>
      <c r="M294" s="203">
        <v>1397</v>
      </c>
      <c r="N294" s="203">
        <v>14989</v>
      </c>
    </row>
    <row r="295" spans="1:14" ht="13.8">
      <c r="A295" s="198">
        <v>39900</v>
      </c>
      <c r="B295" s="200" t="s">
        <v>477</v>
      </c>
      <c r="C295" s="203">
        <v>46514</v>
      </c>
      <c r="D295" s="203">
        <v>40763</v>
      </c>
      <c r="E295" s="203">
        <v>60753</v>
      </c>
      <c r="F295" s="203">
        <v>3389</v>
      </c>
      <c r="G295" s="203">
        <v>14839</v>
      </c>
      <c r="H295" s="203">
        <v>25763</v>
      </c>
      <c r="J295" s="203">
        <v>7940</v>
      </c>
      <c r="K295" s="203">
        <v>4770</v>
      </c>
      <c r="L295" s="203">
        <v>64701</v>
      </c>
      <c r="M295" s="203">
        <v>2734</v>
      </c>
      <c r="N295" s="203">
        <v>67435</v>
      </c>
    </row>
    <row r="296" spans="1:14" ht="13.8">
      <c r="A296" s="198">
        <v>51000</v>
      </c>
      <c r="B296" s="200" t="s">
        <v>478</v>
      </c>
      <c r="C296" s="203">
        <v>645464</v>
      </c>
      <c r="D296" s="203">
        <v>565667</v>
      </c>
      <c r="E296" s="203">
        <v>843063</v>
      </c>
      <c r="F296" s="203">
        <v>47034</v>
      </c>
      <c r="G296" s="203">
        <v>454083</v>
      </c>
      <c r="H296" s="203">
        <v>357510</v>
      </c>
      <c r="J296" s="203">
        <v>110182</v>
      </c>
      <c r="K296" s="203">
        <v>108947</v>
      </c>
      <c r="L296" s="203">
        <v>897839</v>
      </c>
      <c r="M296" s="203">
        <v>119611</v>
      </c>
      <c r="N296" s="203">
        <v>1017450</v>
      </c>
    </row>
    <row r="297" spans="1:14" ht="13.8">
      <c r="A297" s="198">
        <v>51000.2</v>
      </c>
      <c r="B297" s="200" t="s">
        <v>479</v>
      </c>
      <c r="C297" s="203">
        <v>755</v>
      </c>
      <c r="D297" s="203">
        <v>662</v>
      </c>
      <c r="E297" s="203">
        <v>987</v>
      </c>
      <c r="F297" s="203">
        <v>55</v>
      </c>
      <c r="G297" s="203">
        <v>2325</v>
      </c>
      <c r="H297" s="203">
        <v>418</v>
      </c>
      <c r="J297" s="203">
        <v>129</v>
      </c>
      <c r="K297" s="203">
        <v>1764</v>
      </c>
      <c r="L297" s="203">
        <v>1051</v>
      </c>
      <c r="M297" s="203">
        <v>294</v>
      </c>
      <c r="N297" s="203">
        <v>1345</v>
      </c>
    </row>
    <row r="298" spans="1:14" ht="13.8">
      <c r="A298" s="197">
        <v>51000.3</v>
      </c>
      <c r="B298" s="199" t="s">
        <v>480</v>
      </c>
      <c r="C298" s="204">
        <v>23202</v>
      </c>
      <c r="D298" s="204">
        <v>20334</v>
      </c>
      <c r="E298" s="204">
        <v>30305</v>
      </c>
      <c r="F298" s="204">
        <v>1691</v>
      </c>
      <c r="G298" s="204">
        <v>1404</v>
      </c>
      <c r="H298" s="204">
        <v>12851</v>
      </c>
      <c r="J298" s="204">
        <v>3961</v>
      </c>
      <c r="K298" s="204">
        <v>4468</v>
      </c>
      <c r="L298" s="204">
        <v>32274</v>
      </c>
      <c r="M298" s="204">
        <v>-1211</v>
      </c>
      <c r="N298" s="204">
        <v>31063</v>
      </c>
    </row>
    <row r="299" spans="1:14" ht="14.4">
      <c r="A299" s="152"/>
      <c r="B299" s="153"/>
      <c r="C299" s="176"/>
      <c r="D299" s="175"/>
      <c r="E299" s="175"/>
      <c r="F299" s="175"/>
      <c r="G299" s="176"/>
      <c r="H299" s="175"/>
      <c r="I299" s="171"/>
      <c r="J299" s="175"/>
      <c r="K299" s="177"/>
      <c r="L299" s="175"/>
      <c r="M299" s="154"/>
      <c r="N299" s="154"/>
    </row>
    <row r="300" spans="1:14" ht="15.6" customHeight="1" thickBot="1">
      <c r="A300" s="149" t="s">
        <v>186</v>
      </c>
      <c r="B300" s="150"/>
      <c r="C300" s="151">
        <f t="shared" ref="C300:N300" si="0">SUM(C4:C299)</f>
        <v>26596008</v>
      </c>
      <c r="D300" s="151">
        <f t="shared" si="0"/>
        <v>23308000</v>
      </c>
      <c r="E300" s="151">
        <f t="shared" si="0"/>
        <v>34738006</v>
      </c>
      <c r="F300" s="151">
        <f t="shared" si="0"/>
        <v>1938002</v>
      </c>
      <c r="G300" s="151">
        <f t="shared" si="0"/>
        <v>5170373</v>
      </c>
      <c r="H300" s="151">
        <f t="shared" si="0"/>
        <v>14731002</v>
      </c>
      <c r="I300" s="151">
        <f t="shared" si="0"/>
        <v>0</v>
      </c>
      <c r="J300" s="151">
        <f t="shared" si="0"/>
        <v>4539990</v>
      </c>
      <c r="K300" s="151">
        <f t="shared" si="0"/>
        <v>5170331</v>
      </c>
      <c r="L300" s="151">
        <f t="shared" si="0"/>
        <v>36994998</v>
      </c>
      <c r="M300" s="151">
        <f t="shared" si="0"/>
        <v>-14</v>
      </c>
      <c r="N300" s="151">
        <f t="shared" si="0"/>
        <v>36994984</v>
      </c>
    </row>
    <row r="301" spans="1:14" s="205" customFormat="1" ht="15" thickTop="1" thickBot="1">
      <c r="B301" s="205" t="s">
        <v>547</v>
      </c>
      <c r="C301" s="205">
        <v>26596008</v>
      </c>
      <c r="D301" s="205">
        <v>23308000</v>
      </c>
      <c r="E301" s="205">
        <v>34738006</v>
      </c>
      <c r="F301" s="205">
        <v>1938002</v>
      </c>
      <c r="G301" s="205">
        <v>5170373</v>
      </c>
      <c r="H301" s="205">
        <v>14731002</v>
      </c>
      <c r="J301" s="205">
        <v>4539990</v>
      </c>
      <c r="K301" s="205">
        <v>5170331</v>
      </c>
      <c r="L301" s="205">
        <v>36994998</v>
      </c>
      <c r="M301" s="207">
        <v>-14</v>
      </c>
      <c r="N301" s="205">
        <v>36994984</v>
      </c>
    </row>
    <row r="302" spans="1:14" ht="13.8" thickTop="1">
      <c r="B302" t="s">
        <v>548</v>
      </c>
      <c r="C302" s="206">
        <f>C300-C301</f>
        <v>0</v>
      </c>
      <c r="D302" s="206">
        <f t="shared" ref="D302:N302" si="1">D300-D301</f>
        <v>0</v>
      </c>
      <c r="E302" s="206">
        <f t="shared" si="1"/>
        <v>0</v>
      </c>
      <c r="F302" s="206">
        <f t="shared" si="1"/>
        <v>0</v>
      </c>
      <c r="G302" s="206">
        <f t="shared" si="1"/>
        <v>0</v>
      </c>
      <c r="H302" s="206">
        <f t="shared" si="1"/>
        <v>0</v>
      </c>
      <c r="I302" s="206">
        <f t="shared" si="1"/>
        <v>0</v>
      </c>
      <c r="J302" s="206">
        <f t="shared" si="1"/>
        <v>0</v>
      </c>
      <c r="K302" s="206">
        <f t="shared" si="1"/>
        <v>0</v>
      </c>
      <c r="L302" s="206">
        <f t="shared" si="1"/>
        <v>0</v>
      </c>
      <c r="M302" s="206">
        <f t="shared" si="1"/>
        <v>0</v>
      </c>
      <c r="N302" s="206">
        <f t="shared" si="1"/>
        <v>0</v>
      </c>
    </row>
  </sheetData>
  <sheetProtection algorithmName="SHA-512" hashValue="8xJTJEwh3DhtHEmLkerbEgwApNydTzA39Rq+X5ojP6+wa5lFgaaYG9+HkGlpar3UZ3yFhF3CZxEuCgeFRaK8ZQ==" saltValue="XSCLqBj+5zAfPGGye7sXKg==" spinCount="100000" sheet="1" objects="1" scenarios="1"/>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02"/>
  <sheetViews>
    <sheetView workbookViewId="0">
      <pane ySplit="3" topLeftCell="A49" activePane="bottomLeft" state="frozen"/>
      <selection pane="bottomLeft" activeCell="C30" sqref="C30:E30"/>
    </sheetView>
  </sheetViews>
  <sheetFormatPr defaultRowHeight="13.2"/>
  <cols>
    <col min="1" max="1" width="15.33203125" customWidth="1"/>
    <col min="2" max="2" width="50.33203125" customWidth="1"/>
    <col min="3" max="7" width="19.33203125" customWidth="1"/>
    <col min="8" max="8" width="18.88671875" customWidth="1"/>
    <col min="13" max="18" width="9.109375" customWidth="1"/>
  </cols>
  <sheetData>
    <row r="1" spans="1:17">
      <c r="A1" s="7">
        <v>1</v>
      </c>
      <c r="B1" s="7">
        <v>2</v>
      </c>
      <c r="C1" s="7">
        <v>3</v>
      </c>
      <c r="D1" s="7">
        <v>4</v>
      </c>
      <c r="E1" s="7">
        <v>5</v>
      </c>
      <c r="F1" s="7">
        <v>6</v>
      </c>
      <c r="G1" s="7">
        <v>7</v>
      </c>
      <c r="H1" s="7">
        <v>8</v>
      </c>
    </row>
    <row r="2" spans="1:17" ht="14.4">
      <c r="C2" s="46" t="s">
        <v>245</v>
      </c>
      <c r="D2" s="46" t="s">
        <v>247</v>
      </c>
      <c r="E2" s="46" t="s">
        <v>248</v>
      </c>
      <c r="F2" s="46" t="s">
        <v>251</v>
      </c>
      <c r="G2" s="46" t="s">
        <v>539</v>
      </c>
      <c r="H2" s="46" t="s">
        <v>239</v>
      </c>
    </row>
    <row r="3" spans="1:17" ht="43.2">
      <c r="A3" s="46" t="s">
        <v>159</v>
      </c>
      <c r="B3" s="46" t="s">
        <v>160</v>
      </c>
      <c r="C3" s="46" t="s">
        <v>127</v>
      </c>
      <c r="D3" s="46" t="s">
        <v>127</v>
      </c>
      <c r="E3" s="46" t="s">
        <v>127</v>
      </c>
      <c r="F3" s="46" t="s">
        <v>127</v>
      </c>
      <c r="G3" s="46" t="s">
        <v>127</v>
      </c>
      <c r="H3" s="46" t="s">
        <v>127</v>
      </c>
    </row>
    <row r="4" spans="1:17">
      <c r="A4" s="195">
        <v>10200</v>
      </c>
      <c r="B4" s="193" t="s">
        <v>254</v>
      </c>
      <c r="C4" s="166">
        <v>13208</v>
      </c>
      <c r="D4" s="166">
        <v>7824</v>
      </c>
      <c r="E4" s="166">
        <v>11446</v>
      </c>
      <c r="F4" s="166">
        <v>3320</v>
      </c>
      <c r="G4" s="166">
        <v>1124</v>
      </c>
      <c r="H4" s="166">
        <v>966</v>
      </c>
      <c r="M4" s="164"/>
      <c r="N4" s="164"/>
      <c r="O4" s="164"/>
      <c r="P4" s="164"/>
      <c r="Q4" s="164"/>
    </row>
    <row r="5" spans="1:17">
      <c r="A5" s="195">
        <v>10400</v>
      </c>
      <c r="B5" s="193" t="s">
        <v>255</v>
      </c>
      <c r="C5" s="166">
        <v>37687</v>
      </c>
      <c r="D5" s="166">
        <v>20733</v>
      </c>
      <c r="E5" s="166">
        <v>32941</v>
      </c>
      <c r="F5" s="166">
        <v>10174</v>
      </c>
      <c r="G5" s="166">
        <v>4031</v>
      </c>
      <c r="H5" s="166">
        <v>2228</v>
      </c>
      <c r="M5" s="164"/>
      <c r="N5" s="164"/>
      <c r="O5" s="164"/>
      <c r="P5" s="164"/>
      <c r="Q5" s="164"/>
    </row>
    <row r="6" spans="1:17">
      <c r="A6" s="195">
        <v>10500</v>
      </c>
      <c r="B6" s="193" t="s">
        <v>482</v>
      </c>
      <c r="C6" s="166">
        <v>8565</v>
      </c>
      <c r="D6" s="166">
        <v>5253</v>
      </c>
      <c r="E6" s="166">
        <v>7428</v>
      </c>
      <c r="F6" s="166">
        <v>2182</v>
      </c>
      <c r="G6" s="166">
        <v>997</v>
      </c>
      <c r="H6" s="166">
        <v>607</v>
      </c>
      <c r="M6" s="164"/>
      <c r="N6" s="164"/>
      <c r="O6" s="164"/>
      <c r="P6" s="164"/>
      <c r="Q6" s="164"/>
    </row>
    <row r="7" spans="1:17">
      <c r="A7" s="195">
        <v>10700</v>
      </c>
      <c r="B7" s="193" t="s">
        <v>257</v>
      </c>
      <c r="C7" s="166">
        <v>57391</v>
      </c>
      <c r="D7" s="166">
        <v>34347</v>
      </c>
      <c r="E7" s="166">
        <v>52031</v>
      </c>
      <c r="F7" s="166">
        <v>17039</v>
      </c>
      <c r="G7" s="166">
        <v>8354</v>
      </c>
      <c r="H7" s="166">
        <v>4818</v>
      </c>
      <c r="M7" s="164"/>
      <c r="N7" s="164"/>
      <c r="O7" s="164"/>
      <c r="P7" s="164"/>
      <c r="Q7" s="164"/>
    </row>
    <row r="8" spans="1:17">
      <c r="A8" s="195">
        <v>10800</v>
      </c>
      <c r="B8" s="193" t="s">
        <v>258</v>
      </c>
      <c r="C8" s="166">
        <v>261183</v>
      </c>
      <c r="D8" s="166">
        <v>164934</v>
      </c>
      <c r="E8" s="166">
        <v>242883</v>
      </c>
      <c r="F8" s="166">
        <v>93928</v>
      </c>
      <c r="G8" s="166">
        <v>38044</v>
      </c>
      <c r="H8" s="166">
        <v>22727</v>
      </c>
      <c r="M8" s="164"/>
      <c r="N8" s="164"/>
      <c r="O8" s="164"/>
      <c r="P8" s="164"/>
      <c r="Q8" s="164"/>
    </row>
    <row r="9" spans="1:17">
      <c r="A9" s="195">
        <v>10850</v>
      </c>
      <c r="B9" s="193" t="s">
        <v>483</v>
      </c>
      <c r="C9" s="166">
        <v>2920</v>
      </c>
      <c r="D9" s="166">
        <v>2051</v>
      </c>
      <c r="E9" s="166">
        <v>2587</v>
      </c>
      <c r="F9" s="166">
        <v>1395</v>
      </c>
      <c r="G9" s="166">
        <v>454</v>
      </c>
      <c r="H9" s="166">
        <v>287</v>
      </c>
      <c r="M9" s="164"/>
      <c r="N9" s="164"/>
      <c r="O9" s="164"/>
      <c r="P9" s="164"/>
      <c r="Q9" s="164"/>
    </row>
    <row r="10" spans="1:17">
      <c r="A10" s="195">
        <v>10900</v>
      </c>
      <c r="B10" s="193" t="s">
        <v>260</v>
      </c>
      <c r="C10" s="166">
        <v>27421</v>
      </c>
      <c r="D10" s="166">
        <v>15463</v>
      </c>
      <c r="E10" s="166">
        <v>19283</v>
      </c>
      <c r="F10" s="166">
        <v>7595</v>
      </c>
      <c r="G10" s="166">
        <v>2820</v>
      </c>
      <c r="H10" s="166">
        <v>1121</v>
      </c>
      <c r="M10" s="164"/>
      <c r="N10" s="164"/>
      <c r="O10" s="164"/>
      <c r="P10" s="164"/>
      <c r="Q10" s="164"/>
    </row>
    <row r="11" spans="1:17">
      <c r="A11" s="195">
        <v>10910</v>
      </c>
      <c r="B11" s="193" t="s">
        <v>484</v>
      </c>
      <c r="C11" s="166">
        <v>4209</v>
      </c>
      <c r="D11" s="166">
        <v>1612</v>
      </c>
      <c r="E11" s="166">
        <v>4506</v>
      </c>
      <c r="F11" s="166">
        <v>328</v>
      </c>
      <c r="G11" s="166">
        <v>97</v>
      </c>
      <c r="H11" s="166">
        <v>85</v>
      </c>
      <c r="M11" s="164"/>
      <c r="N11" s="164"/>
      <c r="O11" s="164"/>
      <c r="P11" s="164"/>
      <c r="Q11" s="164"/>
    </row>
    <row r="12" spans="1:17">
      <c r="A12" s="195">
        <v>10930</v>
      </c>
      <c r="B12" s="193" t="s">
        <v>485</v>
      </c>
      <c r="C12" s="166">
        <v>52140</v>
      </c>
      <c r="D12" s="166">
        <v>24537</v>
      </c>
      <c r="E12" s="166">
        <v>39872</v>
      </c>
      <c r="F12" s="166">
        <v>1815</v>
      </c>
      <c r="G12" s="166">
        <v>6170</v>
      </c>
      <c r="H12" s="166">
        <v>4847</v>
      </c>
      <c r="M12" s="164"/>
      <c r="N12" s="164"/>
      <c r="O12" s="164"/>
      <c r="P12" s="164"/>
      <c r="Q12" s="164"/>
    </row>
    <row r="13" spans="1:17">
      <c r="A13" s="195">
        <v>10940</v>
      </c>
      <c r="B13" s="193" t="s">
        <v>263</v>
      </c>
      <c r="C13" s="166">
        <v>10678</v>
      </c>
      <c r="D13" s="166">
        <v>6987</v>
      </c>
      <c r="E13" s="166">
        <v>9004</v>
      </c>
      <c r="F13" s="166">
        <v>3840</v>
      </c>
      <c r="G13" s="166">
        <v>1427</v>
      </c>
      <c r="H13" s="166">
        <v>1040</v>
      </c>
      <c r="M13" s="164"/>
      <c r="N13" s="164"/>
      <c r="O13" s="164"/>
      <c r="P13" s="164"/>
      <c r="Q13" s="164"/>
    </row>
    <row r="14" spans="1:17">
      <c r="A14" s="195">
        <v>10950</v>
      </c>
      <c r="B14" s="193" t="s">
        <v>36</v>
      </c>
      <c r="C14" s="166">
        <v>10385</v>
      </c>
      <c r="D14" s="166">
        <v>5730</v>
      </c>
      <c r="E14" s="166">
        <v>11333</v>
      </c>
      <c r="F14" s="166">
        <v>3464</v>
      </c>
      <c r="G14" s="166">
        <v>1627</v>
      </c>
      <c r="H14" s="166">
        <v>1784</v>
      </c>
      <c r="M14" s="164"/>
      <c r="N14" s="164"/>
      <c r="O14" s="164"/>
      <c r="P14" s="164"/>
      <c r="Q14" s="164"/>
    </row>
    <row r="15" spans="1:17">
      <c r="A15" s="195">
        <v>11050</v>
      </c>
      <c r="B15" s="193" t="s">
        <v>486</v>
      </c>
      <c r="C15" s="166">
        <v>981</v>
      </c>
      <c r="D15" s="166">
        <v>2250</v>
      </c>
      <c r="E15" s="166">
        <v>2762</v>
      </c>
      <c r="F15" s="166">
        <v>1072</v>
      </c>
      <c r="G15" s="166">
        <v>196</v>
      </c>
      <c r="H15" s="166">
        <v>127</v>
      </c>
      <c r="M15" s="164"/>
      <c r="N15" s="164"/>
      <c r="O15" s="164"/>
      <c r="P15" s="164"/>
      <c r="Q15" s="164"/>
    </row>
    <row r="16" spans="1:17">
      <c r="A16" s="195">
        <v>11300</v>
      </c>
      <c r="B16" s="193" t="s">
        <v>516</v>
      </c>
      <c r="C16" s="166">
        <v>68495</v>
      </c>
      <c r="D16" s="166">
        <v>43897</v>
      </c>
      <c r="E16" s="166">
        <v>54216</v>
      </c>
      <c r="F16" s="166">
        <v>22269</v>
      </c>
      <c r="G16" s="166">
        <v>9958</v>
      </c>
      <c r="H16" s="166">
        <v>5605</v>
      </c>
      <c r="M16" s="164"/>
      <c r="N16" s="164"/>
      <c r="O16" s="164"/>
      <c r="P16" s="164"/>
      <c r="Q16" s="164"/>
    </row>
    <row r="17" spans="1:17">
      <c r="A17" s="195">
        <v>11310</v>
      </c>
      <c r="B17" s="193" t="s">
        <v>112</v>
      </c>
      <c r="C17" s="166">
        <v>7266</v>
      </c>
      <c r="D17" s="166">
        <v>4996</v>
      </c>
      <c r="E17" s="166">
        <v>6521</v>
      </c>
      <c r="F17" s="166">
        <v>2701</v>
      </c>
      <c r="G17" s="166">
        <v>1076</v>
      </c>
      <c r="H17" s="166">
        <v>634</v>
      </c>
      <c r="M17" s="164"/>
      <c r="N17" s="164"/>
      <c r="O17" s="164"/>
      <c r="P17" s="164"/>
      <c r="Q17" s="164"/>
    </row>
    <row r="18" spans="1:17">
      <c r="A18" s="195">
        <v>11600</v>
      </c>
      <c r="B18" s="193" t="s">
        <v>268</v>
      </c>
      <c r="C18" s="166">
        <v>23198</v>
      </c>
      <c r="D18" s="166">
        <v>12144</v>
      </c>
      <c r="E18" s="166">
        <v>22352</v>
      </c>
      <c r="F18" s="166">
        <v>5251</v>
      </c>
      <c r="G18" s="166">
        <v>3108</v>
      </c>
      <c r="H18" s="166">
        <v>2688</v>
      </c>
      <c r="M18" s="164"/>
      <c r="N18" s="164"/>
      <c r="O18" s="164"/>
      <c r="P18" s="164"/>
      <c r="Q18" s="164"/>
    </row>
    <row r="19" spans="1:17">
      <c r="A19" s="195">
        <v>11900</v>
      </c>
      <c r="B19" s="193" t="s">
        <v>269</v>
      </c>
      <c r="C19" s="166">
        <v>2862</v>
      </c>
      <c r="D19" s="166">
        <v>1384</v>
      </c>
      <c r="E19" s="166">
        <v>1849</v>
      </c>
      <c r="F19" s="166">
        <v>-555</v>
      </c>
      <c r="G19" s="166">
        <v>-421</v>
      </c>
      <c r="H19" s="166">
        <v>-556</v>
      </c>
      <c r="M19" s="164"/>
      <c r="N19" s="164"/>
      <c r="O19" s="164"/>
      <c r="P19" s="164"/>
      <c r="Q19" s="164"/>
    </row>
    <row r="20" spans="1:17">
      <c r="A20" s="195">
        <v>12100</v>
      </c>
      <c r="B20" s="193" t="s">
        <v>488</v>
      </c>
      <c r="C20" s="166">
        <v>3410</v>
      </c>
      <c r="D20" s="166">
        <v>1656</v>
      </c>
      <c r="E20" s="166">
        <v>3047</v>
      </c>
      <c r="F20" s="166">
        <v>785</v>
      </c>
      <c r="G20" s="166">
        <v>279</v>
      </c>
      <c r="H20" s="166">
        <v>176</v>
      </c>
      <c r="M20" s="164"/>
      <c r="N20" s="164"/>
      <c r="O20" s="164"/>
      <c r="P20" s="164"/>
      <c r="Q20" s="164"/>
    </row>
    <row r="21" spans="1:17">
      <c r="A21" s="195">
        <v>12150</v>
      </c>
      <c r="B21" s="193" t="s">
        <v>489</v>
      </c>
      <c r="C21" s="166">
        <v>416</v>
      </c>
      <c r="D21" s="166">
        <v>261</v>
      </c>
      <c r="E21" s="166">
        <v>540</v>
      </c>
      <c r="F21" s="166">
        <v>193</v>
      </c>
      <c r="G21" s="166">
        <v>158</v>
      </c>
      <c r="H21" s="166">
        <v>54</v>
      </c>
      <c r="M21" s="164"/>
      <c r="N21" s="164"/>
      <c r="O21" s="164"/>
      <c r="P21" s="164"/>
      <c r="Q21" s="164"/>
    </row>
    <row r="22" spans="1:17">
      <c r="A22" s="195">
        <v>12160</v>
      </c>
      <c r="B22" s="193" t="s">
        <v>272</v>
      </c>
      <c r="C22" s="166">
        <v>26053</v>
      </c>
      <c r="D22" s="166">
        <v>16301</v>
      </c>
      <c r="E22" s="166">
        <v>21770</v>
      </c>
      <c r="F22" s="166">
        <v>8066</v>
      </c>
      <c r="G22" s="166">
        <v>3001</v>
      </c>
      <c r="H22" s="166">
        <v>2221</v>
      </c>
      <c r="M22" s="164"/>
      <c r="N22" s="164"/>
      <c r="O22" s="164"/>
      <c r="P22" s="164"/>
      <c r="Q22" s="164"/>
    </row>
    <row r="23" spans="1:17">
      <c r="A23" s="195">
        <v>12220</v>
      </c>
      <c r="B23" s="193" t="s">
        <v>517</v>
      </c>
      <c r="C23" s="166">
        <v>634517</v>
      </c>
      <c r="D23" s="166">
        <v>425380</v>
      </c>
      <c r="E23" s="166">
        <v>515955</v>
      </c>
      <c r="F23" s="166">
        <v>214761</v>
      </c>
      <c r="G23" s="166">
        <v>54342</v>
      </c>
      <c r="H23" s="166">
        <v>21234</v>
      </c>
      <c r="M23" s="164"/>
      <c r="N23" s="164"/>
      <c r="O23" s="164"/>
      <c r="P23" s="164"/>
      <c r="Q23" s="164"/>
    </row>
    <row r="24" spans="1:17">
      <c r="A24" s="195">
        <v>12510</v>
      </c>
      <c r="B24" s="193" t="s">
        <v>274</v>
      </c>
      <c r="C24" s="166">
        <v>80085</v>
      </c>
      <c r="D24" s="166">
        <v>48932</v>
      </c>
      <c r="E24" s="166">
        <v>51196</v>
      </c>
      <c r="F24" s="166">
        <v>22059</v>
      </c>
      <c r="G24" s="166">
        <v>7932</v>
      </c>
      <c r="H24" s="166">
        <v>2549</v>
      </c>
      <c r="M24" s="164"/>
      <c r="N24" s="164"/>
      <c r="O24" s="164"/>
      <c r="P24" s="164"/>
      <c r="Q24" s="164"/>
    </row>
    <row r="25" spans="1:17">
      <c r="A25" s="195">
        <v>12600</v>
      </c>
      <c r="B25" s="193" t="s">
        <v>491</v>
      </c>
      <c r="C25" s="166">
        <v>22092</v>
      </c>
      <c r="D25" s="166">
        <v>19557</v>
      </c>
      <c r="E25" s="166">
        <v>23648</v>
      </c>
      <c r="F25" s="166">
        <v>10687</v>
      </c>
      <c r="G25" s="166">
        <v>4566</v>
      </c>
      <c r="H25" s="166">
        <v>2818</v>
      </c>
      <c r="M25" s="164"/>
      <c r="N25" s="164"/>
      <c r="O25" s="164"/>
      <c r="P25" s="164"/>
      <c r="Q25" s="164"/>
    </row>
    <row r="26" spans="1:17">
      <c r="A26" s="195">
        <v>12700</v>
      </c>
      <c r="B26" s="193" t="s">
        <v>492</v>
      </c>
      <c r="C26" s="166">
        <v>16842</v>
      </c>
      <c r="D26" s="166">
        <v>11433</v>
      </c>
      <c r="E26" s="166">
        <v>13979</v>
      </c>
      <c r="F26" s="166">
        <v>6545</v>
      </c>
      <c r="G26" s="166">
        <v>3064</v>
      </c>
      <c r="H26" s="166">
        <v>1667</v>
      </c>
      <c r="M26" s="164"/>
      <c r="N26" s="164"/>
      <c r="O26" s="164"/>
      <c r="P26" s="164"/>
      <c r="Q26" s="164"/>
    </row>
    <row r="27" spans="1:17">
      <c r="A27" s="195">
        <v>13500</v>
      </c>
      <c r="B27" s="193" t="s">
        <v>493</v>
      </c>
      <c r="C27" s="166">
        <v>58358</v>
      </c>
      <c r="D27" s="166">
        <v>38738</v>
      </c>
      <c r="E27" s="166">
        <v>50464</v>
      </c>
      <c r="F27" s="166">
        <v>20948</v>
      </c>
      <c r="G27" s="166">
        <v>7176</v>
      </c>
      <c r="H27" s="166">
        <v>4860</v>
      </c>
      <c r="M27" s="164"/>
      <c r="N27" s="164"/>
      <c r="O27" s="164"/>
      <c r="P27" s="164"/>
      <c r="Q27" s="164"/>
    </row>
    <row r="28" spans="1:17">
      <c r="A28" s="195">
        <v>13700</v>
      </c>
      <c r="B28" s="193" t="s">
        <v>494</v>
      </c>
      <c r="C28" s="166">
        <v>7321</v>
      </c>
      <c r="D28" s="166">
        <v>5001</v>
      </c>
      <c r="E28" s="166">
        <v>6031</v>
      </c>
      <c r="F28" s="166">
        <v>2834</v>
      </c>
      <c r="G28" s="166">
        <v>797</v>
      </c>
      <c r="H28" s="166">
        <v>655</v>
      </c>
      <c r="M28" s="164"/>
      <c r="N28" s="164"/>
      <c r="O28" s="164"/>
      <c r="P28" s="164"/>
      <c r="Q28" s="164"/>
    </row>
    <row r="29" spans="1:17">
      <c r="A29" s="195">
        <v>14300</v>
      </c>
      <c r="B29" s="193" t="s">
        <v>518</v>
      </c>
      <c r="C29" s="166">
        <v>18543</v>
      </c>
      <c r="D29" s="166">
        <v>10236</v>
      </c>
      <c r="E29" s="166">
        <v>16873</v>
      </c>
      <c r="F29" s="166">
        <v>6565</v>
      </c>
      <c r="G29" s="166">
        <v>-61</v>
      </c>
      <c r="H29" s="166">
        <v>1034</v>
      </c>
      <c r="M29" s="164"/>
      <c r="N29" s="164"/>
      <c r="O29" s="164"/>
      <c r="P29" s="164"/>
      <c r="Q29" s="164"/>
    </row>
    <row r="30" spans="1:17">
      <c r="A30" s="195">
        <v>14300.2</v>
      </c>
      <c r="B30" s="193" t="s">
        <v>519</v>
      </c>
      <c r="C30" s="166">
        <v>5645</v>
      </c>
      <c r="D30" s="166">
        <v>4308</v>
      </c>
      <c r="E30" s="166">
        <v>2396</v>
      </c>
      <c r="F30" s="166">
        <v>1013</v>
      </c>
      <c r="G30" s="166">
        <v>396</v>
      </c>
      <c r="H30" s="166">
        <v>348</v>
      </c>
      <c r="M30" s="164"/>
      <c r="N30" s="164"/>
      <c r="O30" s="164"/>
      <c r="P30" s="164"/>
      <c r="Q30" s="164"/>
    </row>
    <row r="31" spans="1:17">
      <c r="A31" s="195">
        <v>18400</v>
      </c>
      <c r="B31" s="193" t="s">
        <v>496</v>
      </c>
      <c r="C31" s="166">
        <v>71606</v>
      </c>
      <c r="D31" s="166">
        <v>46824</v>
      </c>
      <c r="E31" s="166">
        <v>60774</v>
      </c>
      <c r="F31" s="166">
        <v>25180</v>
      </c>
      <c r="G31" s="166">
        <v>11416</v>
      </c>
      <c r="H31" s="166">
        <v>7413</v>
      </c>
      <c r="M31" s="164"/>
      <c r="N31" s="164"/>
      <c r="O31" s="164"/>
      <c r="P31" s="164"/>
      <c r="Q31" s="164"/>
    </row>
    <row r="32" spans="1:17">
      <c r="A32" s="195">
        <v>18600</v>
      </c>
      <c r="B32" s="193" t="s">
        <v>497</v>
      </c>
      <c r="C32" s="166">
        <v>230</v>
      </c>
      <c r="D32" s="166">
        <v>170</v>
      </c>
      <c r="E32" s="166">
        <v>147</v>
      </c>
      <c r="F32" s="166">
        <v>60</v>
      </c>
      <c r="G32" s="166">
        <v>22</v>
      </c>
      <c r="H32" s="166">
        <v>5</v>
      </c>
      <c r="M32" s="164"/>
      <c r="N32" s="164"/>
      <c r="O32" s="164"/>
      <c r="P32" s="164"/>
      <c r="Q32" s="164"/>
    </row>
    <row r="33" spans="1:17">
      <c r="A33" s="195">
        <v>18640</v>
      </c>
      <c r="B33" s="193" t="s">
        <v>283</v>
      </c>
      <c r="C33" s="166">
        <v>11</v>
      </c>
      <c r="D33" s="166">
        <v>18</v>
      </c>
      <c r="E33" s="166">
        <v>19</v>
      </c>
      <c r="F33" s="166">
        <v>5</v>
      </c>
      <c r="G33" s="166" t="s">
        <v>541</v>
      </c>
      <c r="H33" s="166">
        <v>2</v>
      </c>
      <c r="M33" s="164"/>
      <c r="N33" s="164"/>
      <c r="O33" s="164"/>
      <c r="P33" s="164"/>
      <c r="Q33" s="164"/>
    </row>
    <row r="34" spans="1:17">
      <c r="A34" s="195">
        <v>18740</v>
      </c>
      <c r="B34" s="193" t="s">
        <v>498</v>
      </c>
      <c r="C34" s="166">
        <v>130</v>
      </c>
      <c r="D34" s="166">
        <v>103</v>
      </c>
      <c r="E34" s="166">
        <v>95</v>
      </c>
      <c r="F34" s="166">
        <v>62</v>
      </c>
      <c r="G34" s="166">
        <v>21</v>
      </c>
      <c r="H34" s="166">
        <v>14</v>
      </c>
      <c r="M34" s="164"/>
      <c r="N34" s="164"/>
      <c r="O34" s="164"/>
      <c r="P34" s="164"/>
      <c r="Q34" s="164"/>
    </row>
    <row r="35" spans="1:17">
      <c r="A35" s="195">
        <v>18780</v>
      </c>
      <c r="B35" s="193" t="s">
        <v>520</v>
      </c>
      <c r="C35" s="166">
        <v>88</v>
      </c>
      <c r="D35" s="166">
        <v>50</v>
      </c>
      <c r="E35" s="166">
        <v>212</v>
      </c>
      <c r="F35" s="166">
        <v>23</v>
      </c>
      <c r="G35" s="166">
        <v>24</v>
      </c>
      <c r="H35" s="166">
        <v>22</v>
      </c>
      <c r="M35" s="164"/>
      <c r="N35" s="164"/>
      <c r="O35" s="164"/>
      <c r="P35" s="164"/>
      <c r="Q35" s="164"/>
    </row>
    <row r="36" spans="1:17">
      <c r="A36" s="195">
        <v>19005</v>
      </c>
      <c r="B36" s="193" t="s">
        <v>500</v>
      </c>
      <c r="C36" s="166">
        <v>12499</v>
      </c>
      <c r="D36" s="166">
        <v>8229</v>
      </c>
      <c r="E36" s="166">
        <v>10999</v>
      </c>
      <c r="F36" s="166">
        <v>5028</v>
      </c>
      <c r="G36" s="166">
        <v>2478</v>
      </c>
      <c r="H36" s="166">
        <v>1393</v>
      </c>
      <c r="M36" s="164"/>
      <c r="N36" s="164"/>
      <c r="O36" s="164"/>
      <c r="P36" s="164"/>
      <c r="Q36" s="164"/>
    </row>
    <row r="37" spans="1:17">
      <c r="A37" s="195">
        <v>19100</v>
      </c>
      <c r="B37" s="193" t="s">
        <v>286</v>
      </c>
      <c r="C37" s="166">
        <v>785542</v>
      </c>
      <c r="D37" s="166">
        <v>676455</v>
      </c>
      <c r="E37" s="166">
        <v>206124</v>
      </c>
      <c r="F37" s="166">
        <v>70817</v>
      </c>
      <c r="G37" s="166">
        <v>-13502</v>
      </c>
      <c r="H37" s="166">
        <v>-28827</v>
      </c>
      <c r="M37" s="164"/>
      <c r="N37" s="164"/>
      <c r="O37" s="164"/>
      <c r="P37" s="164"/>
      <c r="Q37" s="164"/>
    </row>
    <row r="38" spans="1:17">
      <c r="A38" s="195">
        <v>19120</v>
      </c>
      <c r="B38" s="193" t="s">
        <v>540</v>
      </c>
      <c r="C38" s="166">
        <v>36208</v>
      </c>
      <c r="D38" s="166">
        <v>-184487</v>
      </c>
      <c r="E38" s="166">
        <v>538573</v>
      </c>
      <c r="F38" s="166">
        <v>191675</v>
      </c>
      <c r="G38" s="166">
        <v>89299</v>
      </c>
      <c r="H38" s="166">
        <v>63728</v>
      </c>
      <c r="M38" s="164"/>
      <c r="N38" s="164"/>
      <c r="O38" s="164"/>
      <c r="P38" s="164"/>
      <c r="Q38" s="164"/>
    </row>
    <row r="39" spans="1:17">
      <c r="A39" s="195">
        <v>20100</v>
      </c>
      <c r="B39" s="193" t="s">
        <v>37</v>
      </c>
      <c r="C39" s="166">
        <v>139190</v>
      </c>
      <c r="D39" s="166">
        <v>82042</v>
      </c>
      <c r="E39" s="166">
        <v>134116</v>
      </c>
      <c r="F39" s="166">
        <v>46644</v>
      </c>
      <c r="G39" s="166">
        <v>24152</v>
      </c>
      <c r="H39" s="166">
        <v>18625</v>
      </c>
      <c r="M39" s="164"/>
      <c r="N39" s="164"/>
      <c r="O39" s="164"/>
      <c r="P39" s="164"/>
      <c r="Q39" s="164"/>
    </row>
    <row r="40" spans="1:17">
      <c r="A40" s="195">
        <v>20200</v>
      </c>
      <c r="B40" s="193" t="s">
        <v>38</v>
      </c>
      <c r="C40" s="166">
        <v>21477</v>
      </c>
      <c r="D40" s="166">
        <v>13573</v>
      </c>
      <c r="E40" s="166">
        <v>19269</v>
      </c>
      <c r="F40" s="166">
        <v>7328</v>
      </c>
      <c r="G40" s="166">
        <v>4023</v>
      </c>
      <c r="H40" s="166">
        <v>3046</v>
      </c>
      <c r="M40" s="164"/>
      <c r="N40" s="164"/>
      <c r="O40" s="164"/>
      <c r="P40" s="164"/>
      <c r="Q40" s="164"/>
    </row>
    <row r="41" spans="1:17">
      <c r="A41" s="195">
        <v>20300</v>
      </c>
      <c r="B41" s="193" t="s">
        <v>39</v>
      </c>
      <c r="C41" s="166">
        <v>304413</v>
      </c>
      <c r="D41" s="166">
        <v>200999</v>
      </c>
      <c r="E41" s="166">
        <v>302451</v>
      </c>
      <c r="F41" s="166">
        <v>123653</v>
      </c>
      <c r="G41" s="166">
        <v>63594</v>
      </c>
      <c r="H41" s="166">
        <v>48510</v>
      </c>
      <c r="M41" s="164"/>
      <c r="N41" s="164"/>
      <c r="O41" s="164"/>
      <c r="P41" s="164"/>
      <c r="Q41" s="164"/>
    </row>
    <row r="42" spans="1:17">
      <c r="A42" s="195">
        <v>20400</v>
      </c>
      <c r="B42" s="193" t="s">
        <v>40</v>
      </c>
      <c r="C42" s="166">
        <v>16995</v>
      </c>
      <c r="D42" s="166">
        <v>10545</v>
      </c>
      <c r="E42" s="166">
        <v>15263</v>
      </c>
      <c r="F42" s="166">
        <v>5681</v>
      </c>
      <c r="G42" s="166">
        <v>2600</v>
      </c>
      <c r="H42" s="166">
        <v>1877</v>
      </c>
      <c r="M42" s="164"/>
      <c r="N42" s="164"/>
      <c r="O42" s="164"/>
      <c r="P42" s="164"/>
      <c r="Q42" s="164"/>
    </row>
    <row r="43" spans="1:17">
      <c r="A43" s="195">
        <v>20600</v>
      </c>
      <c r="B43" s="193" t="s">
        <v>41</v>
      </c>
      <c r="C43" s="166">
        <v>40475</v>
      </c>
      <c r="D43" s="166">
        <v>28242</v>
      </c>
      <c r="E43" s="166">
        <v>40333</v>
      </c>
      <c r="F43" s="166">
        <v>18962</v>
      </c>
      <c r="G43" s="166">
        <v>9895</v>
      </c>
      <c r="H43" s="166">
        <v>5449</v>
      </c>
      <c r="M43" s="164"/>
      <c r="N43" s="164"/>
      <c r="O43" s="164"/>
      <c r="P43" s="164"/>
      <c r="Q43" s="164"/>
    </row>
    <row r="44" spans="1:17">
      <c r="A44" s="195">
        <v>20700</v>
      </c>
      <c r="B44" s="193" t="s">
        <v>42</v>
      </c>
      <c r="C44" s="166">
        <v>84208</v>
      </c>
      <c r="D44" s="166">
        <v>55118</v>
      </c>
      <c r="E44" s="166">
        <v>74230</v>
      </c>
      <c r="F44" s="166">
        <v>29152</v>
      </c>
      <c r="G44" s="166">
        <v>12039</v>
      </c>
      <c r="H44" s="166">
        <v>9822</v>
      </c>
      <c r="M44" s="164"/>
      <c r="N44" s="164"/>
      <c r="O44" s="164"/>
      <c r="P44" s="164"/>
      <c r="Q44" s="164"/>
    </row>
    <row r="45" spans="1:17">
      <c r="A45" s="195">
        <v>20800</v>
      </c>
      <c r="B45" s="193" t="s">
        <v>43</v>
      </c>
      <c r="C45" s="166">
        <v>67715</v>
      </c>
      <c r="D45" s="166">
        <v>45450</v>
      </c>
      <c r="E45" s="166">
        <v>54799</v>
      </c>
      <c r="F45" s="166">
        <v>24324</v>
      </c>
      <c r="G45" s="166">
        <v>11313</v>
      </c>
      <c r="H45" s="166">
        <v>7738</v>
      </c>
      <c r="M45" s="164"/>
      <c r="N45" s="164"/>
      <c r="O45" s="164"/>
      <c r="P45" s="164"/>
      <c r="Q45" s="164"/>
    </row>
    <row r="46" spans="1:17">
      <c r="A46" s="195">
        <v>20900</v>
      </c>
      <c r="B46" s="193" t="s">
        <v>44</v>
      </c>
      <c r="C46" s="166">
        <v>127520</v>
      </c>
      <c r="D46" s="166">
        <v>81224</v>
      </c>
      <c r="E46" s="166">
        <v>112868</v>
      </c>
      <c r="F46" s="166">
        <v>38581</v>
      </c>
      <c r="G46" s="166">
        <v>19269</v>
      </c>
      <c r="H46" s="166">
        <v>15473</v>
      </c>
      <c r="M46" s="164"/>
      <c r="N46" s="164"/>
      <c r="O46" s="164"/>
      <c r="P46" s="164"/>
      <c r="Q46" s="164"/>
    </row>
    <row r="47" spans="1:17">
      <c r="A47" s="195">
        <v>21200</v>
      </c>
      <c r="B47" s="193" t="s">
        <v>45</v>
      </c>
      <c r="C47" s="166">
        <v>39832</v>
      </c>
      <c r="D47" s="166">
        <v>24420</v>
      </c>
      <c r="E47" s="166">
        <v>38046</v>
      </c>
      <c r="F47" s="166">
        <v>13833</v>
      </c>
      <c r="G47" s="166">
        <v>6438</v>
      </c>
      <c r="H47" s="166">
        <v>5622</v>
      </c>
      <c r="M47" s="164"/>
      <c r="N47" s="164"/>
      <c r="O47" s="164"/>
      <c r="P47" s="164"/>
      <c r="Q47" s="164"/>
    </row>
    <row r="48" spans="1:17">
      <c r="A48" s="195">
        <v>21300</v>
      </c>
      <c r="B48" s="193" t="s">
        <v>46</v>
      </c>
      <c r="C48" s="166">
        <v>487085</v>
      </c>
      <c r="D48" s="166">
        <v>302629</v>
      </c>
      <c r="E48" s="166">
        <v>479587</v>
      </c>
      <c r="F48" s="166">
        <v>179117</v>
      </c>
      <c r="G48" s="166">
        <v>89246</v>
      </c>
      <c r="H48" s="166">
        <v>72909</v>
      </c>
      <c r="M48" s="164"/>
      <c r="N48" s="164"/>
      <c r="O48" s="164"/>
      <c r="P48" s="164"/>
      <c r="Q48" s="164"/>
    </row>
    <row r="49" spans="1:17">
      <c r="A49" s="195">
        <v>21520</v>
      </c>
      <c r="B49" s="193" t="s">
        <v>292</v>
      </c>
      <c r="C49" s="166">
        <v>872789</v>
      </c>
      <c r="D49" s="166">
        <v>513224</v>
      </c>
      <c r="E49" s="166">
        <v>864882</v>
      </c>
      <c r="F49" s="166">
        <v>274860</v>
      </c>
      <c r="G49" s="166">
        <v>128677</v>
      </c>
      <c r="H49" s="166">
        <v>106366</v>
      </c>
      <c r="M49" s="164"/>
      <c r="N49" s="164"/>
      <c r="O49" s="164"/>
      <c r="P49" s="164"/>
      <c r="Q49" s="164"/>
    </row>
    <row r="50" spans="1:17">
      <c r="A50" s="195">
        <v>21525</v>
      </c>
      <c r="B50" s="193" t="s">
        <v>293</v>
      </c>
      <c r="C50" s="166">
        <v>24107</v>
      </c>
      <c r="D50" s="166">
        <v>13335</v>
      </c>
      <c r="E50" s="166">
        <v>19297</v>
      </c>
      <c r="F50" s="166">
        <v>5366</v>
      </c>
      <c r="G50" s="166">
        <v>124</v>
      </c>
      <c r="H50" s="166">
        <v>1840</v>
      </c>
      <c r="M50" s="164"/>
      <c r="N50" s="164"/>
      <c r="O50" s="164"/>
      <c r="P50" s="164"/>
      <c r="Q50" s="164"/>
    </row>
    <row r="51" spans="1:17">
      <c r="A51" s="195">
        <v>21525.200000000001</v>
      </c>
      <c r="B51" s="193" t="s">
        <v>294</v>
      </c>
      <c r="C51" s="166">
        <v>3058</v>
      </c>
      <c r="D51" s="166">
        <v>1966</v>
      </c>
      <c r="E51" s="166">
        <v>2062</v>
      </c>
      <c r="F51" s="166">
        <v>959</v>
      </c>
      <c r="G51" s="166">
        <v>369</v>
      </c>
      <c r="H51" s="166">
        <v>813</v>
      </c>
      <c r="M51" s="164"/>
      <c r="N51" s="164"/>
      <c r="O51" s="164"/>
      <c r="P51" s="164"/>
      <c r="Q51" s="164"/>
    </row>
    <row r="52" spans="1:17">
      <c r="A52" s="195">
        <v>21550</v>
      </c>
      <c r="B52" s="193" t="s">
        <v>48</v>
      </c>
      <c r="C52" s="166">
        <v>488279</v>
      </c>
      <c r="D52" s="166">
        <v>262617</v>
      </c>
      <c r="E52" s="166">
        <v>470995</v>
      </c>
      <c r="F52" s="166">
        <v>107580</v>
      </c>
      <c r="G52" s="166">
        <v>56556</v>
      </c>
      <c r="H52" s="166">
        <v>59728</v>
      </c>
      <c r="M52" s="164"/>
      <c r="N52" s="164"/>
      <c r="O52" s="164"/>
      <c r="P52" s="164"/>
      <c r="Q52" s="164"/>
    </row>
    <row r="53" spans="1:17">
      <c r="A53" s="195">
        <v>21570</v>
      </c>
      <c r="B53" s="193" t="s">
        <v>295</v>
      </c>
      <c r="C53" s="166">
        <v>2582</v>
      </c>
      <c r="D53" s="166">
        <v>1329</v>
      </c>
      <c r="E53" s="166">
        <v>2389</v>
      </c>
      <c r="F53" s="166">
        <v>602</v>
      </c>
      <c r="G53" s="166">
        <v>464</v>
      </c>
      <c r="H53" s="166">
        <v>321</v>
      </c>
      <c r="M53" s="164"/>
      <c r="N53" s="164"/>
      <c r="O53" s="164"/>
      <c r="P53" s="164"/>
      <c r="Q53" s="164"/>
    </row>
    <row r="54" spans="1:17">
      <c r="A54" s="195">
        <v>21800</v>
      </c>
      <c r="B54" s="193" t="s">
        <v>49</v>
      </c>
      <c r="C54" s="166">
        <v>71142</v>
      </c>
      <c r="D54" s="166">
        <v>43850</v>
      </c>
      <c r="E54" s="166">
        <v>68583</v>
      </c>
      <c r="F54" s="166">
        <v>22941</v>
      </c>
      <c r="G54" s="166">
        <v>10953</v>
      </c>
      <c r="H54" s="166">
        <v>9123</v>
      </c>
      <c r="M54" s="164"/>
      <c r="N54" s="164"/>
      <c r="O54" s="164"/>
      <c r="P54" s="164"/>
      <c r="Q54" s="164"/>
    </row>
    <row r="55" spans="1:17">
      <c r="A55" s="195">
        <v>21900</v>
      </c>
      <c r="B55" s="193" t="s">
        <v>50</v>
      </c>
      <c r="C55" s="166">
        <v>45477</v>
      </c>
      <c r="D55" s="166">
        <v>32576</v>
      </c>
      <c r="E55" s="166">
        <v>40532</v>
      </c>
      <c r="F55" s="166">
        <v>21385</v>
      </c>
      <c r="G55" s="166">
        <v>8755</v>
      </c>
      <c r="H55" s="166">
        <v>5514</v>
      </c>
      <c r="M55" s="164"/>
      <c r="N55" s="164"/>
      <c r="O55" s="164"/>
      <c r="P55" s="164"/>
      <c r="Q55" s="164"/>
    </row>
    <row r="56" spans="1:17">
      <c r="A56" s="195">
        <v>22000</v>
      </c>
      <c r="B56" s="193" t="s">
        <v>296</v>
      </c>
      <c r="C56" s="166">
        <v>54917</v>
      </c>
      <c r="D56" s="166">
        <v>34350</v>
      </c>
      <c r="E56" s="166">
        <v>44827</v>
      </c>
      <c r="F56" s="166">
        <v>19457</v>
      </c>
      <c r="G56" s="166">
        <v>7212</v>
      </c>
      <c r="H56" s="166">
        <v>4624</v>
      </c>
      <c r="M56" s="164"/>
      <c r="N56" s="164"/>
      <c r="O56" s="164"/>
      <c r="P56" s="164"/>
      <c r="Q56" s="164"/>
    </row>
    <row r="57" spans="1:17">
      <c r="A57" s="195">
        <v>23000</v>
      </c>
      <c r="B57" s="193" t="s">
        <v>51</v>
      </c>
      <c r="C57" s="166">
        <v>32673</v>
      </c>
      <c r="D57" s="166">
        <v>21136</v>
      </c>
      <c r="E57" s="166">
        <v>31548</v>
      </c>
      <c r="F57" s="166">
        <v>13434</v>
      </c>
      <c r="G57" s="166">
        <v>5783</v>
      </c>
      <c r="H57" s="166">
        <v>4029</v>
      </c>
      <c r="M57" s="164"/>
      <c r="N57" s="164"/>
      <c r="O57" s="164"/>
      <c r="P57" s="164"/>
      <c r="Q57" s="164"/>
    </row>
    <row r="58" spans="1:17">
      <c r="A58" s="195">
        <v>23100</v>
      </c>
      <c r="B58" s="193" t="s">
        <v>52</v>
      </c>
      <c r="C58" s="166">
        <v>186471</v>
      </c>
      <c r="D58" s="166">
        <v>111609</v>
      </c>
      <c r="E58" s="166">
        <v>183566</v>
      </c>
      <c r="F58" s="166">
        <v>62951</v>
      </c>
      <c r="G58" s="166">
        <v>35188</v>
      </c>
      <c r="H58" s="166">
        <v>28804</v>
      </c>
      <c r="M58" s="164"/>
      <c r="N58" s="164"/>
      <c r="O58" s="164"/>
      <c r="P58" s="164"/>
      <c r="Q58" s="164"/>
    </row>
    <row r="59" spans="1:17">
      <c r="A59" s="195">
        <v>23200</v>
      </c>
      <c r="B59" s="193" t="s">
        <v>53</v>
      </c>
      <c r="C59" s="166">
        <v>99489</v>
      </c>
      <c r="D59" s="166">
        <v>55401</v>
      </c>
      <c r="E59" s="166">
        <v>96623</v>
      </c>
      <c r="F59" s="166">
        <v>25797</v>
      </c>
      <c r="G59" s="166">
        <v>15565</v>
      </c>
      <c r="H59" s="166">
        <v>11770</v>
      </c>
      <c r="M59" s="164"/>
      <c r="N59" s="164"/>
      <c r="O59" s="164"/>
      <c r="P59" s="164"/>
      <c r="Q59" s="164"/>
    </row>
    <row r="60" spans="1:17">
      <c r="A60" s="195">
        <v>30000</v>
      </c>
      <c r="B60" s="193" t="s">
        <v>297</v>
      </c>
      <c r="C60" s="166">
        <v>11348</v>
      </c>
      <c r="D60" s="166">
        <v>7321</v>
      </c>
      <c r="E60" s="166">
        <v>9914</v>
      </c>
      <c r="F60" s="166">
        <v>4432</v>
      </c>
      <c r="G60" s="166">
        <v>1823</v>
      </c>
      <c r="H60" s="166">
        <v>1340</v>
      </c>
      <c r="M60" s="164"/>
      <c r="N60" s="164"/>
      <c r="O60" s="164"/>
      <c r="P60" s="164"/>
      <c r="Q60" s="164"/>
    </row>
    <row r="61" spans="1:17">
      <c r="A61" s="195">
        <v>30100</v>
      </c>
      <c r="B61" s="193" t="s">
        <v>298</v>
      </c>
      <c r="C61" s="166">
        <v>91108</v>
      </c>
      <c r="D61" s="166">
        <v>54946</v>
      </c>
      <c r="E61" s="166">
        <v>83412</v>
      </c>
      <c r="F61" s="166">
        <v>26054</v>
      </c>
      <c r="G61" s="166">
        <v>14677</v>
      </c>
      <c r="H61" s="166">
        <v>10668</v>
      </c>
      <c r="M61" s="164"/>
      <c r="N61" s="164"/>
      <c r="O61" s="164"/>
      <c r="P61" s="164"/>
      <c r="Q61" s="164"/>
    </row>
    <row r="62" spans="1:17">
      <c r="A62" s="195">
        <v>30102</v>
      </c>
      <c r="B62" s="193" t="s">
        <v>299</v>
      </c>
      <c r="C62" s="166">
        <v>1514</v>
      </c>
      <c r="D62" s="166">
        <v>797</v>
      </c>
      <c r="E62" s="166">
        <v>1951</v>
      </c>
      <c r="F62" s="166">
        <v>481</v>
      </c>
      <c r="G62" s="166">
        <v>196</v>
      </c>
      <c r="H62" s="166">
        <v>186</v>
      </c>
      <c r="M62" s="164"/>
      <c r="N62" s="164"/>
      <c r="O62" s="164"/>
      <c r="P62" s="164"/>
      <c r="Q62" s="164"/>
    </row>
    <row r="63" spans="1:17">
      <c r="A63" s="195">
        <v>30103</v>
      </c>
      <c r="B63" s="193" t="s">
        <v>300</v>
      </c>
      <c r="C63" s="166">
        <v>2018</v>
      </c>
      <c r="D63" s="166">
        <v>1295</v>
      </c>
      <c r="E63" s="166">
        <v>2210</v>
      </c>
      <c r="F63" s="166">
        <v>629</v>
      </c>
      <c r="G63" s="166">
        <v>209</v>
      </c>
      <c r="H63" s="166">
        <v>323</v>
      </c>
      <c r="M63" s="164"/>
      <c r="N63" s="164"/>
      <c r="O63" s="164"/>
      <c r="P63" s="164"/>
      <c r="Q63" s="164"/>
    </row>
    <row r="64" spans="1:17">
      <c r="A64" s="195">
        <v>30104</v>
      </c>
      <c r="B64" s="193" t="s">
        <v>301</v>
      </c>
      <c r="C64" s="166">
        <v>1268</v>
      </c>
      <c r="D64" s="166">
        <v>613</v>
      </c>
      <c r="E64" s="166">
        <v>1393</v>
      </c>
      <c r="F64" s="166">
        <v>122</v>
      </c>
      <c r="G64" s="166">
        <v>211</v>
      </c>
      <c r="H64" s="166">
        <v>122</v>
      </c>
      <c r="M64" s="164"/>
      <c r="N64" s="164"/>
      <c r="O64" s="164"/>
      <c r="P64" s="164"/>
      <c r="Q64" s="164"/>
    </row>
    <row r="65" spans="1:17">
      <c r="A65" s="195">
        <v>30105</v>
      </c>
      <c r="B65" s="193" t="s">
        <v>54</v>
      </c>
      <c r="C65" s="166">
        <v>11247</v>
      </c>
      <c r="D65" s="166">
        <v>7906</v>
      </c>
      <c r="E65" s="166">
        <v>9997</v>
      </c>
      <c r="F65" s="166">
        <v>4650</v>
      </c>
      <c r="G65" s="166">
        <v>2196</v>
      </c>
      <c r="H65" s="166">
        <v>1222</v>
      </c>
      <c r="M65" s="164"/>
      <c r="N65" s="164"/>
      <c r="O65" s="164"/>
      <c r="P65" s="164"/>
      <c r="Q65" s="164"/>
    </row>
    <row r="66" spans="1:17">
      <c r="A66" s="195">
        <v>30200</v>
      </c>
      <c r="B66" s="193" t="s">
        <v>302</v>
      </c>
      <c r="C66" s="166">
        <v>22223</v>
      </c>
      <c r="D66" s="166">
        <v>14348</v>
      </c>
      <c r="E66" s="166">
        <v>20027</v>
      </c>
      <c r="F66" s="166">
        <v>7338</v>
      </c>
      <c r="G66" s="166">
        <v>3901</v>
      </c>
      <c r="H66" s="166">
        <v>2759</v>
      </c>
      <c r="M66" s="164"/>
      <c r="N66" s="164"/>
      <c r="O66" s="164"/>
      <c r="P66" s="164"/>
      <c r="Q66" s="164"/>
    </row>
    <row r="67" spans="1:17">
      <c r="A67" s="195">
        <v>30300</v>
      </c>
      <c r="B67" s="193" t="s">
        <v>303</v>
      </c>
      <c r="C67" s="166">
        <v>7135</v>
      </c>
      <c r="D67" s="166">
        <v>4331</v>
      </c>
      <c r="E67" s="166">
        <v>7234</v>
      </c>
      <c r="F67" s="166">
        <v>2767</v>
      </c>
      <c r="G67" s="166">
        <v>1458</v>
      </c>
      <c r="H67" s="166">
        <v>955</v>
      </c>
      <c r="M67" s="164"/>
      <c r="N67" s="164"/>
      <c r="O67" s="164"/>
      <c r="P67" s="164"/>
      <c r="Q67" s="164"/>
    </row>
    <row r="68" spans="1:17">
      <c r="A68" s="195">
        <v>30400</v>
      </c>
      <c r="B68" s="193" t="s">
        <v>304</v>
      </c>
      <c r="C68" s="166">
        <v>14815</v>
      </c>
      <c r="D68" s="166">
        <v>8354</v>
      </c>
      <c r="E68" s="166">
        <v>13786</v>
      </c>
      <c r="F68" s="166">
        <v>5188</v>
      </c>
      <c r="G68" s="166">
        <v>2559</v>
      </c>
      <c r="H68" s="166">
        <v>1788</v>
      </c>
      <c r="M68" s="164"/>
      <c r="N68" s="164"/>
      <c r="O68" s="164"/>
      <c r="P68" s="164"/>
      <c r="Q68" s="164"/>
    </row>
    <row r="69" spans="1:17">
      <c r="A69" s="195">
        <v>30405</v>
      </c>
      <c r="B69" s="193" t="s">
        <v>55</v>
      </c>
      <c r="C69" s="166">
        <v>9917</v>
      </c>
      <c r="D69" s="166">
        <v>5962</v>
      </c>
      <c r="E69" s="166">
        <v>8166</v>
      </c>
      <c r="F69" s="166">
        <v>3291</v>
      </c>
      <c r="G69" s="166">
        <v>1185</v>
      </c>
      <c r="H69" s="166">
        <v>698</v>
      </c>
      <c r="M69" s="164"/>
      <c r="N69" s="164"/>
      <c r="O69" s="164"/>
      <c r="P69" s="164"/>
      <c r="Q69" s="164"/>
    </row>
    <row r="70" spans="1:17">
      <c r="A70" s="195">
        <v>30500</v>
      </c>
      <c r="B70" s="193" t="s">
        <v>305</v>
      </c>
      <c r="C70" s="166">
        <v>14941</v>
      </c>
      <c r="D70" s="166">
        <v>9528</v>
      </c>
      <c r="E70" s="166">
        <v>14017</v>
      </c>
      <c r="F70" s="166">
        <v>5908</v>
      </c>
      <c r="G70" s="166">
        <v>3055</v>
      </c>
      <c r="H70" s="166">
        <v>2022</v>
      </c>
      <c r="M70" s="164"/>
      <c r="N70" s="164"/>
      <c r="O70" s="164"/>
      <c r="P70" s="164"/>
      <c r="Q70" s="164"/>
    </row>
    <row r="71" spans="1:17">
      <c r="A71" s="195">
        <v>30600</v>
      </c>
      <c r="B71" s="193" t="s">
        <v>306</v>
      </c>
      <c r="C71" s="166">
        <v>11274</v>
      </c>
      <c r="D71" s="166">
        <v>6935</v>
      </c>
      <c r="E71" s="166">
        <v>10801</v>
      </c>
      <c r="F71" s="166">
        <v>4313</v>
      </c>
      <c r="G71" s="166">
        <v>2096</v>
      </c>
      <c r="H71" s="166">
        <v>1276</v>
      </c>
      <c r="M71" s="164"/>
      <c r="N71" s="164"/>
      <c r="O71" s="164"/>
      <c r="P71" s="164"/>
      <c r="Q71" s="164"/>
    </row>
    <row r="72" spans="1:17">
      <c r="A72" s="195">
        <v>30601</v>
      </c>
      <c r="B72" s="193" t="s">
        <v>307</v>
      </c>
      <c r="C72" s="166">
        <v>211</v>
      </c>
      <c r="D72" s="166">
        <v>231</v>
      </c>
      <c r="E72" s="166">
        <v>231</v>
      </c>
      <c r="F72" s="166">
        <v>227</v>
      </c>
      <c r="G72" s="166">
        <v>63</v>
      </c>
      <c r="H72" s="166">
        <v>147</v>
      </c>
      <c r="M72" s="164"/>
      <c r="N72" s="164"/>
      <c r="O72" s="164"/>
      <c r="P72" s="164"/>
      <c r="Q72" s="164"/>
    </row>
    <row r="73" spans="1:17">
      <c r="A73" s="195">
        <v>30700</v>
      </c>
      <c r="B73" s="193" t="s">
        <v>308</v>
      </c>
      <c r="C73" s="166">
        <v>29543</v>
      </c>
      <c r="D73" s="166">
        <v>18422</v>
      </c>
      <c r="E73" s="166">
        <v>25708</v>
      </c>
      <c r="F73" s="166">
        <v>8842</v>
      </c>
      <c r="G73" s="166">
        <v>5859</v>
      </c>
      <c r="H73" s="166">
        <v>4169</v>
      </c>
      <c r="M73" s="164"/>
      <c r="N73" s="164"/>
      <c r="O73" s="164"/>
      <c r="P73" s="164"/>
      <c r="Q73" s="164"/>
    </row>
    <row r="74" spans="1:17">
      <c r="A74" s="195">
        <v>30705</v>
      </c>
      <c r="B74" s="193" t="s">
        <v>56</v>
      </c>
      <c r="C74" s="166">
        <v>5647</v>
      </c>
      <c r="D74" s="166">
        <v>3208</v>
      </c>
      <c r="E74" s="166">
        <v>5344</v>
      </c>
      <c r="F74" s="166">
        <v>1841</v>
      </c>
      <c r="G74" s="166">
        <v>915</v>
      </c>
      <c r="H74" s="166">
        <v>485</v>
      </c>
      <c r="M74" s="164"/>
      <c r="N74" s="164"/>
      <c r="O74" s="164"/>
      <c r="P74" s="164"/>
      <c r="Q74" s="164"/>
    </row>
    <row r="75" spans="1:17">
      <c r="A75" s="195">
        <v>30800</v>
      </c>
      <c r="B75" s="193" t="s">
        <v>309</v>
      </c>
      <c r="C75" s="166">
        <v>12332</v>
      </c>
      <c r="D75" s="166">
        <v>7809</v>
      </c>
      <c r="E75" s="166">
        <v>9367</v>
      </c>
      <c r="F75" s="166">
        <v>4627</v>
      </c>
      <c r="G75" s="166">
        <v>2309</v>
      </c>
      <c r="H75" s="166">
        <v>1437</v>
      </c>
      <c r="M75" s="164"/>
      <c r="N75" s="164"/>
      <c r="O75" s="164"/>
      <c r="P75" s="164"/>
      <c r="Q75" s="164"/>
    </row>
    <row r="76" spans="1:17">
      <c r="A76" s="195">
        <v>30900</v>
      </c>
      <c r="B76" s="193" t="s">
        <v>310</v>
      </c>
      <c r="C76" s="166">
        <v>21817</v>
      </c>
      <c r="D76" s="166">
        <v>13896</v>
      </c>
      <c r="E76" s="166">
        <v>20981</v>
      </c>
      <c r="F76" s="166">
        <v>9545</v>
      </c>
      <c r="G76" s="166">
        <v>3479</v>
      </c>
      <c r="H76" s="166">
        <v>2341</v>
      </c>
      <c r="M76" s="164"/>
      <c r="N76" s="164"/>
      <c r="O76" s="164"/>
      <c r="P76" s="164"/>
      <c r="Q76" s="164"/>
    </row>
    <row r="77" spans="1:17">
      <c r="A77" s="195">
        <v>30905</v>
      </c>
      <c r="B77" s="193" t="s">
        <v>57</v>
      </c>
      <c r="C77" s="166">
        <v>4918</v>
      </c>
      <c r="D77" s="166">
        <v>3227</v>
      </c>
      <c r="E77" s="166">
        <v>4137</v>
      </c>
      <c r="F77" s="166">
        <v>2109</v>
      </c>
      <c r="G77" s="166">
        <v>1017</v>
      </c>
      <c r="H77" s="166">
        <v>613</v>
      </c>
      <c r="M77" s="164"/>
      <c r="N77" s="164"/>
      <c r="O77" s="164"/>
      <c r="P77" s="164"/>
      <c r="Q77" s="164"/>
    </row>
    <row r="78" spans="1:17">
      <c r="A78" s="195">
        <v>31000</v>
      </c>
      <c r="B78" s="193" t="s">
        <v>311</v>
      </c>
      <c r="C78" s="166">
        <v>55320</v>
      </c>
      <c r="D78" s="166">
        <v>34951</v>
      </c>
      <c r="E78" s="166">
        <v>53294</v>
      </c>
      <c r="F78" s="166">
        <v>19459</v>
      </c>
      <c r="G78" s="166">
        <v>9942</v>
      </c>
      <c r="H78" s="166">
        <v>6535</v>
      </c>
      <c r="M78" s="164"/>
      <c r="N78" s="164"/>
      <c r="O78" s="164"/>
      <c r="P78" s="164"/>
      <c r="Q78" s="164"/>
    </row>
    <row r="79" spans="1:17">
      <c r="A79" s="195">
        <v>31005</v>
      </c>
      <c r="B79" s="193" t="s">
        <v>58</v>
      </c>
      <c r="C79" s="166">
        <v>6227</v>
      </c>
      <c r="D79" s="166">
        <v>3686</v>
      </c>
      <c r="E79" s="166">
        <v>5341</v>
      </c>
      <c r="F79" s="166">
        <v>2132</v>
      </c>
      <c r="G79" s="166">
        <v>749</v>
      </c>
      <c r="H79" s="166">
        <v>468</v>
      </c>
      <c r="M79" s="164"/>
      <c r="N79" s="164"/>
      <c r="O79" s="164"/>
      <c r="P79" s="164"/>
      <c r="Q79" s="164"/>
    </row>
    <row r="80" spans="1:17">
      <c r="A80" s="195">
        <v>31100</v>
      </c>
      <c r="B80" s="193" t="s">
        <v>312</v>
      </c>
      <c r="C80" s="166">
        <v>110153</v>
      </c>
      <c r="D80" s="166">
        <v>70798</v>
      </c>
      <c r="E80" s="166">
        <v>105216</v>
      </c>
      <c r="F80" s="166">
        <v>39425</v>
      </c>
      <c r="G80" s="166">
        <v>20048</v>
      </c>
      <c r="H80" s="166">
        <v>13398</v>
      </c>
      <c r="M80" s="164"/>
      <c r="N80" s="164"/>
      <c r="O80" s="164"/>
      <c r="P80" s="164"/>
      <c r="Q80" s="164"/>
    </row>
    <row r="81" spans="1:17">
      <c r="A81" s="195">
        <v>31101</v>
      </c>
      <c r="B81" s="193" t="s">
        <v>502</v>
      </c>
      <c r="C81" s="166">
        <v>811</v>
      </c>
      <c r="D81" s="166">
        <v>555</v>
      </c>
      <c r="E81" s="166">
        <v>838</v>
      </c>
      <c r="F81" s="166">
        <v>409</v>
      </c>
      <c r="G81" s="166">
        <v>62</v>
      </c>
      <c r="H81" s="166">
        <v>87</v>
      </c>
      <c r="M81" s="164"/>
      <c r="N81" s="164"/>
      <c r="O81" s="164"/>
      <c r="P81" s="164"/>
      <c r="Q81" s="164"/>
    </row>
    <row r="82" spans="1:17">
      <c r="A82" s="195">
        <v>31102</v>
      </c>
      <c r="B82" s="193" t="s">
        <v>314</v>
      </c>
      <c r="C82" s="166">
        <v>1446</v>
      </c>
      <c r="D82" s="166">
        <v>861</v>
      </c>
      <c r="E82" s="166">
        <v>1599</v>
      </c>
      <c r="F82" s="166">
        <v>380</v>
      </c>
      <c r="G82" s="166">
        <v>503</v>
      </c>
      <c r="H82" s="166">
        <v>131</v>
      </c>
      <c r="M82" s="164"/>
      <c r="N82" s="164"/>
      <c r="O82" s="164"/>
      <c r="P82" s="164"/>
      <c r="Q82" s="164"/>
    </row>
    <row r="83" spans="1:17">
      <c r="A83" s="195">
        <v>31105</v>
      </c>
      <c r="B83" s="193" t="s">
        <v>59</v>
      </c>
      <c r="C83" s="166">
        <v>18802</v>
      </c>
      <c r="D83" s="166">
        <v>12409</v>
      </c>
      <c r="E83" s="166">
        <v>17333</v>
      </c>
      <c r="F83" s="166">
        <v>7241</v>
      </c>
      <c r="G83" s="166">
        <v>3190</v>
      </c>
      <c r="H83" s="166">
        <v>1330</v>
      </c>
      <c r="M83" s="164"/>
      <c r="N83" s="164"/>
      <c r="O83" s="164"/>
      <c r="P83" s="164"/>
      <c r="Q83" s="164"/>
    </row>
    <row r="84" spans="1:17">
      <c r="A84" s="195">
        <v>31110</v>
      </c>
      <c r="B84" s="193" t="s">
        <v>315</v>
      </c>
      <c r="C84" s="166">
        <v>22971</v>
      </c>
      <c r="D84" s="166">
        <v>15274</v>
      </c>
      <c r="E84" s="166">
        <v>23384</v>
      </c>
      <c r="F84" s="166">
        <v>8170</v>
      </c>
      <c r="G84" s="166">
        <v>4557</v>
      </c>
      <c r="H84" s="166">
        <v>3115</v>
      </c>
      <c r="M84" s="164"/>
      <c r="N84" s="164"/>
      <c r="O84" s="164"/>
      <c r="P84" s="164"/>
      <c r="Q84" s="164"/>
    </row>
    <row r="85" spans="1:17">
      <c r="A85" s="195">
        <v>31200</v>
      </c>
      <c r="B85" s="193" t="s">
        <v>316</v>
      </c>
      <c r="C85" s="166">
        <v>51821</v>
      </c>
      <c r="D85" s="166">
        <v>32313</v>
      </c>
      <c r="E85" s="166">
        <v>46406</v>
      </c>
      <c r="F85" s="166">
        <v>18063</v>
      </c>
      <c r="G85" s="166">
        <v>10196</v>
      </c>
      <c r="H85" s="166">
        <v>8216</v>
      </c>
      <c r="M85" s="164"/>
      <c r="N85" s="164"/>
      <c r="O85" s="164"/>
      <c r="P85" s="164"/>
      <c r="Q85" s="164"/>
    </row>
    <row r="86" spans="1:17">
      <c r="A86" s="195">
        <v>31205</v>
      </c>
      <c r="B86" s="193" t="s">
        <v>60</v>
      </c>
      <c r="C86" s="166">
        <v>7118</v>
      </c>
      <c r="D86" s="166">
        <v>4829</v>
      </c>
      <c r="E86" s="166">
        <v>5859</v>
      </c>
      <c r="F86" s="166">
        <v>2827</v>
      </c>
      <c r="G86" s="166">
        <v>1060</v>
      </c>
      <c r="H86" s="166">
        <v>494</v>
      </c>
      <c r="M86" s="164"/>
      <c r="N86" s="164"/>
      <c r="O86" s="164"/>
      <c r="P86" s="164"/>
      <c r="Q86" s="164"/>
    </row>
    <row r="87" spans="1:17">
      <c r="A87" s="195">
        <v>31300</v>
      </c>
      <c r="B87" s="193" t="s">
        <v>318</v>
      </c>
      <c r="C87" s="166">
        <v>124188</v>
      </c>
      <c r="D87" s="166">
        <v>74318</v>
      </c>
      <c r="E87" s="166">
        <v>123977</v>
      </c>
      <c r="F87" s="166">
        <v>37027</v>
      </c>
      <c r="G87" s="166">
        <v>14342</v>
      </c>
      <c r="H87" s="166">
        <v>10364</v>
      </c>
      <c r="M87" s="164"/>
      <c r="N87" s="164"/>
      <c r="O87" s="164"/>
      <c r="P87" s="164"/>
      <c r="Q87" s="164"/>
    </row>
    <row r="88" spans="1:17">
      <c r="A88" s="195">
        <v>31301</v>
      </c>
      <c r="B88" s="193" t="s">
        <v>319</v>
      </c>
      <c r="C88" s="166">
        <v>2878</v>
      </c>
      <c r="D88" s="166">
        <v>1742</v>
      </c>
      <c r="E88" s="166">
        <v>2671</v>
      </c>
      <c r="F88" s="166">
        <v>1120</v>
      </c>
      <c r="G88" s="166">
        <v>466</v>
      </c>
      <c r="H88" s="166">
        <v>351</v>
      </c>
      <c r="M88" s="164"/>
      <c r="N88" s="164"/>
      <c r="O88" s="164"/>
      <c r="P88" s="164"/>
      <c r="Q88" s="164"/>
    </row>
    <row r="89" spans="1:17">
      <c r="A89" s="195">
        <v>31320</v>
      </c>
      <c r="B89" s="193" t="s">
        <v>320</v>
      </c>
      <c r="C89" s="166">
        <v>22659</v>
      </c>
      <c r="D89" s="166">
        <v>13593</v>
      </c>
      <c r="E89" s="166">
        <v>22991</v>
      </c>
      <c r="F89" s="166">
        <v>8235</v>
      </c>
      <c r="G89" s="166">
        <v>4384</v>
      </c>
      <c r="H89" s="166">
        <v>2904</v>
      </c>
      <c r="M89" s="164"/>
      <c r="N89" s="164"/>
      <c r="O89" s="164"/>
      <c r="P89" s="164"/>
      <c r="Q89" s="164"/>
    </row>
    <row r="90" spans="1:17">
      <c r="A90" s="195">
        <v>31400</v>
      </c>
      <c r="B90" s="193" t="s">
        <v>321</v>
      </c>
      <c r="C90" s="166">
        <v>54127</v>
      </c>
      <c r="D90" s="166">
        <v>36659</v>
      </c>
      <c r="E90" s="166">
        <v>48244</v>
      </c>
      <c r="F90" s="166">
        <v>21595</v>
      </c>
      <c r="G90" s="166">
        <v>11961</v>
      </c>
      <c r="H90" s="166">
        <v>7776</v>
      </c>
      <c r="M90" s="164"/>
      <c r="N90" s="164"/>
      <c r="O90" s="164"/>
      <c r="P90" s="164"/>
      <c r="Q90" s="164"/>
    </row>
    <row r="91" spans="1:17">
      <c r="A91" s="195">
        <v>31405</v>
      </c>
      <c r="B91" s="193" t="s">
        <v>61</v>
      </c>
      <c r="C91" s="166">
        <v>12450</v>
      </c>
      <c r="D91" s="166">
        <v>8234</v>
      </c>
      <c r="E91" s="166">
        <v>11310</v>
      </c>
      <c r="F91" s="166">
        <v>4938</v>
      </c>
      <c r="G91" s="166">
        <v>2157</v>
      </c>
      <c r="H91" s="166">
        <v>1119</v>
      </c>
      <c r="M91" s="164"/>
      <c r="N91" s="164"/>
      <c r="O91" s="164"/>
      <c r="P91" s="164"/>
      <c r="Q91" s="164"/>
    </row>
    <row r="92" spans="1:17">
      <c r="A92" s="195">
        <v>31500</v>
      </c>
      <c r="B92" s="193" t="s">
        <v>322</v>
      </c>
      <c r="C92" s="166">
        <v>8994</v>
      </c>
      <c r="D92" s="166">
        <v>5603</v>
      </c>
      <c r="E92" s="166">
        <v>7813</v>
      </c>
      <c r="F92" s="166">
        <v>2698</v>
      </c>
      <c r="G92" s="166">
        <v>1768</v>
      </c>
      <c r="H92" s="166">
        <v>1229</v>
      </c>
      <c r="M92" s="164"/>
      <c r="N92" s="164"/>
      <c r="O92" s="164"/>
      <c r="P92" s="164"/>
      <c r="Q92" s="164"/>
    </row>
    <row r="93" spans="1:17">
      <c r="A93" s="195">
        <v>31600</v>
      </c>
      <c r="B93" s="193" t="s">
        <v>323</v>
      </c>
      <c r="C93" s="166">
        <v>37175</v>
      </c>
      <c r="D93" s="166">
        <v>23322</v>
      </c>
      <c r="E93" s="166">
        <v>32313</v>
      </c>
      <c r="F93" s="166">
        <v>10576</v>
      </c>
      <c r="G93" s="166">
        <v>7101</v>
      </c>
      <c r="H93" s="166">
        <v>5145</v>
      </c>
      <c r="M93" s="164"/>
      <c r="N93" s="164"/>
      <c r="O93" s="164"/>
      <c r="P93" s="164"/>
      <c r="Q93" s="164"/>
    </row>
    <row r="94" spans="1:17">
      <c r="A94" s="195">
        <v>31605</v>
      </c>
      <c r="B94" s="193" t="s">
        <v>62</v>
      </c>
      <c r="C94" s="166">
        <v>6612</v>
      </c>
      <c r="D94" s="166">
        <v>4005</v>
      </c>
      <c r="E94" s="166">
        <v>5574</v>
      </c>
      <c r="F94" s="166">
        <v>2151</v>
      </c>
      <c r="G94" s="166">
        <v>899</v>
      </c>
      <c r="H94" s="166">
        <v>693</v>
      </c>
      <c r="M94" s="164"/>
      <c r="N94" s="164"/>
      <c r="O94" s="164"/>
      <c r="P94" s="164"/>
      <c r="Q94" s="164"/>
    </row>
    <row r="95" spans="1:17">
      <c r="A95" s="195">
        <v>31700</v>
      </c>
      <c r="B95" s="193" t="s">
        <v>324</v>
      </c>
      <c r="C95" s="166">
        <v>11832</v>
      </c>
      <c r="D95" s="166">
        <v>8372</v>
      </c>
      <c r="E95" s="166">
        <v>11464</v>
      </c>
      <c r="F95" s="166">
        <v>5494</v>
      </c>
      <c r="G95" s="166">
        <v>2480</v>
      </c>
      <c r="H95" s="166">
        <v>1463</v>
      </c>
      <c r="M95" s="164"/>
      <c r="N95" s="164"/>
      <c r="O95" s="164"/>
      <c r="P95" s="164"/>
      <c r="Q95" s="164"/>
    </row>
    <row r="96" spans="1:17">
      <c r="A96" s="195">
        <v>31800</v>
      </c>
      <c r="B96" s="193" t="s">
        <v>325</v>
      </c>
      <c r="C96" s="166">
        <v>69013</v>
      </c>
      <c r="D96" s="166">
        <v>42812</v>
      </c>
      <c r="E96" s="166">
        <v>61135</v>
      </c>
      <c r="F96" s="166">
        <v>22861</v>
      </c>
      <c r="G96" s="166">
        <v>12078</v>
      </c>
      <c r="H96" s="166">
        <v>9472</v>
      </c>
      <c r="M96" s="164"/>
      <c r="N96" s="164"/>
      <c r="O96" s="164"/>
      <c r="P96" s="164"/>
      <c r="Q96" s="164"/>
    </row>
    <row r="97" spans="1:17">
      <c r="A97" s="195">
        <v>31805</v>
      </c>
      <c r="B97" s="193" t="s">
        <v>63</v>
      </c>
      <c r="C97" s="166">
        <v>15202</v>
      </c>
      <c r="D97" s="166">
        <v>9402</v>
      </c>
      <c r="E97" s="166">
        <v>13555</v>
      </c>
      <c r="F97" s="166">
        <v>5055</v>
      </c>
      <c r="G97" s="166">
        <v>2958</v>
      </c>
      <c r="H97" s="166">
        <v>1733</v>
      </c>
      <c r="M97" s="164"/>
      <c r="N97" s="164"/>
      <c r="O97" s="164"/>
      <c r="P97" s="164"/>
      <c r="Q97" s="164"/>
    </row>
    <row r="98" spans="1:17">
      <c r="A98" s="195">
        <v>31810</v>
      </c>
      <c r="B98" s="193" t="s">
        <v>326</v>
      </c>
      <c r="C98" s="166">
        <v>17669</v>
      </c>
      <c r="D98" s="166">
        <v>12262</v>
      </c>
      <c r="E98" s="166">
        <v>15817</v>
      </c>
      <c r="F98" s="166">
        <v>6828</v>
      </c>
      <c r="G98" s="166">
        <v>2800</v>
      </c>
      <c r="H98" s="166">
        <v>1968</v>
      </c>
      <c r="M98" s="164"/>
      <c r="N98" s="164"/>
      <c r="O98" s="164"/>
      <c r="P98" s="164"/>
      <c r="Q98" s="164"/>
    </row>
    <row r="99" spans="1:17">
      <c r="A99" s="195">
        <v>31820</v>
      </c>
      <c r="B99" s="193" t="s">
        <v>327</v>
      </c>
      <c r="C99" s="166">
        <v>13960</v>
      </c>
      <c r="D99" s="166">
        <v>9456</v>
      </c>
      <c r="E99" s="166">
        <v>12777</v>
      </c>
      <c r="F99" s="166">
        <v>5176</v>
      </c>
      <c r="G99" s="166">
        <v>2480</v>
      </c>
      <c r="H99" s="166">
        <v>1368</v>
      </c>
      <c r="M99" s="164"/>
      <c r="N99" s="164"/>
      <c r="O99" s="164"/>
      <c r="P99" s="164"/>
      <c r="Q99" s="164"/>
    </row>
    <row r="100" spans="1:17">
      <c r="A100" s="195">
        <v>31900</v>
      </c>
      <c r="B100" s="193" t="s">
        <v>328</v>
      </c>
      <c r="C100" s="166">
        <v>39992</v>
      </c>
      <c r="D100" s="166">
        <v>24352</v>
      </c>
      <c r="E100" s="166">
        <v>37600</v>
      </c>
      <c r="F100" s="166">
        <v>12242</v>
      </c>
      <c r="G100" s="166">
        <v>6386</v>
      </c>
      <c r="H100" s="166">
        <v>5129</v>
      </c>
      <c r="M100" s="164"/>
      <c r="N100" s="164"/>
      <c r="O100" s="164"/>
      <c r="P100" s="164"/>
      <c r="Q100" s="164"/>
    </row>
    <row r="101" spans="1:17">
      <c r="A101" s="195">
        <v>32000</v>
      </c>
      <c r="B101" s="193" t="s">
        <v>329</v>
      </c>
      <c r="C101" s="166">
        <v>16384</v>
      </c>
      <c r="D101" s="166">
        <v>10510</v>
      </c>
      <c r="E101" s="166">
        <v>15660</v>
      </c>
      <c r="F101" s="166">
        <v>6138</v>
      </c>
      <c r="G101" s="166">
        <v>3305</v>
      </c>
      <c r="H101" s="166">
        <v>2367</v>
      </c>
      <c r="M101" s="164"/>
      <c r="N101" s="164"/>
      <c r="O101" s="164"/>
      <c r="P101" s="164"/>
      <c r="Q101" s="164"/>
    </row>
    <row r="102" spans="1:17">
      <c r="A102" s="195">
        <v>32005</v>
      </c>
      <c r="B102" s="193" t="s">
        <v>64</v>
      </c>
      <c r="C102" s="166">
        <v>4045</v>
      </c>
      <c r="D102" s="166">
        <v>2281</v>
      </c>
      <c r="E102" s="166">
        <v>3652</v>
      </c>
      <c r="F102" s="166">
        <v>1186</v>
      </c>
      <c r="G102" s="166">
        <v>311</v>
      </c>
      <c r="H102" s="166">
        <v>174</v>
      </c>
      <c r="M102" s="164"/>
      <c r="N102" s="164"/>
      <c r="O102" s="164"/>
      <c r="P102" s="164"/>
      <c r="Q102" s="164"/>
    </row>
    <row r="103" spans="1:17">
      <c r="A103" s="195">
        <v>32100</v>
      </c>
      <c r="B103" s="193" t="s">
        <v>330</v>
      </c>
      <c r="C103" s="166">
        <v>10039</v>
      </c>
      <c r="D103" s="166">
        <v>6246</v>
      </c>
      <c r="E103" s="166">
        <v>9076</v>
      </c>
      <c r="F103" s="166">
        <v>3634</v>
      </c>
      <c r="G103" s="166">
        <v>2349</v>
      </c>
      <c r="H103" s="166">
        <v>1635</v>
      </c>
      <c r="M103" s="164"/>
      <c r="N103" s="164"/>
      <c r="O103" s="164"/>
      <c r="P103" s="164"/>
      <c r="Q103" s="164"/>
    </row>
    <row r="104" spans="1:17">
      <c r="A104" s="195">
        <v>32200</v>
      </c>
      <c r="B104" s="193" t="s">
        <v>331</v>
      </c>
      <c r="C104" s="166">
        <v>6368</v>
      </c>
      <c r="D104" s="166">
        <v>3919</v>
      </c>
      <c r="E104" s="166">
        <v>6564</v>
      </c>
      <c r="F104" s="166">
        <v>2424</v>
      </c>
      <c r="G104" s="166">
        <v>1308</v>
      </c>
      <c r="H104" s="166">
        <v>936</v>
      </c>
      <c r="M104" s="164"/>
      <c r="N104" s="164"/>
      <c r="O104" s="164"/>
      <c r="P104" s="164"/>
      <c r="Q104" s="164"/>
    </row>
    <row r="105" spans="1:17">
      <c r="A105" s="195">
        <v>32300</v>
      </c>
      <c r="B105" s="193" t="s">
        <v>332</v>
      </c>
      <c r="C105" s="166">
        <v>70283</v>
      </c>
      <c r="D105" s="166">
        <v>44943</v>
      </c>
      <c r="E105" s="166">
        <v>63609</v>
      </c>
      <c r="F105" s="166">
        <v>25953</v>
      </c>
      <c r="G105" s="166">
        <v>12141</v>
      </c>
      <c r="H105" s="166">
        <v>8341</v>
      </c>
      <c r="M105" s="164"/>
      <c r="N105" s="164"/>
      <c r="O105" s="164"/>
      <c r="P105" s="164"/>
      <c r="Q105" s="164"/>
    </row>
    <row r="106" spans="1:17">
      <c r="A106" s="195">
        <v>32305</v>
      </c>
      <c r="B106" s="193" t="s">
        <v>333</v>
      </c>
      <c r="C106" s="166">
        <v>7894</v>
      </c>
      <c r="D106" s="166">
        <v>4119</v>
      </c>
      <c r="E106" s="166">
        <v>7059</v>
      </c>
      <c r="F106" s="166">
        <v>2408</v>
      </c>
      <c r="G106" s="166">
        <v>1518</v>
      </c>
      <c r="H106" s="166">
        <v>734</v>
      </c>
      <c r="M106" s="164"/>
      <c r="N106" s="164"/>
      <c r="O106" s="164"/>
      <c r="P106" s="164"/>
      <c r="Q106" s="164"/>
    </row>
    <row r="107" spans="1:17">
      <c r="A107" s="195">
        <v>32400</v>
      </c>
      <c r="B107" s="193" t="s">
        <v>334</v>
      </c>
      <c r="C107" s="166">
        <v>26919</v>
      </c>
      <c r="D107" s="166">
        <v>16469</v>
      </c>
      <c r="E107" s="166">
        <v>23433</v>
      </c>
      <c r="F107" s="166">
        <v>9817</v>
      </c>
      <c r="G107" s="166">
        <v>4675</v>
      </c>
      <c r="H107" s="166">
        <v>3307</v>
      </c>
      <c r="M107" s="164"/>
      <c r="N107" s="164"/>
      <c r="O107" s="164"/>
      <c r="P107" s="164"/>
      <c r="Q107" s="164"/>
    </row>
    <row r="108" spans="1:17">
      <c r="A108" s="195">
        <v>32405</v>
      </c>
      <c r="B108" s="193" t="s">
        <v>66</v>
      </c>
      <c r="C108" s="166">
        <v>7060</v>
      </c>
      <c r="D108" s="166">
        <v>4634</v>
      </c>
      <c r="E108" s="166">
        <v>6130</v>
      </c>
      <c r="F108" s="166">
        <v>2794</v>
      </c>
      <c r="G108" s="166">
        <v>1496</v>
      </c>
      <c r="H108" s="166">
        <v>837</v>
      </c>
      <c r="M108" s="164"/>
      <c r="N108" s="164"/>
      <c r="O108" s="164"/>
      <c r="P108" s="164"/>
      <c r="Q108" s="164"/>
    </row>
    <row r="109" spans="1:17">
      <c r="A109" s="195">
        <v>32410</v>
      </c>
      <c r="B109" s="193" t="s">
        <v>335</v>
      </c>
      <c r="C109" s="166">
        <v>10736</v>
      </c>
      <c r="D109" s="166">
        <v>6443</v>
      </c>
      <c r="E109" s="166">
        <v>9065</v>
      </c>
      <c r="F109" s="166">
        <v>2934</v>
      </c>
      <c r="G109" s="166">
        <v>1845</v>
      </c>
      <c r="H109" s="166">
        <v>1297</v>
      </c>
      <c r="M109" s="164"/>
      <c r="N109" s="164"/>
      <c r="O109" s="164"/>
      <c r="P109" s="164"/>
      <c r="Q109" s="164"/>
    </row>
    <row r="110" spans="1:17">
      <c r="A110" s="195">
        <v>32500</v>
      </c>
      <c r="B110" s="193" t="s">
        <v>336</v>
      </c>
      <c r="C110" s="166">
        <v>52407</v>
      </c>
      <c r="D110" s="166">
        <v>31779</v>
      </c>
      <c r="E110" s="166">
        <v>49704</v>
      </c>
      <c r="F110" s="166">
        <v>17044</v>
      </c>
      <c r="G110" s="166">
        <v>10856</v>
      </c>
      <c r="H110" s="166">
        <v>7252</v>
      </c>
      <c r="M110" s="164"/>
      <c r="N110" s="164"/>
      <c r="O110" s="164"/>
      <c r="P110" s="164"/>
      <c r="Q110" s="164"/>
    </row>
    <row r="111" spans="1:17">
      <c r="A111" s="195">
        <v>32505</v>
      </c>
      <c r="B111" s="193" t="s">
        <v>67</v>
      </c>
      <c r="C111" s="166">
        <v>9138</v>
      </c>
      <c r="D111" s="166">
        <v>6016</v>
      </c>
      <c r="E111" s="166">
        <v>8647</v>
      </c>
      <c r="F111" s="166">
        <v>3480</v>
      </c>
      <c r="G111" s="166">
        <v>1413</v>
      </c>
      <c r="H111" s="166">
        <v>796</v>
      </c>
      <c r="M111" s="164"/>
      <c r="N111" s="164"/>
      <c r="O111" s="164"/>
      <c r="P111" s="164"/>
      <c r="Q111" s="164"/>
    </row>
    <row r="112" spans="1:17">
      <c r="A112" s="195">
        <v>32600</v>
      </c>
      <c r="B112" s="193" t="s">
        <v>337</v>
      </c>
      <c r="C112" s="166">
        <v>195610</v>
      </c>
      <c r="D112" s="166">
        <v>120063</v>
      </c>
      <c r="E112" s="166">
        <v>173868</v>
      </c>
      <c r="F112" s="166">
        <v>55237</v>
      </c>
      <c r="G112" s="166">
        <v>38718</v>
      </c>
      <c r="H112" s="166">
        <v>20746</v>
      </c>
      <c r="M112" s="164"/>
      <c r="N112" s="164"/>
      <c r="O112" s="164"/>
      <c r="P112" s="164"/>
      <c r="Q112" s="164"/>
    </row>
    <row r="113" spans="1:17">
      <c r="A113" s="195">
        <v>32605</v>
      </c>
      <c r="B113" s="193" t="s">
        <v>68</v>
      </c>
      <c r="C113" s="166">
        <v>33218</v>
      </c>
      <c r="D113" s="166">
        <v>19087</v>
      </c>
      <c r="E113" s="166">
        <v>32073</v>
      </c>
      <c r="F113" s="166">
        <v>11329</v>
      </c>
      <c r="G113" s="166">
        <v>4293</v>
      </c>
      <c r="H113" s="166">
        <v>2600</v>
      </c>
      <c r="M113" s="164"/>
      <c r="N113" s="164"/>
      <c r="O113" s="164"/>
      <c r="P113" s="164"/>
      <c r="Q113" s="164"/>
    </row>
    <row r="114" spans="1:17">
      <c r="A114" s="195">
        <v>32700</v>
      </c>
      <c r="B114" s="193" t="s">
        <v>338</v>
      </c>
      <c r="C114" s="166">
        <v>18394</v>
      </c>
      <c r="D114" s="166">
        <v>10590</v>
      </c>
      <c r="E114" s="166">
        <v>17805</v>
      </c>
      <c r="F114" s="166">
        <v>5514</v>
      </c>
      <c r="G114" s="166">
        <v>2773</v>
      </c>
      <c r="H114" s="166">
        <v>2068</v>
      </c>
      <c r="M114" s="164"/>
      <c r="N114" s="164"/>
      <c r="O114" s="164"/>
      <c r="P114" s="164"/>
      <c r="Q114" s="164"/>
    </row>
    <row r="115" spans="1:17">
      <c r="A115" s="195">
        <v>32800</v>
      </c>
      <c r="B115" s="193" t="s">
        <v>339</v>
      </c>
      <c r="C115" s="166">
        <v>24593</v>
      </c>
      <c r="D115" s="166">
        <v>14569</v>
      </c>
      <c r="E115" s="166">
        <v>23370</v>
      </c>
      <c r="F115" s="166">
        <v>7192</v>
      </c>
      <c r="G115" s="166">
        <v>4660</v>
      </c>
      <c r="H115" s="166">
        <v>3453</v>
      </c>
      <c r="M115" s="164"/>
      <c r="N115" s="164"/>
      <c r="O115" s="164"/>
      <c r="P115" s="164"/>
      <c r="Q115" s="164"/>
    </row>
    <row r="116" spans="1:17">
      <c r="A116" s="195">
        <v>32900</v>
      </c>
      <c r="B116" s="193" t="s">
        <v>340</v>
      </c>
      <c r="C116" s="166">
        <v>71012</v>
      </c>
      <c r="D116" s="166">
        <v>46421</v>
      </c>
      <c r="E116" s="166">
        <v>66380</v>
      </c>
      <c r="F116" s="166">
        <v>25393</v>
      </c>
      <c r="G116" s="166">
        <v>14224</v>
      </c>
      <c r="H116" s="166">
        <v>9387</v>
      </c>
      <c r="M116" s="164"/>
      <c r="N116" s="164"/>
      <c r="O116" s="164"/>
      <c r="P116" s="164"/>
      <c r="Q116" s="164"/>
    </row>
    <row r="117" spans="1:17">
      <c r="A117" s="195">
        <v>32901</v>
      </c>
      <c r="B117" s="193" t="s">
        <v>341</v>
      </c>
      <c r="C117" s="166">
        <v>1193</v>
      </c>
      <c r="D117" s="166">
        <v>1211</v>
      </c>
      <c r="E117" s="166">
        <v>1085</v>
      </c>
      <c r="F117" s="166">
        <v>416</v>
      </c>
      <c r="G117" s="166">
        <v>96</v>
      </c>
      <c r="H117" s="166">
        <v>259</v>
      </c>
      <c r="M117" s="164"/>
      <c r="N117" s="164"/>
      <c r="O117" s="164"/>
      <c r="P117" s="164"/>
      <c r="Q117" s="164"/>
    </row>
    <row r="118" spans="1:17">
      <c r="A118" s="195">
        <v>32904</v>
      </c>
      <c r="B118" s="196" t="s">
        <v>342</v>
      </c>
      <c r="C118" s="166">
        <v>108</v>
      </c>
      <c r="D118" s="166">
        <v>-354</v>
      </c>
      <c r="E118" s="166">
        <v>428</v>
      </c>
      <c r="F118" s="166">
        <v>-295</v>
      </c>
      <c r="G118" s="166">
        <v>-176</v>
      </c>
      <c r="H118" s="166">
        <v>84</v>
      </c>
      <c r="M118" s="164"/>
      <c r="N118" s="164"/>
      <c r="O118" s="164"/>
      <c r="P118" s="164"/>
      <c r="Q118" s="164"/>
    </row>
    <row r="119" spans="1:17">
      <c r="A119" s="195">
        <v>32905</v>
      </c>
      <c r="B119" s="193" t="s">
        <v>69</v>
      </c>
      <c r="C119" s="166">
        <v>11754</v>
      </c>
      <c r="D119" s="166">
        <v>7383</v>
      </c>
      <c r="E119" s="166">
        <v>10089</v>
      </c>
      <c r="F119" s="166">
        <v>4265</v>
      </c>
      <c r="G119" s="166">
        <v>1673</v>
      </c>
      <c r="H119" s="166">
        <v>960</v>
      </c>
      <c r="M119" s="164"/>
      <c r="N119" s="164"/>
      <c r="O119" s="164"/>
      <c r="P119" s="164"/>
      <c r="Q119" s="164"/>
    </row>
    <row r="120" spans="1:17">
      <c r="A120" s="195">
        <v>32910</v>
      </c>
      <c r="B120" s="193" t="s">
        <v>343</v>
      </c>
      <c r="C120" s="166">
        <v>13976</v>
      </c>
      <c r="D120" s="166">
        <v>8776</v>
      </c>
      <c r="E120" s="166">
        <v>12815</v>
      </c>
      <c r="F120" s="166">
        <v>4812</v>
      </c>
      <c r="G120" s="166">
        <v>2859</v>
      </c>
      <c r="H120" s="166">
        <v>1569</v>
      </c>
      <c r="M120" s="164"/>
      <c r="N120" s="164"/>
      <c r="O120" s="164"/>
      <c r="P120" s="164"/>
      <c r="Q120" s="164"/>
    </row>
    <row r="121" spans="1:17">
      <c r="A121" s="195">
        <v>32915</v>
      </c>
      <c r="B121" s="193" t="s">
        <v>344</v>
      </c>
      <c r="C121" s="166">
        <v>277</v>
      </c>
      <c r="D121" s="166">
        <v>-337</v>
      </c>
      <c r="E121" s="166">
        <v>554</v>
      </c>
      <c r="F121" s="166">
        <v>-411</v>
      </c>
      <c r="G121" s="166">
        <v>-350</v>
      </c>
      <c r="H121" s="166">
        <v>-419</v>
      </c>
      <c r="M121" s="164"/>
      <c r="N121" s="164"/>
      <c r="O121" s="164"/>
      <c r="P121" s="164"/>
      <c r="Q121" s="164"/>
    </row>
    <row r="122" spans="1:17">
      <c r="A122" s="195">
        <v>32920</v>
      </c>
      <c r="B122" s="193" t="s">
        <v>345</v>
      </c>
      <c r="C122" s="166">
        <v>10490</v>
      </c>
      <c r="D122" s="166">
        <v>6899</v>
      </c>
      <c r="E122" s="166">
        <v>10226</v>
      </c>
      <c r="F122" s="166">
        <v>3776</v>
      </c>
      <c r="G122" s="166">
        <v>1771</v>
      </c>
      <c r="H122" s="166">
        <v>1266</v>
      </c>
      <c r="M122" s="164"/>
      <c r="N122" s="164"/>
      <c r="O122" s="164"/>
      <c r="P122" s="164"/>
      <c r="Q122" s="164"/>
    </row>
    <row r="123" spans="1:17">
      <c r="A123" s="195">
        <v>33000</v>
      </c>
      <c r="B123" s="193" t="s">
        <v>346</v>
      </c>
      <c r="C123" s="166">
        <v>26789</v>
      </c>
      <c r="D123" s="166">
        <v>17537</v>
      </c>
      <c r="E123" s="166">
        <v>25756</v>
      </c>
      <c r="F123" s="166">
        <v>10253</v>
      </c>
      <c r="G123" s="166">
        <v>5883</v>
      </c>
      <c r="H123" s="166">
        <v>4323</v>
      </c>
      <c r="M123" s="164"/>
      <c r="N123" s="164"/>
      <c r="O123" s="164"/>
      <c r="P123" s="164"/>
      <c r="Q123" s="164"/>
    </row>
    <row r="124" spans="1:17">
      <c r="A124" s="195">
        <v>33001</v>
      </c>
      <c r="B124" s="193" t="s">
        <v>504</v>
      </c>
      <c r="C124" s="166">
        <v>907</v>
      </c>
      <c r="D124" s="166">
        <v>690</v>
      </c>
      <c r="E124" s="166">
        <v>660</v>
      </c>
      <c r="F124" s="166">
        <v>410</v>
      </c>
      <c r="G124" s="166">
        <v>92</v>
      </c>
      <c r="H124" s="166">
        <v>84</v>
      </c>
      <c r="M124" s="164"/>
      <c r="N124" s="164"/>
      <c r="O124" s="164"/>
      <c r="P124" s="164"/>
      <c r="Q124" s="164"/>
    </row>
    <row r="125" spans="1:17">
      <c r="A125" s="195">
        <v>33027</v>
      </c>
      <c r="B125" s="193" t="s">
        <v>348</v>
      </c>
      <c r="C125" s="166">
        <v>2793</v>
      </c>
      <c r="D125" s="166">
        <v>1584</v>
      </c>
      <c r="E125" s="166">
        <v>3131</v>
      </c>
      <c r="F125" s="166">
        <v>558</v>
      </c>
      <c r="G125" s="166">
        <v>323</v>
      </c>
      <c r="H125" s="166">
        <v>308</v>
      </c>
      <c r="M125" s="164"/>
      <c r="N125" s="164"/>
      <c r="O125" s="164"/>
      <c r="P125" s="164"/>
      <c r="Q125" s="164"/>
    </row>
    <row r="126" spans="1:17">
      <c r="A126" s="195">
        <v>33100</v>
      </c>
      <c r="B126" s="193" t="s">
        <v>349</v>
      </c>
      <c r="C126" s="166">
        <v>41103</v>
      </c>
      <c r="D126" s="166">
        <v>26042</v>
      </c>
      <c r="E126" s="166">
        <v>37596</v>
      </c>
      <c r="F126" s="166">
        <v>15216</v>
      </c>
      <c r="G126" s="166">
        <v>7006</v>
      </c>
      <c r="H126" s="166">
        <v>4386</v>
      </c>
      <c r="M126" s="164"/>
      <c r="N126" s="164"/>
      <c r="O126" s="164"/>
      <c r="P126" s="164"/>
      <c r="Q126" s="164"/>
    </row>
    <row r="127" spans="1:17">
      <c r="A127" s="195">
        <v>33105</v>
      </c>
      <c r="B127" s="193" t="s">
        <v>70</v>
      </c>
      <c r="C127" s="166">
        <v>4941</v>
      </c>
      <c r="D127" s="166">
        <v>2897</v>
      </c>
      <c r="E127" s="166">
        <v>4627</v>
      </c>
      <c r="F127" s="166">
        <v>1702</v>
      </c>
      <c r="G127" s="166">
        <v>623</v>
      </c>
      <c r="H127" s="166">
        <v>443</v>
      </c>
      <c r="M127" s="164"/>
      <c r="N127" s="164"/>
      <c r="O127" s="164"/>
      <c r="P127" s="164"/>
      <c r="Q127" s="164"/>
    </row>
    <row r="128" spans="1:17">
      <c r="A128" s="195">
        <v>33200</v>
      </c>
      <c r="B128" s="193" t="s">
        <v>350</v>
      </c>
      <c r="C128" s="166">
        <v>161918</v>
      </c>
      <c r="D128" s="166">
        <v>93535</v>
      </c>
      <c r="E128" s="166">
        <v>149462</v>
      </c>
      <c r="F128" s="166">
        <v>41088</v>
      </c>
      <c r="G128" s="166">
        <v>24383</v>
      </c>
      <c r="H128" s="166">
        <v>20841</v>
      </c>
      <c r="M128" s="164"/>
      <c r="N128" s="164"/>
      <c r="O128" s="164"/>
      <c r="P128" s="164"/>
      <c r="Q128" s="164"/>
    </row>
    <row r="129" spans="1:17">
      <c r="A129" s="195">
        <v>33202</v>
      </c>
      <c r="B129" s="193" t="s">
        <v>505</v>
      </c>
      <c r="C129" s="166">
        <v>1707</v>
      </c>
      <c r="D129" s="166">
        <v>1102</v>
      </c>
      <c r="E129" s="166">
        <v>1945</v>
      </c>
      <c r="F129" s="166">
        <v>-43</v>
      </c>
      <c r="G129" s="166">
        <v>158</v>
      </c>
      <c r="H129" s="166">
        <v>237</v>
      </c>
      <c r="M129" s="164"/>
      <c r="N129" s="164"/>
      <c r="O129" s="164"/>
      <c r="P129" s="164"/>
      <c r="Q129" s="164"/>
    </row>
    <row r="130" spans="1:17">
      <c r="A130" s="195">
        <v>33203</v>
      </c>
      <c r="B130" s="193" t="s">
        <v>352</v>
      </c>
      <c r="C130" s="166">
        <v>1195</v>
      </c>
      <c r="D130" s="166">
        <v>-21</v>
      </c>
      <c r="E130" s="166">
        <v>1744</v>
      </c>
      <c r="F130" s="166">
        <v>-194</v>
      </c>
      <c r="G130" s="166">
        <v>43</v>
      </c>
      <c r="H130" s="166">
        <v>132</v>
      </c>
      <c r="M130" s="164"/>
      <c r="N130" s="164"/>
      <c r="O130" s="164"/>
      <c r="P130" s="164"/>
      <c r="Q130" s="164"/>
    </row>
    <row r="131" spans="1:17">
      <c r="A131" s="195">
        <v>33204</v>
      </c>
      <c r="B131" s="193" t="s">
        <v>353</v>
      </c>
      <c r="C131" s="166">
        <v>4524</v>
      </c>
      <c r="D131" s="166">
        <v>2075</v>
      </c>
      <c r="E131" s="166">
        <v>4422</v>
      </c>
      <c r="F131" s="166">
        <v>1042</v>
      </c>
      <c r="G131" s="166">
        <v>649</v>
      </c>
      <c r="H131" s="166">
        <v>393</v>
      </c>
      <c r="M131" s="164"/>
      <c r="N131" s="164"/>
      <c r="O131" s="164"/>
      <c r="P131" s="164"/>
      <c r="Q131" s="164"/>
    </row>
    <row r="132" spans="1:17">
      <c r="A132" s="195">
        <v>33205</v>
      </c>
      <c r="B132" s="193" t="s">
        <v>71</v>
      </c>
      <c r="C132" s="166">
        <v>16744</v>
      </c>
      <c r="D132" s="166">
        <v>10174</v>
      </c>
      <c r="E132" s="166">
        <v>14746</v>
      </c>
      <c r="F132" s="166">
        <v>5931</v>
      </c>
      <c r="G132" s="166">
        <v>2086</v>
      </c>
      <c r="H132" s="166">
        <v>1267</v>
      </c>
      <c r="M132" s="164"/>
      <c r="N132" s="164"/>
      <c r="O132" s="164"/>
      <c r="P132" s="164"/>
      <c r="Q132" s="164"/>
    </row>
    <row r="133" spans="1:17">
      <c r="A133" s="195">
        <v>33206</v>
      </c>
      <c r="B133" s="193" t="s">
        <v>354</v>
      </c>
      <c r="C133" s="166">
        <v>1409</v>
      </c>
      <c r="D133" s="166">
        <v>982</v>
      </c>
      <c r="E133" s="166">
        <v>1278</v>
      </c>
      <c r="F133" s="166">
        <v>451</v>
      </c>
      <c r="G133" s="166">
        <v>261</v>
      </c>
      <c r="H133" s="166">
        <v>124</v>
      </c>
      <c r="M133" s="164"/>
      <c r="N133" s="164"/>
      <c r="O133" s="164"/>
      <c r="P133" s="164"/>
      <c r="Q133" s="164"/>
    </row>
    <row r="134" spans="1:17">
      <c r="A134" s="195">
        <v>33207</v>
      </c>
      <c r="B134" s="193" t="s">
        <v>355</v>
      </c>
      <c r="C134" s="166">
        <v>1639</v>
      </c>
      <c r="D134" s="166">
        <v>137</v>
      </c>
      <c r="E134" s="166">
        <v>3099</v>
      </c>
      <c r="F134" s="166">
        <v>-863</v>
      </c>
      <c r="G134" s="166">
        <v>-607</v>
      </c>
      <c r="H134" s="166">
        <v>-46</v>
      </c>
      <c r="M134" s="164"/>
      <c r="N134" s="164"/>
      <c r="O134" s="164"/>
      <c r="P134" s="164"/>
      <c r="Q134" s="164"/>
    </row>
    <row r="135" spans="1:17">
      <c r="A135" s="195">
        <v>33209</v>
      </c>
      <c r="B135" s="193" t="s">
        <v>356</v>
      </c>
      <c r="C135" s="166">
        <v>651</v>
      </c>
      <c r="D135" s="166">
        <v>1034</v>
      </c>
      <c r="E135" s="166">
        <v>1034</v>
      </c>
      <c r="F135" s="166">
        <v>1035</v>
      </c>
      <c r="G135" s="166">
        <v>1207</v>
      </c>
      <c r="H135" s="166" t="s">
        <v>541</v>
      </c>
      <c r="M135" s="164"/>
      <c r="N135" s="164"/>
      <c r="O135" s="164"/>
      <c r="P135" s="164"/>
      <c r="Q135" s="164"/>
    </row>
    <row r="136" spans="1:17">
      <c r="A136" s="195">
        <v>33300</v>
      </c>
      <c r="B136" s="193" t="s">
        <v>357</v>
      </c>
      <c r="C136" s="166">
        <v>25018</v>
      </c>
      <c r="D136" s="166">
        <v>15748</v>
      </c>
      <c r="E136" s="166">
        <v>24073</v>
      </c>
      <c r="F136" s="166">
        <v>8770</v>
      </c>
      <c r="G136" s="166">
        <v>4942</v>
      </c>
      <c r="H136" s="166">
        <v>3814</v>
      </c>
      <c r="M136" s="164"/>
      <c r="N136" s="164"/>
      <c r="O136" s="164"/>
      <c r="P136" s="164"/>
      <c r="Q136" s="164"/>
    </row>
    <row r="137" spans="1:17">
      <c r="A137" s="195">
        <v>33305</v>
      </c>
      <c r="B137" s="193" t="s">
        <v>72</v>
      </c>
      <c r="C137" s="166">
        <v>7370</v>
      </c>
      <c r="D137" s="166">
        <v>4747</v>
      </c>
      <c r="E137" s="166">
        <v>6512</v>
      </c>
      <c r="F137" s="166">
        <v>3392</v>
      </c>
      <c r="G137" s="166">
        <v>1902</v>
      </c>
      <c r="H137" s="166">
        <v>967</v>
      </c>
      <c r="M137" s="164"/>
      <c r="N137" s="164"/>
      <c r="O137" s="164"/>
      <c r="P137" s="164"/>
      <c r="Q137" s="164"/>
    </row>
    <row r="138" spans="1:17">
      <c r="A138" s="195">
        <v>33400</v>
      </c>
      <c r="B138" s="193" t="s">
        <v>358</v>
      </c>
      <c r="C138" s="166">
        <v>233589</v>
      </c>
      <c r="D138" s="166">
        <v>145696</v>
      </c>
      <c r="E138" s="166">
        <v>226783</v>
      </c>
      <c r="F138" s="166">
        <v>82527</v>
      </c>
      <c r="G138" s="166">
        <v>41007</v>
      </c>
      <c r="H138" s="166">
        <v>28256</v>
      </c>
      <c r="M138" s="164"/>
      <c r="N138" s="164"/>
      <c r="O138" s="164"/>
      <c r="P138" s="164"/>
      <c r="Q138" s="164"/>
    </row>
    <row r="139" spans="1:17">
      <c r="A139" s="195">
        <v>33402</v>
      </c>
      <c r="B139" s="193" t="s">
        <v>359</v>
      </c>
      <c r="C139" s="166">
        <v>1446</v>
      </c>
      <c r="D139" s="166">
        <v>787</v>
      </c>
      <c r="E139" s="166">
        <v>1771</v>
      </c>
      <c r="F139" s="166">
        <v>371</v>
      </c>
      <c r="G139" s="166">
        <v>186</v>
      </c>
      <c r="H139" s="166">
        <v>238</v>
      </c>
      <c r="M139" s="164"/>
      <c r="N139" s="164"/>
      <c r="O139" s="164"/>
      <c r="P139" s="164"/>
      <c r="Q139" s="164"/>
    </row>
    <row r="140" spans="1:17">
      <c r="A140" s="195">
        <v>33405</v>
      </c>
      <c r="B140" s="193" t="s">
        <v>73</v>
      </c>
      <c r="C140" s="166">
        <v>24464</v>
      </c>
      <c r="D140" s="166">
        <v>14219</v>
      </c>
      <c r="E140" s="166">
        <v>20311</v>
      </c>
      <c r="F140" s="166">
        <v>7668</v>
      </c>
      <c r="G140" s="166">
        <v>2737</v>
      </c>
      <c r="H140" s="166">
        <v>1411</v>
      </c>
      <c r="M140" s="164"/>
      <c r="N140" s="164"/>
      <c r="O140" s="164"/>
      <c r="P140" s="164"/>
      <c r="Q140" s="164"/>
    </row>
    <row r="141" spans="1:17">
      <c r="A141" s="195">
        <v>33500</v>
      </c>
      <c r="B141" s="193" t="s">
        <v>360</v>
      </c>
      <c r="C141" s="166">
        <v>35126</v>
      </c>
      <c r="D141" s="166">
        <v>21391</v>
      </c>
      <c r="E141" s="166">
        <v>32722</v>
      </c>
      <c r="F141" s="166">
        <v>11718</v>
      </c>
      <c r="G141" s="166">
        <v>6085</v>
      </c>
      <c r="H141" s="166">
        <v>4465</v>
      </c>
      <c r="M141" s="164"/>
      <c r="N141" s="164"/>
      <c r="O141" s="164"/>
      <c r="P141" s="164"/>
      <c r="Q141" s="164"/>
    </row>
    <row r="142" spans="1:17">
      <c r="A142" s="195">
        <v>33501</v>
      </c>
      <c r="B142" s="193" t="s">
        <v>361</v>
      </c>
      <c r="C142" s="166">
        <v>1019</v>
      </c>
      <c r="D142" s="166">
        <v>470</v>
      </c>
      <c r="E142" s="166">
        <v>1023</v>
      </c>
      <c r="F142" s="166">
        <v>141</v>
      </c>
      <c r="G142" s="166">
        <v>36</v>
      </c>
      <c r="H142" s="166">
        <v>132</v>
      </c>
      <c r="M142" s="164"/>
      <c r="N142" s="164"/>
      <c r="O142" s="164"/>
      <c r="P142" s="164"/>
      <c r="Q142" s="164"/>
    </row>
    <row r="143" spans="1:17">
      <c r="A143" s="195">
        <v>33600</v>
      </c>
      <c r="B143" s="193" t="s">
        <v>362</v>
      </c>
      <c r="C143" s="166">
        <v>112753</v>
      </c>
      <c r="D143" s="166">
        <v>74220</v>
      </c>
      <c r="E143" s="166">
        <v>100450</v>
      </c>
      <c r="F143" s="166">
        <v>30680</v>
      </c>
      <c r="G143" s="166">
        <v>22155</v>
      </c>
      <c r="H143" s="166">
        <v>15341</v>
      </c>
      <c r="M143" s="164"/>
      <c r="N143" s="164"/>
      <c r="O143" s="164"/>
      <c r="P143" s="164"/>
      <c r="Q143" s="164"/>
    </row>
    <row r="144" spans="1:17">
      <c r="A144" s="195">
        <v>33605</v>
      </c>
      <c r="B144" s="193" t="s">
        <v>74</v>
      </c>
      <c r="C144" s="166">
        <v>19808</v>
      </c>
      <c r="D144" s="166">
        <v>12817</v>
      </c>
      <c r="E144" s="166">
        <v>16628</v>
      </c>
      <c r="F144" s="166">
        <v>7942</v>
      </c>
      <c r="G144" s="166">
        <v>3453</v>
      </c>
      <c r="H144" s="166">
        <v>1746</v>
      </c>
      <c r="M144" s="164"/>
      <c r="N144" s="164"/>
      <c r="O144" s="164"/>
      <c r="P144" s="164"/>
      <c r="Q144" s="164"/>
    </row>
    <row r="145" spans="1:17">
      <c r="A145" s="195">
        <v>33700</v>
      </c>
      <c r="B145" s="193" t="s">
        <v>363</v>
      </c>
      <c r="C145" s="166">
        <v>8696</v>
      </c>
      <c r="D145" s="166">
        <v>5274</v>
      </c>
      <c r="E145" s="166">
        <v>7856</v>
      </c>
      <c r="F145" s="166">
        <v>2722</v>
      </c>
      <c r="G145" s="166">
        <v>1362</v>
      </c>
      <c r="H145" s="166">
        <v>1036</v>
      </c>
      <c r="M145" s="164"/>
      <c r="N145" s="164"/>
      <c r="O145" s="164"/>
      <c r="P145" s="164"/>
      <c r="Q145" s="164"/>
    </row>
    <row r="146" spans="1:17">
      <c r="A146" s="195">
        <v>33800</v>
      </c>
      <c r="B146" s="193" t="s">
        <v>364</v>
      </c>
      <c r="C146" s="166">
        <v>6948</v>
      </c>
      <c r="D146" s="166">
        <v>4183</v>
      </c>
      <c r="E146" s="166">
        <v>6589</v>
      </c>
      <c r="F146" s="166">
        <v>2535</v>
      </c>
      <c r="G146" s="166">
        <v>1319</v>
      </c>
      <c r="H146" s="166">
        <v>1113</v>
      </c>
      <c r="M146" s="164"/>
      <c r="N146" s="164"/>
      <c r="O146" s="164"/>
      <c r="P146" s="164"/>
      <c r="Q146" s="164"/>
    </row>
    <row r="147" spans="1:17">
      <c r="A147" s="195">
        <v>33900</v>
      </c>
      <c r="B147" s="193" t="s">
        <v>365</v>
      </c>
      <c r="C147" s="166">
        <v>33404</v>
      </c>
      <c r="D147" s="166">
        <v>21808</v>
      </c>
      <c r="E147" s="166">
        <v>28942</v>
      </c>
      <c r="F147" s="166">
        <v>12895</v>
      </c>
      <c r="G147" s="166">
        <v>6472</v>
      </c>
      <c r="H147" s="166">
        <v>4444</v>
      </c>
      <c r="M147" s="164"/>
      <c r="N147" s="164"/>
      <c r="O147" s="164"/>
      <c r="P147" s="164"/>
      <c r="Q147" s="164"/>
    </row>
    <row r="148" spans="1:17">
      <c r="A148" s="195">
        <v>34000</v>
      </c>
      <c r="B148" s="193" t="s">
        <v>366</v>
      </c>
      <c r="C148" s="166">
        <v>14783</v>
      </c>
      <c r="D148" s="166">
        <v>8917</v>
      </c>
      <c r="E148" s="166">
        <v>14782</v>
      </c>
      <c r="F148" s="166">
        <v>5670</v>
      </c>
      <c r="G148" s="166">
        <v>2704</v>
      </c>
      <c r="H148" s="166">
        <v>1919</v>
      </c>
      <c r="M148" s="164"/>
      <c r="N148" s="164"/>
      <c r="O148" s="164"/>
      <c r="P148" s="164"/>
      <c r="Q148" s="164"/>
    </row>
    <row r="149" spans="1:17">
      <c r="A149" s="195">
        <v>34100</v>
      </c>
      <c r="B149" s="193" t="s">
        <v>367</v>
      </c>
      <c r="C149" s="166">
        <v>311948</v>
      </c>
      <c r="D149" s="166">
        <v>189105</v>
      </c>
      <c r="E149" s="166">
        <v>293586</v>
      </c>
      <c r="F149" s="166">
        <v>102630</v>
      </c>
      <c r="G149" s="166">
        <v>53840</v>
      </c>
      <c r="H149" s="166">
        <v>35040</v>
      </c>
      <c r="M149" s="164"/>
      <c r="N149" s="164"/>
      <c r="O149" s="164"/>
      <c r="P149" s="164"/>
      <c r="Q149" s="164"/>
    </row>
    <row r="150" spans="1:17">
      <c r="A150" s="195">
        <v>34105</v>
      </c>
      <c r="B150" s="193" t="s">
        <v>75</v>
      </c>
      <c r="C150" s="166">
        <v>33328</v>
      </c>
      <c r="D150" s="166">
        <v>21080</v>
      </c>
      <c r="E150" s="166">
        <v>26924</v>
      </c>
      <c r="F150" s="166">
        <v>12623</v>
      </c>
      <c r="G150" s="166">
        <v>4956</v>
      </c>
      <c r="H150" s="166">
        <v>2755</v>
      </c>
      <c r="M150" s="164"/>
      <c r="N150" s="164"/>
      <c r="O150" s="164"/>
      <c r="P150" s="164"/>
      <c r="Q150" s="164"/>
    </row>
    <row r="151" spans="1:17">
      <c r="A151" s="195">
        <v>34200</v>
      </c>
      <c r="B151" s="193" t="s">
        <v>368</v>
      </c>
      <c r="C151" s="166">
        <v>11583</v>
      </c>
      <c r="D151" s="166">
        <v>8028</v>
      </c>
      <c r="E151" s="166">
        <v>9935</v>
      </c>
      <c r="F151" s="166">
        <v>4358</v>
      </c>
      <c r="G151" s="166">
        <v>3416</v>
      </c>
      <c r="H151" s="166">
        <v>1837</v>
      </c>
      <c r="M151" s="164"/>
      <c r="N151" s="164"/>
      <c r="O151" s="164"/>
      <c r="P151" s="164"/>
      <c r="Q151" s="164"/>
    </row>
    <row r="152" spans="1:17">
      <c r="A152" s="195">
        <v>34205</v>
      </c>
      <c r="B152" s="193" t="s">
        <v>76</v>
      </c>
      <c r="C152" s="166">
        <v>5812</v>
      </c>
      <c r="D152" s="166">
        <v>3751</v>
      </c>
      <c r="E152" s="166">
        <v>4486</v>
      </c>
      <c r="F152" s="166">
        <v>2167</v>
      </c>
      <c r="G152" s="166">
        <v>779</v>
      </c>
      <c r="H152" s="166">
        <v>191</v>
      </c>
      <c r="M152" s="164"/>
      <c r="N152" s="164"/>
      <c r="O152" s="164"/>
      <c r="P152" s="164"/>
      <c r="Q152" s="164"/>
    </row>
    <row r="153" spans="1:17">
      <c r="A153" s="195">
        <v>34220</v>
      </c>
      <c r="B153" s="193" t="s">
        <v>369</v>
      </c>
      <c r="C153" s="166">
        <v>12549</v>
      </c>
      <c r="D153" s="166">
        <v>8750</v>
      </c>
      <c r="E153" s="166">
        <v>11985</v>
      </c>
      <c r="F153" s="166">
        <v>5106</v>
      </c>
      <c r="G153" s="166">
        <v>2495</v>
      </c>
      <c r="H153" s="166">
        <v>1699</v>
      </c>
      <c r="M153" s="164"/>
      <c r="N153" s="164"/>
      <c r="O153" s="164"/>
      <c r="P153" s="164"/>
      <c r="Q153" s="164"/>
    </row>
    <row r="154" spans="1:17">
      <c r="A154" s="195">
        <v>34230</v>
      </c>
      <c r="B154" s="193" t="s">
        <v>370</v>
      </c>
      <c r="C154" s="166">
        <v>5562</v>
      </c>
      <c r="D154" s="166">
        <v>3771</v>
      </c>
      <c r="E154" s="166">
        <v>5284</v>
      </c>
      <c r="F154" s="166">
        <v>2790</v>
      </c>
      <c r="G154" s="166">
        <v>994</v>
      </c>
      <c r="H154" s="166">
        <v>679</v>
      </c>
      <c r="M154" s="164"/>
      <c r="N154" s="164"/>
      <c r="O154" s="164"/>
      <c r="P154" s="164"/>
      <c r="Q154" s="164"/>
    </row>
    <row r="155" spans="1:17">
      <c r="A155" s="195">
        <v>34300</v>
      </c>
      <c r="B155" s="193" t="s">
        <v>371</v>
      </c>
      <c r="C155" s="166">
        <v>74767</v>
      </c>
      <c r="D155" s="166">
        <v>47991</v>
      </c>
      <c r="E155" s="166">
        <v>69950</v>
      </c>
      <c r="F155" s="166">
        <v>25018</v>
      </c>
      <c r="G155" s="166">
        <v>13507</v>
      </c>
      <c r="H155" s="166">
        <v>9500</v>
      </c>
      <c r="M155" s="164"/>
      <c r="N155" s="164"/>
      <c r="O155" s="164"/>
      <c r="P155" s="164"/>
      <c r="Q155" s="164"/>
    </row>
    <row r="156" spans="1:17">
      <c r="A156" s="195">
        <v>34400</v>
      </c>
      <c r="B156" s="193" t="s">
        <v>372</v>
      </c>
      <c r="C156" s="166">
        <v>30893</v>
      </c>
      <c r="D156" s="166">
        <v>19216</v>
      </c>
      <c r="E156" s="166">
        <v>27790</v>
      </c>
      <c r="F156" s="166">
        <v>9383</v>
      </c>
      <c r="G156" s="166">
        <v>4836</v>
      </c>
      <c r="H156" s="166">
        <v>3647</v>
      </c>
      <c r="M156" s="164"/>
      <c r="N156" s="164"/>
      <c r="O156" s="164"/>
      <c r="P156" s="164"/>
      <c r="Q156" s="164"/>
    </row>
    <row r="157" spans="1:17">
      <c r="A157" s="195">
        <v>34405</v>
      </c>
      <c r="B157" s="193" t="s">
        <v>77</v>
      </c>
      <c r="C157" s="166">
        <v>6148</v>
      </c>
      <c r="D157" s="166">
        <v>3913</v>
      </c>
      <c r="E157" s="166">
        <v>5627</v>
      </c>
      <c r="F157" s="166">
        <v>2254</v>
      </c>
      <c r="G157" s="166">
        <v>1447</v>
      </c>
      <c r="H157" s="166">
        <v>677</v>
      </c>
      <c r="M157" s="164"/>
      <c r="N157" s="164"/>
      <c r="O157" s="164"/>
      <c r="P157" s="164"/>
      <c r="Q157" s="164"/>
    </row>
    <row r="158" spans="1:17">
      <c r="A158" s="195">
        <v>34500</v>
      </c>
      <c r="B158" s="193" t="s">
        <v>373</v>
      </c>
      <c r="C158" s="166">
        <v>54364</v>
      </c>
      <c r="D158" s="166">
        <v>32636</v>
      </c>
      <c r="E158" s="166">
        <v>54059</v>
      </c>
      <c r="F158" s="166">
        <v>18139</v>
      </c>
      <c r="G158" s="166">
        <v>10302</v>
      </c>
      <c r="H158" s="166">
        <v>7277</v>
      </c>
      <c r="M158" s="164"/>
      <c r="N158" s="164"/>
      <c r="O158" s="164"/>
      <c r="P158" s="164"/>
      <c r="Q158" s="164"/>
    </row>
    <row r="159" spans="1:17">
      <c r="A159" s="195">
        <v>34501</v>
      </c>
      <c r="B159" s="193" t="s">
        <v>374</v>
      </c>
      <c r="C159" s="166">
        <v>554</v>
      </c>
      <c r="D159" s="166">
        <v>367</v>
      </c>
      <c r="E159" s="166">
        <v>737</v>
      </c>
      <c r="F159" s="166">
        <v>226</v>
      </c>
      <c r="G159" s="166">
        <v>153</v>
      </c>
      <c r="H159" s="166">
        <v>144</v>
      </c>
      <c r="M159" s="164"/>
      <c r="N159" s="164"/>
      <c r="O159" s="164"/>
      <c r="P159" s="164"/>
      <c r="Q159" s="164"/>
    </row>
    <row r="160" spans="1:17">
      <c r="A160" s="195">
        <v>34505</v>
      </c>
      <c r="B160" s="193" t="s">
        <v>78</v>
      </c>
      <c r="C160" s="166">
        <v>7899</v>
      </c>
      <c r="D160" s="166">
        <v>4289</v>
      </c>
      <c r="E160" s="166">
        <v>7603</v>
      </c>
      <c r="F160" s="166">
        <v>2331</v>
      </c>
      <c r="G160" s="166">
        <v>1135</v>
      </c>
      <c r="H160" s="166">
        <v>1190</v>
      </c>
      <c r="M160" s="164"/>
      <c r="N160" s="164"/>
      <c r="O160" s="164"/>
      <c r="P160" s="164"/>
      <c r="Q160" s="164"/>
    </row>
    <row r="161" spans="1:17">
      <c r="A161" s="195">
        <v>34600</v>
      </c>
      <c r="B161" s="193" t="s">
        <v>375</v>
      </c>
      <c r="C161" s="166">
        <v>14730</v>
      </c>
      <c r="D161" s="166">
        <v>10440</v>
      </c>
      <c r="E161" s="166">
        <v>11963</v>
      </c>
      <c r="F161" s="166">
        <v>5529</v>
      </c>
      <c r="G161" s="166">
        <v>2764</v>
      </c>
      <c r="H161" s="166">
        <v>1948</v>
      </c>
      <c r="M161" s="164"/>
      <c r="N161" s="164"/>
      <c r="O161" s="164"/>
      <c r="P161" s="164"/>
      <c r="Q161" s="164"/>
    </row>
    <row r="162" spans="1:17">
      <c r="A162" s="195">
        <v>34605</v>
      </c>
      <c r="B162" s="193" t="s">
        <v>79</v>
      </c>
      <c r="C162" s="166">
        <v>3170</v>
      </c>
      <c r="D162" s="166">
        <v>2060</v>
      </c>
      <c r="E162" s="166">
        <v>2784</v>
      </c>
      <c r="F162" s="166">
        <v>1481</v>
      </c>
      <c r="G162" s="166">
        <v>764</v>
      </c>
      <c r="H162" s="166">
        <v>337</v>
      </c>
      <c r="M162" s="164"/>
      <c r="N162" s="164"/>
      <c r="O162" s="164"/>
      <c r="P162" s="164"/>
      <c r="Q162" s="164"/>
    </row>
    <row r="163" spans="1:17">
      <c r="A163" s="195">
        <v>34700</v>
      </c>
      <c r="B163" s="193" t="s">
        <v>376</v>
      </c>
      <c r="C163" s="166">
        <v>31727</v>
      </c>
      <c r="D163" s="166">
        <v>18304</v>
      </c>
      <c r="E163" s="166">
        <v>32637</v>
      </c>
      <c r="F163" s="166">
        <v>8900</v>
      </c>
      <c r="G163" s="166">
        <v>4969</v>
      </c>
      <c r="H163" s="166">
        <v>4431</v>
      </c>
      <c r="M163" s="164"/>
      <c r="N163" s="164"/>
      <c r="O163" s="164"/>
      <c r="P163" s="164"/>
      <c r="Q163" s="164"/>
    </row>
    <row r="164" spans="1:17">
      <c r="A164" s="195">
        <v>34800</v>
      </c>
      <c r="B164" s="193" t="s">
        <v>377</v>
      </c>
      <c r="C164" s="166">
        <v>4716</v>
      </c>
      <c r="D164" s="166">
        <v>3361</v>
      </c>
      <c r="E164" s="166">
        <v>4383</v>
      </c>
      <c r="F164" s="166">
        <v>2066</v>
      </c>
      <c r="G164" s="166">
        <v>896</v>
      </c>
      <c r="H164" s="166">
        <v>540</v>
      </c>
      <c r="M164" s="164"/>
      <c r="N164" s="164"/>
      <c r="O164" s="164"/>
      <c r="P164" s="164"/>
      <c r="Q164" s="164"/>
    </row>
    <row r="165" spans="1:17">
      <c r="A165" s="195">
        <v>34900</v>
      </c>
      <c r="B165" s="193" t="s">
        <v>378</v>
      </c>
      <c r="C165" s="166">
        <v>82916</v>
      </c>
      <c r="D165" s="166">
        <v>50763</v>
      </c>
      <c r="E165" s="166">
        <v>76498</v>
      </c>
      <c r="F165" s="166">
        <v>26860</v>
      </c>
      <c r="G165" s="166">
        <v>12752</v>
      </c>
      <c r="H165" s="166">
        <v>7675</v>
      </c>
      <c r="M165" s="164"/>
      <c r="N165" s="164"/>
      <c r="O165" s="164"/>
      <c r="P165" s="164"/>
      <c r="Q165" s="164"/>
    </row>
    <row r="166" spans="1:17">
      <c r="A166" s="195">
        <v>34901</v>
      </c>
      <c r="B166" s="193" t="s">
        <v>508</v>
      </c>
      <c r="C166" s="166">
        <v>1753</v>
      </c>
      <c r="D166" s="166">
        <v>1144</v>
      </c>
      <c r="E166" s="166">
        <v>1811</v>
      </c>
      <c r="F166" s="166">
        <v>400</v>
      </c>
      <c r="G166" s="166">
        <v>223</v>
      </c>
      <c r="H166" s="166">
        <v>160</v>
      </c>
      <c r="M166" s="164"/>
      <c r="N166" s="164"/>
      <c r="O166" s="164"/>
      <c r="P166" s="164"/>
      <c r="Q166" s="164"/>
    </row>
    <row r="167" spans="1:17">
      <c r="A167" s="195">
        <v>34903</v>
      </c>
      <c r="B167" s="193" t="s">
        <v>380</v>
      </c>
      <c r="C167" s="166">
        <v>315</v>
      </c>
      <c r="D167" s="166">
        <v>152</v>
      </c>
      <c r="E167" s="166">
        <v>148</v>
      </c>
      <c r="F167" s="166">
        <v>5</v>
      </c>
      <c r="G167" s="166">
        <v>63</v>
      </c>
      <c r="H167" s="166">
        <v>41</v>
      </c>
      <c r="M167" s="164"/>
      <c r="N167" s="164"/>
      <c r="O167" s="164"/>
      <c r="P167" s="164"/>
      <c r="Q167" s="164"/>
    </row>
    <row r="168" spans="1:17">
      <c r="A168" s="195">
        <v>34905</v>
      </c>
      <c r="B168" s="193" t="s">
        <v>80</v>
      </c>
      <c r="C168" s="166">
        <v>8635</v>
      </c>
      <c r="D168" s="166">
        <v>5467</v>
      </c>
      <c r="E168" s="166">
        <v>7639</v>
      </c>
      <c r="F168" s="166">
        <v>3289</v>
      </c>
      <c r="G168" s="166">
        <v>1278</v>
      </c>
      <c r="H168" s="166">
        <v>939</v>
      </c>
      <c r="M168" s="164"/>
      <c r="N168" s="164"/>
      <c r="O168" s="164"/>
      <c r="P168" s="164"/>
      <c r="Q168" s="164"/>
    </row>
    <row r="169" spans="1:17">
      <c r="A169" s="195">
        <v>34910</v>
      </c>
      <c r="B169" s="193" t="s">
        <v>381</v>
      </c>
      <c r="C169" s="166">
        <v>24482</v>
      </c>
      <c r="D169" s="166">
        <v>15803</v>
      </c>
      <c r="E169" s="166">
        <v>22616</v>
      </c>
      <c r="F169" s="166">
        <v>7806</v>
      </c>
      <c r="G169" s="166">
        <v>3592</v>
      </c>
      <c r="H169" s="166">
        <v>2344</v>
      </c>
      <c r="M169" s="164"/>
      <c r="N169" s="164"/>
      <c r="O169" s="164"/>
      <c r="P169" s="164"/>
      <c r="Q169" s="164"/>
    </row>
    <row r="170" spans="1:17">
      <c r="A170" s="195">
        <v>35000</v>
      </c>
      <c r="B170" s="193" t="s">
        <v>382</v>
      </c>
      <c r="C170" s="166">
        <v>15821</v>
      </c>
      <c r="D170" s="166">
        <v>8842</v>
      </c>
      <c r="E170" s="166">
        <v>16756</v>
      </c>
      <c r="F170" s="166">
        <v>5631</v>
      </c>
      <c r="G170" s="166">
        <v>2577</v>
      </c>
      <c r="H170" s="166">
        <v>1873</v>
      </c>
      <c r="M170" s="164"/>
      <c r="N170" s="164"/>
      <c r="O170" s="164"/>
      <c r="P170" s="164"/>
      <c r="Q170" s="164"/>
    </row>
    <row r="171" spans="1:17">
      <c r="A171" s="195">
        <v>35005</v>
      </c>
      <c r="B171" s="193" t="s">
        <v>81</v>
      </c>
      <c r="C171" s="166">
        <v>8285</v>
      </c>
      <c r="D171" s="166">
        <v>5663</v>
      </c>
      <c r="E171" s="166">
        <v>7021</v>
      </c>
      <c r="F171" s="166">
        <v>3089</v>
      </c>
      <c r="G171" s="166">
        <v>1617</v>
      </c>
      <c r="H171" s="166">
        <v>788</v>
      </c>
      <c r="M171" s="164"/>
      <c r="N171" s="164"/>
      <c r="O171" s="164"/>
      <c r="P171" s="164"/>
      <c r="Q171" s="164"/>
    </row>
    <row r="172" spans="1:17">
      <c r="A172" s="195">
        <v>35100</v>
      </c>
      <c r="B172" s="193" t="s">
        <v>383</v>
      </c>
      <c r="C172" s="166">
        <v>136596</v>
      </c>
      <c r="D172" s="166">
        <v>85560</v>
      </c>
      <c r="E172" s="166">
        <v>134714</v>
      </c>
      <c r="F172" s="166">
        <v>44249</v>
      </c>
      <c r="G172" s="166">
        <v>23888</v>
      </c>
      <c r="H172" s="166">
        <v>18316</v>
      </c>
      <c r="M172" s="164"/>
      <c r="N172" s="164"/>
      <c r="O172" s="164"/>
      <c r="P172" s="164"/>
      <c r="Q172" s="164"/>
    </row>
    <row r="173" spans="1:17">
      <c r="A173" s="195">
        <v>35105</v>
      </c>
      <c r="B173" s="193" t="s">
        <v>82</v>
      </c>
      <c r="C173" s="166">
        <v>12929</v>
      </c>
      <c r="D173" s="166">
        <v>8245</v>
      </c>
      <c r="E173" s="166">
        <v>11497</v>
      </c>
      <c r="F173" s="166">
        <v>4231</v>
      </c>
      <c r="G173" s="166">
        <v>1707</v>
      </c>
      <c r="H173" s="166">
        <v>1176</v>
      </c>
      <c r="M173" s="164"/>
      <c r="N173" s="164"/>
      <c r="O173" s="164"/>
      <c r="P173" s="164"/>
      <c r="Q173" s="164"/>
    </row>
    <row r="174" spans="1:17">
      <c r="A174" s="195">
        <v>35106</v>
      </c>
      <c r="B174" s="193" t="s">
        <v>384</v>
      </c>
      <c r="C174" s="166">
        <v>2567</v>
      </c>
      <c r="D174" s="166">
        <v>1778</v>
      </c>
      <c r="E174" s="166">
        <v>2472</v>
      </c>
      <c r="F174" s="166">
        <v>833</v>
      </c>
      <c r="G174" s="166">
        <v>464</v>
      </c>
      <c r="H174" s="166">
        <v>266</v>
      </c>
      <c r="M174" s="164"/>
      <c r="N174" s="164"/>
      <c r="O174" s="164"/>
      <c r="P174" s="164"/>
      <c r="Q174" s="164"/>
    </row>
    <row r="175" spans="1:17">
      <c r="A175" s="195">
        <v>35200</v>
      </c>
      <c r="B175" s="193" t="s">
        <v>385</v>
      </c>
      <c r="C175" s="166">
        <v>7116</v>
      </c>
      <c r="D175" s="166">
        <v>4860</v>
      </c>
      <c r="E175" s="166">
        <v>6061</v>
      </c>
      <c r="F175" s="166">
        <v>2653</v>
      </c>
      <c r="G175" s="166">
        <v>1301</v>
      </c>
      <c r="H175" s="166">
        <v>605</v>
      </c>
      <c r="M175" s="164"/>
      <c r="N175" s="164"/>
      <c r="O175" s="164"/>
      <c r="P175" s="164"/>
      <c r="Q175" s="164"/>
    </row>
    <row r="176" spans="1:17">
      <c r="A176" s="195">
        <v>35300</v>
      </c>
      <c r="B176" s="193" t="s">
        <v>521</v>
      </c>
      <c r="C176" s="166">
        <v>41529</v>
      </c>
      <c r="D176" s="166">
        <v>26812</v>
      </c>
      <c r="E176" s="166">
        <v>40768</v>
      </c>
      <c r="F176" s="166">
        <v>13808</v>
      </c>
      <c r="G176" s="166">
        <v>9034</v>
      </c>
      <c r="H176" s="166">
        <v>6331</v>
      </c>
      <c r="M176" s="164"/>
      <c r="N176" s="164"/>
      <c r="O176" s="164"/>
      <c r="P176" s="164"/>
      <c r="Q176" s="164"/>
    </row>
    <row r="177" spans="1:17">
      <c r="A177" s="195">
        <v>35305</v>
      </c>
      <c r="B177" s="193" t="s">
        <v>83</v>
      </c>
      <c r="C177" s="166">
        <v>16431</v>
      </c>
      <c r="D177" s="166">
        <v>10562</v>
      </c>
      <c r="E177" s="166">
        <v>15761</v>
      </c>
      <c r="F177" s="166">
        <v>5689</v>
      </c>
      <c r="G177" s="166">
        <v>1860</v>
      </c>
      <c r="H177" s="166">
        <v>908</v>
      </c>
      <c r="M177" s="164"/>
      <c r="N177" s="164"/>
      <c r="O177" s="164"/>
      <c r="P177" s="164"/>
      <c r="Q177" s="164"/>
    </row>
    <row r="178" spans="1:17">
      <c r="A178" s="195">
        <v>35400</v>
      </c>
      <c r="B178" s="193" t="s">
        <v>387</v>
      </c>
      <c r="C178" s="166">
        <v>33074</v>
      </c>
      <c r="D178" s="166">
        <v>18985</v>
      </c>
      <c r="E178" s="166">
        <v>34750</v>
      </c>
      <c r="F178" s="166">
        <v>11795</v>
      </c>
      <c r="G178" s="166">
        <v>6005</v>
      </c>
      <c r="H178" s="166">
        <v>4482</v>
      </c>
      <c r="M178" s="164"/>
      <c r="N178" s="164"/>
      <c r="O178" s="164"/>
      <c r="P178" s="164"/>
      <c r="Q178" s="164"/>
    </row>
    <row r="179" spans="1:17">
      <c r="A179" s="195">
        <v>35401</v>
      </c>
      <c r="B179" s="193" t="s">
        <v>388</v>
      </c>
      <c r="C179" s="166">
        <v>432</v>
      </c>
      <c r="D179" s="166">
        <v>231</v>
      </c>
      <c r="E179" s="166">
        <v>274</v>
      </c>
      <c r="F179" s="166">
        <v>41</v>
      </c>
      <c r="G179" s="166">
        <v>-89</v>
      </c>
      <c r="H179" s="166">
        <v>-99</v>
      </c>
      <c r="M179" s="164"/>
      <c r="N179" s="164"/>
      <c r="O179" s="164"/>
      <c r="P179" s="164"/>
      <c r="Q179" s="164"/>
    </row>
    <row r="180" spans="1:17">
      <c r="A180" s="195">
        <v>35405</v>
      </c>
      <c r="B180" s="193" t="s">
        <v>84</v>
      </c>
      <c r="C180" s="166">
        <v>11266</v>
      </c>
      <c r="D180" s="166">
        <v>7264</v>
      </c>
      <c r="E180" s="166">
        <v>10059</v>
      </c>
      <c r="F180" s="166">
        <v>4346</v>
      </c>
      <c r="G180" s="166">
        <v>1652</v>
      </c>
      <c r="H180" s="166">
        <v>894</v>
      </c>
      <c r="M180" s="164"/>
      <c r="N180" s="164"/>
      <c r="O180" s="164"/>
      <c r="P180" s="164"/>
      <c r="Q180" s="164"/>
    </row>
    <row r="181" spans="1:17">
      <c r="A181" s="195">
        <v>35500</v>
      </c>
      <c r="B181" s="193" t="s">
        <v>389</v>
      </c>
      <c r="C181" s="166">
        <v>45527</v>
      </c>
      <c r="D181" s="166">
        <v>28584</v>
      </c>
      <c r="E181" s="166">
        <v>42793</v>
      </c>
      <c r="F181" s="166">
        <v>15190</v>
      </c>
      <c r="G181" s="166">
        <v>8269</v>
      </c>
      <c r="H181" s="166">
        <v>6015</v>
      </c>
      <c r="M181" s="164"/>
      <c r="N181" s="164"/>
      <c r="O181" s="164"/>
      <c r="P181" s="164"/>
      <c r="Q181" s="164"/>
    </row>
    <row r="182" spans="1:17">
      <c r="A182" s="195">
        <v>35600</v>
      </c>
      <c r="B182" s="193" t="s">
        <v>390</v>
      </c>
      <c r="C182" s="166">
        <v>19906</v>
      </c>
      <c r="D182" s="166">
        <v>12332</v>
      </c>
      <c r="E182" s="166">
        <v>18531</v>
      </c>
      <c r="F182" s="166">
        <v>5986</v>
      </c>
      <c r="G182" s="166">
        <v>3323</v>
      </c>
      <c r="H182" s="166">
        <v>2498</v>
      </c>
      <c r="M182" s="164"/>
      <c r="N182" s="164"/>
      <c r="O182" s="164"/>
      <c r="P182" s="164"/>
      <c r="Q182" s="164"/>
    </row>
    <row r="183" spans="1:17">
      <c r="A183" s="195">
        <v>35700</v>
      </c>
      <c r="B183" s="193" t="s">
        <v>391</v>
      </c>
      <c r="C183" s="166">
        <v>11535</v>
      </c>
      <c r="D183" s="166">
        <v>7262</v>
      </c>
      <c r="E183" s="166">
        <v>10854</v>
      </c>
      <c r="F183" s="166">
        <v>4197</v>
      </c>
      <c r="G183" s="166">
        <v>2026</v>
      </c>
      <c r="H183" s="166">
        <v>1585</v>
      </c>
      <c r="M183" s="164"/>
      <c r="N183" s="164"/>
      <c r="O183" s="164"/>
      <c r="P183" s="164"/>
      <c r="Q183" s="164"/>
    </row>
    <row r="184" spans="1:17">
      <c r="A184" s="195">
        <v>35800</v>
      </c>
      <c r="B184" s="193" t="s">
        <v>392</v>
      </c>
      <c r="C184" s="166">
        <v>16476</v>
      </c>
      <c r="D184" s="166">
        <v>10474</v>
      </c>
      <c r="E184" s="166">
        <v>13469</v>
      </c>
      <c r="F184" s="166">
        <v>5957</v>
      </c>
      <c r="G184" s="166">
        <v>3033</v>
      </c>
      <c r="H184" s="166">
        <v>2345</v>
      </c>
      <c r="M184" s="164"/>
      <c r="N184" s="164"/>
      <c r="O184" s="164"/>
      <c r="P184" s="164"/>
      <c r="Q184" s="164"/>
    </row>
    <row r="185" spans="1:17">
      <c r="A185" s="195">
        <v>35805</v>
      </c>
      <c r="B185" s="193" t="s">
        <v>85</v>
      </c>
      <c r="C185" s="166">
        <v>3491</v>
      </c>
      <c r="D185" s="166">
        <v>2368</v>
      </c>
      <c r="E185" s="166">
        <v>2625</v>
      </c>
      <c r="F185" s="166">
        <v>1164</v>
      </c>
      <c r="G185" s="166">
        <v>576</v>
      </c>
      <c r="H185" s="166">
        <v>268</v>
      </c>
      <c r="M185" s="164"/>
      <c r="N185" s="164"/>
      <c r="O185" s="164"/>
      <c r="P185" s="164"/>
      <c r="Q185" s="164"/>
    </row>
    <row r="186" spans="1:17">
      <c r="A186" s="195">
        <v>35900</v>
      </c>
      <c r="B186" s="193" t="s">
        <v>393</v>
      </c>
      <c r="C186" s="166">
        <v>28449</v>
      </c>
      <c r="D186" s="166">
        <v>19005</v>
      </c>
      <c r="E186" s="166">
        <v>25389</v>
      </c>
      <c r="F186" s="166">
        <v>10362</v>
      </c>
      <c r="G186" s="166">
        <v>5203</v>
      </c>
      <c r="H186" s="166">
        <v>3444</v>
      </c>
      <c r="M186" s="164"/>
      <c r="N186" s="164"/>
      <c r="O186" s="164"/>
      <c r="P186" s="164"/>
      <c r="Q186" s="164"/>
    </row>
    <row r="187" spans="1:17">
      <c r="A187" s="195">
        <v>35905</v>
      </c>
      <c r="B187" s="193" t="s">
        <v>86</v>
      </c>
      <c r="C187" s="166">
        <v>5282</v>
      </c>
      <c r="D187" s="166">
        <v>3088</v>
      </c>
      <c r="E187" s="166">
        <v>4433</v>
      </c>
      <c r="F187" s="166">
        <v>2170</v>
      </c>
      <c r="G187" s="166">
        <v>942</v>
      </c>
      <c r="H187" s="166">
        <v>480</v>
      </c>
      <c r="M187" s="164"/>
      <c r="N187" s="164"/>
      <c r="O187" s="164"/>
      <c r="P187" s="164"/>
      <c r="Q187" s="164"/>
    </row>
    <row r="188" spans="1:17">
      <c r="A188" s="195">
        <v>36000</v>
      </c>
      <c r="B188" s="193" t="s">
        <v>394</v>
      </c>
      <c r="C188" s="166">
        <v>609488</v>
      </c>
      <c r="D188" s="166">
        <v>384571</v>
      </c>
      <c r="E188" s="166">
        <v>569459</v>
      </c>
      <c r="F188" s="166">
        <v>172463</v>
      </c>
      <c r="G188" s="166">
        <v>75549</v>
      </c>
      <c r="H188" s="166">
        <v>51862</v>
      </c>
      <c r="M188" s="164"/>
      <c r="N188" s="164"/>
      <c r="O188" s="164"/>
      <c r="P188" s="164"/>
      <c r="Q188" s="164"/>
    </row>
    <row r="189" spans="1:17">
      <c r="A189" s="195">
        <v>36001</v>
      </c>
      <c r="B189" s="193" t="s">
        <v>395</v>
      </c>
      <c r="C189" s="166">
        <v>339</v>
      </c>
      <c r="D189" s="166" t="s">
        <v>541</v>
      </c>
      <c r="E189" s="166" t="s">
        <v>541</v>
      </c>
      <c r="F189" s="166" t="s">
        <v>541</v>
      </c>
      <c r="G189" s="166" t="s">
        <v>541</v>
      </c>
      <c r="H189" s="166" t="s">
        <v>541</v>
      </c>
      <c r="M189" s="164"/>
      <c r="N189" s="164"/>
      <c r="O189" s="164"/>
      <c r="P189" s="164"/>
      <c r="Q189" s="164"/>
    </row>
    <row r="190" spans="1:17">
      <c r="A190" s="195">
        <v>36003</v>
      </c>
      <c r="B190" s="193" t="s">
        <v>396</v>
      </c>
      <c r="C190" s="166">
        <v>4983</v>
      </c>
      <c r="D190" s="166">
        <v>3170</v>
      </c>
      <c r="E190" s="166">
        <v>4184</v>
      </c>
      <c r="F190" s="166">
        <v>1308</v>
      </c>
      <c r="G190" s="166">
        <v>988</v>
      </c>
      <c r="H190" s="166">
        <v>626</v>
      </c>
      <c r="M190" s="164"/>
      <c r="N190" s="164"/>
      <c r="O190" s="164"/>
      <c r="P190" s="164"/>
      <c r="Q190" s="164"/>
    </row>
    <row r="191" spans="1:17">
      <c r="A191" s="195">
        <v>36004</v>
      </c>
      <c r="B191" s="193" t="s">
        <v>397</v>
      </c>
      <c r="C191" s="166">
        <v>2309</v>
      </c>
      <c r="D191" s="166">
        <v>1051</v>
      </c>
      <c r="E191" s="166">
        <v>2653</v>
      </c>
      <c r="F191" s="166">
        <v>119</v>
      </c>
      <c r="G191" s="166">
        <v>-95</v>
      </c>
      <c r="H191" s="166">
        <v>22</v>
      </c>
      <c r="M191" s="164"/>
      <c r="N191" s="164"/>
      <c r="O191" s="164"/>
      <c r="P191" s="164"/>
      <c r="Q191" s="164"/>
    </row>
    <row r="192" spans="1:17">
      <c r="A192" s="195">
        <v>36005</v>
      </c>
      <c r="B192" s="193" t="s">
        <v>87</v>
      </c>
      <c r="C192" s="166">
        <v>56957</v>
      </c>
      <c r="D192" s="166">
        <v>37846</v>
      </c>
      <c r="E192" s="166">
        <v>51535</v>
      </c>
      <c r="F192" s="166">
        <v>23604</v>
      </c>
      <c r="G192" s="166">
        <v>9776</v>
      </c>
      <c r="H192" s="166">
        <v>5936</v>
      </c>
      <c r="M192" s="164"/>
      <c r="N192" s="164"/>
      <c r="O192" s="164"/>
      <c r="P192" s="164"/>
      <c r="Q192" s="164"/>
    </row>
    <row r="193" spans="1:17">
      <c r="A193" s="195">
        <v>36006</v>
      </c>
      <c r="B193" s="193" t="s">
        <v>398</v>
      </c>
      <c r="C193" s="166">
        <v>4674</v>
      </c>
      <c r="D193" s="166">
        <v>3249</v>
      </c>
      <c r="E193" s="166">
        <v>6098</v>
      </c>
      <c r="F193" s="166">
        <v>1361</v>
      </c>
      <c r="G193" s="166">
        <v>789</v>
      </c>
      <c r="H193" s="166">
        <v>535</v>
      </c>
      <c r="M193" s="164"/>
      <c r="N193" s="164"/>
      <c r="O193" s="164"/>
      <c r="P193" s="164"/>
      <c r="Q193" s="164"/>
    </row>
    <row r="194" spans="1:17">
      <c r="A194" s="195">
        <v>36007</v>
      </c>
      <c r="B194" s="193" t="s">
        <v>399</v>
      </c>
      <c r="C194" s="166">
        <v>1835</v>
      </c>
      <c r="D194" s="166">
        <v>771</v>
      </c>
      <c r="E194" s="166">
        <v>2126</v>
      </c>
      <c r="F194" s="166">
        <v>144</v>
      </c>
      <c r="G194" s="166">
        <v>378</v>
      </c>
      <c r="H194" s="166">
        <v>315</v>
      </c>
      <c r="M194" s="164"/>
      <c r="N194" s="164"/>
      <c r="O194" s="164"/>
      <c r="P194" s="164"/>
      <c r="Q194" s="164"/>
    </row>
    <row r="195" spans="1:17">
      <c r="A195" s="195">
        <v>36008</v>
      </c>
      <c r="B195" s="193" t="s">
        <v>400</v>
      </c>
      <c r="C195" s="166">
        <v>5446</v>
      </c>
      <c r="D195" s="166">
        <v>2617</v>
      </c>
      <c r="E195" s="166">
        <v>5476</v>
      </c>
      <c r="F195" s="166">
        <v>1095</v>
      </c>
      <c r="G195" s="166">
        <v>646</v>
      </c>
      <c r="H195" s="166">
        <v>402</v>
      </c>
      <c r="M195" s="164"/>
      <c r="N195" s="164"/>
      <c r="O195" s="164"/>
      <c r="P195" s="164"/>
      <c r="Q195" s="164"/>
    </row>
    <row r="196" spans="1:17">
      <c r="A196" s="195">
        <v>36009</v>
      </c>
      <c r="B196" s="193" t="s">
        <v>401</v>
      </c>
      <c r="C196" s="166">
        <v>1286</v>
      </c>
      <c r="D196" s="166">
        <v>923</v>
      </c>
      <c r="E196" s="166">
        <v>968</v>
      </c>
      <c r="F196" s="166">
        <v>490</v>
      </c>
      <c r="G196" s="166">
        <v>340</v>
      </c>
      <c r="H196" s="166">
        <v>272</v>
      </c>
      <c r="M196" s="164"/>
      <c r="N196" s="164"/>
      <c r="O196" s="164"/>
      <c r="P196" s="164"/>
      <c r="Q196" s="164"/>
    </row>
    <row r="197" spans="1:17">
      <c r="A197" s="195">
        <v>36100</v>
      </c>
      <c r="B197" s="193" t="s">
        <v>402</v>
      </c>
      <c r="C197" s="166">
        <v>9137</v>
      </c>
      <c r="D197" s="166">
        <v>5696</v>
      </c>
      <c r="E197" s="166">
        <v>8349</v>
      </c>
      <c r="F197" s="166">
        <v>3523</v>
      </c>
      <c r="G197" s="166">
        <v>1784</v>
      </c>
      <c r="H197" s="166">
        <v>1238</v>
      </c>
      <c r="M197" s="164"/>
      <c r="N197" s="164"/>
      <c r="O197" s="164"/>
      <c r="P197" s="164"/>
      <c r="Q197" s="164"/>
    </row>
    <row r="198" spans="1:17">
      <c r="A198" s="195">
        <v>36102</v>
      </c>
      <c r="B198" s="193" t="s">
        <v>403</v>
      </c>
      <c r="C198" s="166">
        <v>921</v>
      </c>
      <c r="D198" s="166">
        <v>1850</v>
      </c>
      <c r="E198" s="166">
        <v>1850</v>
      </c>
      <c r="F198" s="166">
        <v>1847</v>
      </c>
      <c r="G198" s="166">
        <v>2004</v>
      </c>
      <c r="H198" s="166">
        <v>2488</v>
      </c>
      <c r="M198" s="164"/>
      <c r="N198" s="164"/>
      <c r="O198" s="164"/>
      <c r="P198" s="164"/>
      <c r="Q198" s="164"/>
    </row>
    <row r="199" spans="1:17">
      <c r="A199" s="195">
        <v>36105</v>
      </c>
      <c r="B199" s="193" t="s">
        <v>88</v>
      </c>
      <c r="C199" s="166">
        <v>5077</v>
      </c>
      <c r="D199" s="166">
        <v>3398</v>
      </c>
      <c r="E199" s="166">
        <v>4336</v>
      </c>
      <c r="F199" s="166">
        <v>2184</v>
      </c>
      <c r="G199" s="166">
        <v>784</v>
      </c>
      <c r="H199" s="166">
        <v>611</v>
      </c>
      <c r="M199" s="164"/>
      <c r="N199" s="164"/>
      <c r="O199" s="164"/>
      <c r="P199" s="164"/>
      <c r="Q199" s="164"/>
    </row>
    <row r="200" spans="1:17">
      <c r="A200" s="195">
        <v>36200</v>
      </c>
      <c r="B200" s="193" t="s">
        <v>404</v>
      </c>
      <c r="C200" s="166">
        <v>18737</v>
      </c>
      <c r="D200" s="166">
        <v>12745</v>
      </c>
      <c r="E200" s="166">
        <v>17092</v>
      </c>
      <c r="F200" s="166">
        <v>8075</v>
      </c>
      <c r="G200" s="166">
        <v>3852</v>
      </c>
      <c r="H200" s="166">
        <v>2614</v>
      </c>
      <c r="M200" s="164"/>
      <c r="N200" s="164"/>
      <c r="O200" s="164"/>
      <c r="P200" s="164"/>
      <c r="Q200" s="164"/>
    </row>
    <row r="201" spans="1:17">
      <c r="A201" s="195">
        <v>36205</v>
      </c>
      <c r="B201" s="193" t="s">
        <v>89</v>
      </c>
      <c r="C201" s="166">
        <v>3023</v>
      </c>
      <c r="D201" s="166">
        <v>1890</v>
      </c>
      <c r="E201" s="166">
        <v>2818</v>
      </c>
      <c r="F201" s="166">
        <v>869</v>
      </c>
      <c r="G201" s="166">
        <v>457</v>
      </c>
      <c r="H201" s="166">
        <v>393</v>
      </c>
      <c r="M201" s="164"/>
      <c r="N201" s="164"/>
      <c r="O201" s="164"/>
      <c r="P201" s="164"/>
      <c r="Q201" s="164"/>
    </row>
    <row r="202" spans="1:17">
      <c r="A202" s="195">
        <v>36300</v>
      </c>
      <c r="B202" s="193" t="s">
        <v>405</v>
      </c>
      <c r="C202" s="166">
        <v>56013</v>
      </c>
      <c r="D202" s="166">
        <v>34403</v>
      </c>
      <c r="E202" s="166">
        <v>51621</v>
      </c>
      <c r="F202" s="166">
        <v>18797</v>
      </c>
      <c r="G202" s="166">
        <v>9471</v>
      </c>
      <c r="H202" s="166">
        <v>6733</v>
      </c>
      <c r="M202" s="164"/>
      <c r="N202" s="164"/>
      <c r="O202" s="164"/>
      <c r="P202" s="164"/>
      <c r="Q202" s="164"/>
    </row>
    <row r="203" spans="1:17">
      <c r="A203" s="195">
        <v>36301</v>
      </c>
      <c r="B203" s="193" t="s">
        <v>406</v>
      </c>
      <c r="C203" s="166">
        <v>924</v>
      </c>
      <c r="D203" s="166">
        <v>483</v>
      </c>
      <c r="E203" s="166">
        <v>847</v>
      </c>
      <c r="F203" s="166">
        <v>24</v>
      </c>
      <c r="G203" s="166">
        <v>-19</v>
      </c>
      <c r="H203" s="166">
        <v>-37</v>
      </c>
      <c r="M203" s="164"/>
      <c r="N203" s="164"/>
      <c r="O203" s="164"/>
      <c r="P203" s="164"/>
      <c r="Q203" s="164"/>
    </row>
    <row r="204" spans="1:17">
      <c r="A204" s="195">
        <v>36302</v>
      </c>
      <c r="B204" s="193" t="s">
        <v>407</v>
      </c>
      <c r="C204" s="166">
        <v>1123</v>
      </c>
      <c r="D204" s="166">
        <v>338</v>
      </c>
      <c r="E204" s="166">
        <v>1420</v>
      </c>
      <c r="F204" s="166">
        <v>-52</v>
      </c>
      <c r="G204" s="166">
        <v>84</v>
      </c>
      <c r="H204" s="166">
        <v>-31</v>
      </c>
      <c r="M204" s="164"/>
      <c r="N204" s="164"/>
      <c r="O204" s="164"/>
      <c r="P204" s="164"/>
      <c r="Q204" s="164"/>
    </row>
    <row r="205" spans="1:17">
      <c r="A205" s="195">
        <v>36303</v>
      </c>
      <c r="B205" s="193" t="s">
        <v>408</v>
      </c>
      <c r="C205" s="166">
        <v>-783</v>
      </c>
      <c r="D205" s="166">
        <v>259</v>
      </c>
      <c r="E205" s="166">
        <v>1713</v>
      </c>
      <c r="F205" s="166">
        <v>-223</v>
      </c>
      <c r="G205" s="166">
        <v>-128</v>
      </c>
      <c r="H205" s="166">
        <v>85</v>
      </c>
      <c r="M205" s="164"/>
      <c r="N205" s="164"/>
      <c r="O205" s="164"/>
      <c r="P205" s="164"/>
      <c r="Q205" s="164"/>
    </row>
    <row r="206" spans="1:17">
      <c r="A206" s="195">
        <v>36305</v>
      </c>
      <c r="B206" s="193" t="s">
        <v>90</v>
      </c>
      <c r="C206" s="166">
        <v>12478</v>
      </c>
      <c r="D206" s="166">
        <v>7648</v>
      </c>
      <c r="E206" s="166">
        <v>11441</v>
      </c>
      <c r="F206" s="166">
        <v>4503</v>
      </c>
      <c r="G206" s="166">
        <v>1969</v>
      </c>
      <c r="H206" s="166">
        <v>1169</v>
      </c>
      <c r="M206" s="164"/>
      <c r="N206" s="164"/>
      <c r="O206" s="164"/>
      <c r="P206" s="164"/>
      <c r="Q206" s="164"/>
    </row>
    <row r="207" spans="1:17">
      <c r="A207" s="195">
        <v>36310</v>
      </c>
      <c r="B207" s="193" t="s">
        <v>409</v>
      </c>
      <c r="C207" s="166">
        <v>467</v>
      </c>
      <c r="D207" s="166" t="s">
        <v>541</v>
      </c>
      <c r="E207" s="166" t="s">
        <v>541</v>
      </c>
      <c r="F207" s="166" t="s">
        <v>541</v>
      </c>
      <c r="G207" s="166" t="s">
        <v>541</v>
      </c>
      <c r="H207" s="166" t="s">
        <v>541</v>
      </c>
      <c r="M207" s="164"/>
      <c r="N207" s="164"/>
      <c r="O207" s="164"/>
      <c r="P207" s="164"/>
      <c r="Q207" s="164"/>
    </row>
    <row r="208" spans="1:17">
      <c r="A208" s="195">
        <v>36400</v>
      </c>
      <c r="B208" s="193" t="s">
        <v>410</v>
      </c>
      <c r="C208" s="166">
        <v>66417</v>
      </c>
      <c r="D208" s="166">
        <v>42876</v>
      </c>
      <c r="E208" s="166">
        <v>57582</v>
      </c>
      <c r="F208" s="166">
        <v>24144</v>
      </c>
      <c r="G208" s="166">
        <v>11743</v>
      </c>
      <c r="H208" s="166">
        <v>8121</v>
      </c>
      <c r="M208" s="164"/>
      <c r="N208" s="164"/>
      <c r="O208" s="164"/>
      <c r="P208" s="164"/>
      <c r="Q208" s="164"/>
    </row>
    <row r="209" spans="1:17">
      <c r="A209" s="195">
        <v>36405</v>
      </c>
      <c r="B209" s="193" t="s">
        <v>411</v>
      </c>
      <c r="C209" s="166">
        <v>10962</v>
      </c>
      <c r="D209" s="166">
        <v>7016</v>
      </c>
      <c r="E209" s="166">
        <v>8935</v>
      </c>
      <c r="F209" s="166">
        <v>4088</v>
      </c>
      <c r="G209" s="166">
        <v>1795</v>
      </c>
      <c r="H209" s="166">
        <v>1272</v>
      </c>
      <c r="M209" s="164"/>
      <c r="N209" s="164"/>
      <c r="O209" s="164"/>
      <c r="P209" s="164"/>
      <c r="Q209" s="164"/>
    </row>
    <row r="210" spans="1:17">
      <c r="A210" s="195">
        <v>36500</v>
      </c>
      <c r="B210" s="193" t="s">
        <v>412</v>
      </c>
      <c r="C210" s="166">
        <v>119303</v>
      </c>
      <c r="D210" s="166">
        <v>71248</v>
      </c>
      <c r="E210" s="166">
        <v>123029</v>
      </c>
      <c r="F210" s="166">
        <v>42845</v>
      </c>
      <c r="G210" s="166">
        <v>19754</v>
      </c>
      <c r="H210" s="166">
        <v>12337</v>
      </c>
      <c r="M210" s="164"/>
      <c r="N210" s="164"/>
      <c r="O210" s="164"/>
      <c r="P210" s="164"/>
      <c r="Q210" s="164"/>
    </row>
    <row r="211" spans="1:17">
      <c r="A211" s="195">
        <v>36501</v>
      </c>
      <c r="B211" s="193" t="s">
        <v>511</v>
      </c>
      <c r="C211" s="166">
        <v>1295</v>
      </c>
      <c r="D211" s="166">
        <v>730</v>
      </c>
      <c r="E211" s="166">
        <v>1278</v>
      </c>
      <c r="F211" s="166">
        <v>242</v>
      </c>
      <c r="G211" s="166">
        <v>88</v>
      </c>
      <c r="H211" s="166">
        <v>83</v>
      </c>
      <c r="M211" s="164"/>
      <c r="N211" s="164"/>
      <c r="O211" s="164"/>
      <c r="P211" s="164"/>
      <c r="Q211" s="164"/>
    </row>
    <row r="212" spans="1:17">
      <c r="A212" s="195">
        <v>36502</v>
      </c>
      <c r="B212" s="193" t="s">
        <v>414</v>
      </c>
      <c r="C212" s="166">
        <v>390</v>
      </c>
      <c r="D212" s="166">
        <v>337</v>
      </c>
      <c r="E212" s="166">
        <v>367</v>
      </c>
      <c r="F212" s="166">
        <v>191</v>
      </c>
      <c r="G212" s="166">
        <v>119</v>
      </c>
      <c r="H212" s="166">
        <v>48</v>
      </c>
      <c r="M212" s="164"/>
      <c r="N212" s="164"/>
      <c r="O212" s="164"/>
      <c r="P212" s="164"/>
      <c r="Q212" s="164"/>
    </row>
    <row r="213" spans="1:17">
      <c r="A213" s="195">
        <v>36505</v>
      </c>
      <c r="B213" s="193" t="s">
        <v>92</v>
      </c>
      <c r="C213" s="166">
        <v>26651</v>
      </c>
      <c r="D213" s="166">
        <v>16159</v>
      </c>
      <c r="E213" s="166">
        <v>24265</v>
      </c>
      <c r="F213" s="166">
        <v>9762</v>
      </c>
      <c r="G213" s="166">
        <v>4865</v>
      </c>
      <c r="H213" s="166">
        <v>3123</v>
      </c>
      <c r="M213" s="164"/>
      <c r="N213" s="164"/>
      <c r="O213" s="164"/>
      <c r="P213" s="164"/>
      <c r="Q213" s="164"/>
    </row>
    <row r="214" spans="1:17">
      <c r="A214" s="195">
        <v>36600</v>
      </c>
      <c r="B214" s="193" t="s">
        <v>415</v>
      </c>
      <c r="C214" s="166">
        <v>9355</v>
      </c>
      <c r="D214" s="166">
        <v>6731</v>
      </c>
      <c r="E214" s="166">
        <v>7438</v>
      </c>
      <c r="F214" s="166">
        <v>3918</v>
      </c>
      <c r="G214" s="166">
        <v>2123</v>
      </c>
      <c r="H214" s="166">
        <v>1336</v>
      </c>
      <c r="M214" s="164"/>
      <c r="N214" s="164"/>
      <c r="O214" s="164"/>
      <c r="P214" s="164"/>
      <c r="Q214" s="164"/>
    </row>
    <row r="215" spans="1:17">
      <c r="A215" s="195">
        <v>36601</v>
      </c>
      <c r="B215" s="193" t="s">
        <v>416</v>
      </c>
      <c r="C215" s="166">
        <v>3080</v>
      </c>
      <c r="D215" s="166">
        <v>3769</v>
      </c>
      <c r="E215" s="166">
        <v>3769</v>
      </c>
      <c r="F215" s="166">
        <v>3765</v>
      </c>
      <c r="G215" s="166">
        <v>432</v>
      </c>
      <c r="H215" s="166">
        <v>61</v>
      </c>
      <c r="M215" s="164"/>
      <c r="N215" s="164"/>
      <c r="O215" s="164"/>
      <c r="P215" s="164"/>
      <c r="Q215" s="164"/>
    </row>
    <row r="216" spans="1:17">
      <c r="A216" s="195">
        <v>36700</v>
      </c>
      <c r="B216" s="193" t="s">
        <v>417</v>
      </c>
      <c r="C216" s="166">
        <v>97077</v>
      </c>
      <c r="D216" s="166">
        <v>60693</v>
      </c>
      <c r="E216" s="166">
        <v>99076</v>
      </c>
      <c r="F216" s="166">
        <v>33270</v>
      </c>
      <c r="G216" s="166">
        <v>16546</v>
      </c>
      <c r="H216" s="166">
        <v>13108</v>
      </c>
      <c r="M216" s="164"/>
      <c r="N216" s="164"/>
      <c r="O216" s="164"/>
      <c r="P216" s="164"/>
      <c r="Q216" s="164"/>
    </row>
    <row r="217" spans="1:17">
      <c r="A217" s="195">
        <v>36701</v>
      </c>
      <c r="B217" s="193" t="s">
        <v>418</v>
      </c>
      <c r="C217" s="166">
        <v>228</v>
      </c>
      <c r="D217" s="166">
        <v>127</v>
      </c>
      <c r="E217" s="166">
        <v>125</v>
      </c>
      <c r="F217" s="166">
        <v>-52</v>
      </c>
      <c r="G217" s="166">
        <v>30</v>
      </c>
      <c r="H217" s="166">
        <v>14</v>
      </c>
      <c r="M217" s="164"/>
      <c r="N217" s="164"/>
      <c r="O217" s="164"/>
      <c r="P217" s="164"/>
      <c r="Q217" s="164"/>
    </row>
    <row r="218" spans="1:17">
      <c r="A218" s="195">
        <v>36705</v>
      </c>
      <c r="B218" s="193" t="s">
        <v>93</v>
      </c>
      <c r="C218" s="166">
        <v>12140</v>
      </c>
      <c r="D218" s="166">
        <v>8629</v>
      </c>
      <c r="E218" s="166">
        <v>9881</v>
      </c>
      <c r="F218" s="166">
        <v>3671</v>
      </c>
      <c r="G218" s="166">
        <v>2355</v>
      </c>
      <c r="H218" s="166">
        <v>1350</v>
      </c>
      <c r="M218" s="164"/>
      <c r="N218" s="164"/>
      <c r="O218" s="164"/>
      <c r="P218" s="164"/>
      <c r="Q218" s="164"/>
    </row>
    <row r="219" spans="1:17">
      <c r="A219" s="195">
        <v>36800</v>
      </c>
      <c r="B219" s="193" t="s">
        <v>419</v>
      </c>
      <c r="C219" s="166">
        <v>39041</v>
      </c>
      <c r="D219" s="166">
        <v>24787</v>
      </c>
      <c r="E219" s="166">
        <v>38952</v>
      </c>
      <c r="F219" s="166">
        <v>15226</v>
      </c>
      <c r="G219" s="166">
        <v>7028</v>
      </c>
      <c r="H219" s="166">
        <v>4665</v>
      </c>
      <c r="M219" s="164"/>
      <c r="N219" s="164"/>
      <c r="O219" s="164"/>
      <c r="P219" s="164"/>
      <c r="Q219" s="164"/>
    </row>
    <row r="220" spans="1:17">
      <c r="A220" s="195">
        <v>36802</v>
      </c>
      <c r="B220" s="193" t="s">
        <v>420</v>
      </c>
      <c r="C220" s="166">
        <v>870</v>
      </c>
      <c r="D220" s="166">
        <v>756</v>
      </c>
      <c r="E220" s="166">
        <v>1778</v>
      </c>
      <c r="F220" s="166">
        <v>-27</v>
      </c>
      <c r="G220" s="166">
        <v>-173</v>
      </c>
      <c r="H220" s="166">
        <v>272</v>
      </c>
      <c r="M220" s="164"/>
      <c r="N220" s="164"/>
      <c r="O220" s="164"/>
      <c r="P220" s="164"/>
      <c r="Q220" s="164"/>
    </row>
    <row r="221" spans="1:17">
      <c r="A221" s="195">
        <v>36810</v>
      </c>
      <c r="B221" s="193" t="s">
        <v>421</v>
      </c>
      <c r="C221" s="166">
        <v>70725</v>
      </c>
      <c r="D221" s="166">
        <v>44065</v>
      </c>
      <c r="E221" s="166">
        <v>68263</v>
      </c>
      <c r="F221" s="166">
        <v>22787</v>
      </c>
      <c r="G221" s="166">
        <v>11141</v>
      </c>
      <c r="H221" s="166">
        <v>7340</v>
      </c>
      <c r="M221" s="164"/>
      <c r="N221" s="164"/>
      <c r="O221" s="164"/>
      <c r="P221" s="164"/>
      <c r="Q221" s="164"/>
    </row>
    <row r="222" spans="1:17">
      <c r="A222" s="195">
        <v>36900</v>
      </c>
      <c r="B222" s="193" t="s">
        <v>422</v>
      </c>
      <c r="C222" s="166">
        <v>7549</v>
      </c>
      <c r="D222" s="166">
        <v>4208</v>
      </c>
      <c r="E222" s="166">
        <v>7542</v>
      </c>
      <c r="F222" s="166">
        <v>2502</v>
      </c>
      <c r="G222" s="166">
        <v>1590</v>
      </c>
      <c r="H222" s="166">
        <v>1244</v>
      </c>
      <c r="M222" s="164"/>
      <c r="N222" s="164"/>
      <c r="O222" s="164"/>
      <c r="P222" s="164"/>
      <c r="Q222" s="164"/>
    </row>
    <row r="223" spans="1:17">
      <c r="A223" s="195">
        <v>36901</v>
      </c>
      <c r="B223" s="193" t="s">
        <v>423</v>
      </c>
      <c r="C223" s="166">
        <v>2662</v>
      </c>
      <c r="D223" s="166">
        <v>1885</v>
      </c>
      <c r="E223" s="166">
        <v>2635</v>
      </c>
      <c r="F223" s="166">
        <v>1071</v>
      </c>
      <c r="G223" s="166">
        <v>703</v>
      </c>
      <c r="H223" s="166">
        <v>585</v>
      </c>
      <c r="M223" s="164"/>
      <c r="N223" s="164"/>
      <c r="O223" s="164"/>
      <c r="P223" s="164"/>
      <c r="Q223" s="164"/>
    </row>
    <row r="224" spans="1:17">
      <c r="A224" s="195">
        <v>36905</v>
      </c>
      <c r="B224" s="193" t="s">
        <v>94</v>
      </c>
      <c r="C224" s="166">
        <v>2740</v>
      </c>
      <c r="D224" s="166">
        <v>1918</v>
      </c>
      <c r="E224" s="166">
        <v>2347</v>
      </c>
      <c r="F224" s="166">
        <v>1024</v>
      </c>
      <c r="G224" s="166">
        <v>402</v>
      </c>
      <c r="H224" s="166">
        <v>266</v>
      </c>
      <c r="M224" s="164"/>
      <c r="N224" s="164"/>
      <c r="O224" s="164"/>
      <c r="P224" s="164"/>
      <c r="Q224" s="164"/>
    </row>
    <row r="225" spans="1:17">
      <c r="A225" s="195">
        <v>37000</v>
      </c>
      <c r="B225" s="193" t="s">
        <v>424</v>
      </c>
      <c r="C225" s="166">
        <v>23167</v>
      </c>
      <c r="D225" s="166">
        <v>15463</v>
      </c>
      <c r="E225" s="166">
        <v>22647</v>
      </c>
      <c r="F225" s="166">
        <v>9595</v>
      </c>
      <c r="G225" s="166">
        <v>4839</v>
      </c>
      <c r="H225" s="166">
        <v>3491</v>
      </c>
      <c r="M225" s="164"/>
      <c r="N225" s="164"/>
      <c r="O225" s="164"/>
      <c r="P225" s="164"/>
      <c r="Q225" s="164"/>
    </row>
    <row r="226" spans="1:17">
      <c r="A226" s="195">
        <v>37001</v>
      </c>
      <c r="B226" s="193" t="s">
        <v>512</v>
      </c>
      <c r="C226" s="166">
        <v>1008</v>
      </c>
      <c r="D226" s="166">
        <v>359</v>
      </c>
      <c r="E226" s="166">
        <v>1291</v>
      </c>
      <c r="F226" s="166">
        <v>-240</v>
      </c>
      <c r="G226" s="166">
        <v>-35</v>
      </c>
      <c r="H226" s="166">
        <v>114</v>
      </c>
      <c r="M226" s="164"/>
      <c r="N226" s="164"/>
      <c r="O226" s="164"/>
      <c r="P226" s="164"/>
      <c r="Q226" s="164"/>
    </row>
    <row r="227" spans="1:17">
      <c r="A227" s="195">
        <v>37005</v>
      </c>
      <c r="B227" s="193" t="s">
        <v>95</v>
      </c>
      <c r="C227" s="166">
        <v>7117</v>
      </c>
      <c r="D227" s="166">
        <v>4165</v>
      </c>
      <c r="E227" s="166">
        <v>6308</v>
      </c>
      <c r="F227" s="166">
        <v>2258</v>
      </c>
      <c r="G227" s="166">
        <v>864</v>
      </c>
      <c r="H227" s="166">
        <v>532</v>
      </c>
      <c r="M227" s="164"/>
      <c r="N227" s="164"/>
      <c r="O227" s="164"/>
      <c r="P227" s="164"/>
      <c r="Q227" s="164"/>
    </row>
    <row r="228" spans="1:17">
      <c r="A228" s="195">
        <v>37100</v>
      </c>
      <c r="B228" s="193" t="s">
        <v>426</v>
      </c>
      <c r="C228" s="166">
        <v>35568</v>
      </c>
      <c r="D228" s="166">
        <v>19989</v>
      </c>
      <c r="E228" s="166">
        <v>36838</v>
      </c>
      <c r="F228" s="166">
        <v>10826</v>
      </c>
      <c r="G228" s="166">
        <v>5720</v>
      </c>
      <c r="H228" s="166">
        <v>4881</v>
      </c>
      <c r="M228" s="164"/>
      <c r="N228" s="164"/>
      <c r="O228" s="164"/>
      <c r="P228" s="164"/>
      <c r="Q228" s="164"/>
    </row>
    <row r="229" spans="1:17">
      <c r="A229" s="195">
        <v>37200</v>
      </c>
      <c r="B229" s="193" t="s">
        <v>427</v>
      </c>
      <c r="C229" s="166">
        <v>8692</v>
      </c>
      <c r="D229" s="166">
        <v>5136</v>
      </c>
      <c r="E229" s="166">
        <v>7685</v>
      </c>
      <c r="F229" s="166">
        <v>2848</v>
      </c>
      <c r="G229" s="166">
        <v>1897</v>
      </c>
      <c r="H229" s="166">
        <v>1461</v>
      </c>
      <c r="M229" s="164"/>
      <c r="N229" s="164"/>
      <c r="O229" s="164"/>
      <c r="P229" s="164"/>
      <c r="Q229" s="164"/>
    </row>
    <row r="230" spans="1:17">
      <c r="A230" s="195">
        <v>37300</v>
      </c>
      <c r="B230" s="193" t="s">
        <v>428</v>
      </c>
      <c r="C230" s="166">
        <v>20745</v>
      </c>
      <c r="D230" s="166">
        <v>13303</v>
      </c>
      <c r="E230" s="166">
        <v>19765</v>
      </c>
      <c r="F230" s="166">
        <v>7197</v>
      </c>
      <c r="G230" s="166">
        <v>4325</v>
      </c>
      <c r="H230" s="166">
        <v>2638</v>
      </c>
      <c r="M230" s="164"/>
      <c r="N230" s="164"/>
      <c r="O230" s="164"/>
      <c r="P230" s="164"/>
      <c r="Q230" s="164"/>
    </row>
    <row r="231" spans="1:17">
      <c r="A231" s="195">
        <v>37301</v>
      </c>
      <c r="B231" s="193" t="s">
        <v>429</v>
      </c>
      <c r="C231" s="166">
        <v>2340</v>
      </c>
      <c r="D231" s="166">
        <v>1583</v>
      </c>
      <c r="E231" s="166">
        <v>2001</v>
      </c>
      <c r="F231" s="166">
        <v>764</v>
      </c>
      <c r="G231" s="166">
        <v>379</v>
      </c>
      <c r="H231" s="166">
        <v>254</v>
      </c>
      <c r="M231" s="164"/>
      <c r="N231" s="164"/>
      <c r="O231" s="164"/>
      <c r="P231" s="164"/>
      <c r="Q231" s="164"/>
    </row>
    <row r="232" spans="1:17">
      <c r="A232" s="195">
        <v>37305</v>
      </c>
      <c r="B232" s="193" t="s">
        <v>96</v>
      </c>
      <c r="C232" s="166">
        <v>6875</v>
      </c>
      <c r="D232" s="166">
        <v>4131</v>
      </c>
      <c r="E232" s="166">
        <v>5557</v>
      </c>
      <c r="F232" s="166">
        <v>2536</v>
      </c>
      <c r="G232" s="166">
        <v>1513</v>
      </c>
      <c r="H232" s="166">
        <v>612</v>
      </c>
      <c r="M232" s="164"/>
      <c r="N232" s="164"/>
      <c r="O232" s="164"/>
      <c r="P232" s="164"/>
      <c r="Q232" s="164"/>
    </row>
    <row r="233" spans="1:17">
      <c r="A233" s="195">
        <v>37400</v>
      </c>
      <c r="B233" s="193" t="s">
        <v>430</v>
      </c>
      <c r="C233" s="166">
        <v>91440</v>
      </c>
      <c r="D233" s="166">
        <v>53101</v>
      </c>
      <c r="E233" s="166">
        <v>90838</v>
      </c>
      <c r="F233" s="166">
        <v>25776</v>
      </c>
      <c r="G233" s="166">
        <v>17002</v>
      </c>
      <c r="H233" s="166">
        <v>12995</v>
      </c>
      <c r="M233" s="164"/>
      <c r="N233" s="164"/>
      <c r="O233" s="164"/>
      <c r="P233" s="164"/>
      <c r="Q233" s="164"/>
    </row>
    <row r="234" spans="1:17">
      <c r="A234" s="195">
        <v>37405</v>
      </c>
      <c r="B234" s="193" t="s">
        <v>97</v>
      </c>
      <c r="C234" s="166">
        <v>24665</v>
      </c>
      <c r="D234" s="166">
        <v>16398</v>
      </c>
      <c r="E234" s="166">
        <v>21251</v>
      </c>
      <c r="F234" s="166">
        <v>9676</v>
      </c>
      <c r="G234" s="166">
        <v>3934</v>
      </c>
      <c r="H234" s="166">
        <v>2085</v>
      </c>
      <c r="M234" s="164"/>
      <c r="N234" s="164"/>
      <c r="O234" s="164"/>
      <c r="P234" s="164"/>
      <c r="Q234" s="164"/>
    </row>
    <row r="235" spans="1:17">
      <c r="A235" s="195">
        <v>37500</v>
      </c>
      <c r="B235" s="193" t="s">
        <v>431</v>
      </c>
      <c r="C235" s="166">
        <v>12314</v>
      </c>
      <c r="D235" s="166">
        <v>7767</v>
      </c>
      <c r="E235" s="166">
        <v>11000</v>
      </c>
      <c r="F235" s="166">
        <v>4311</v>
      </c>
      <c r="G235" s="166">
        <v>2275</v>
      </c>
      <c r="H235" s="166">
        <v>1531</v>
      </c>
      <c r="M235" s="164"/>
      <c r="N235" s="164"/>
      <c r="O235" s="164"/>
      <c r="P235" s="164"/>
      <c r="Q235" s="164"/>
    </row>
    <row r="236" spans="1:17">
      <c r="A236" s="195">
        <v>37600</v>
      </c>
      <c r="B236" s="193" t="s">
        <v>432</v>
      </c>
      <c r="C236" s="166">
        <v>67963</v>
      </c>
      <c r="D236" s="166">
        <v>42374</v>
      </c>
      <c r="E236" s="166">
        <v>63637</v>
      </c>
      <c r="F236" s="166">
        <v>25217</v>
      </c>
      <c r="G236" s="166">
        <v>12635</v>
      </c>
      <c r="H236" s="166">
        <v>8495</v>
      </c>
      <c r="M236" s="164"/>
      <c r="N236" s="164"/>
      <c r="O236" s="164"/>
      <c r="P236" s="164"/>
      <c r="Q236" s="164"/>
    </row>
    <row r="237" spans="1:17">
      <c r="A237" s="195">
        <v>37601</v>
      </c>
      <c r="B237" s="193" t="s">
        <v>433</v>
      </c>
      <c r="C237" s="166">
        <v>1667</v>
      </c>
      <c r="D237" s="166">
        <v>-66</v>
      </c>
      <c r="E237" s="166">
        <v>2262</v>
      </c>
      <c r="F237" s="166">
        <v>-1721</v>
      </c>
      <c r="G237" s="166">
        <v>249</v>
      </c>
      <c r="H237" s="166">
        <v>416</v>
      </c>
      <c r="M237" s="164"/>
      <c r="N237" s="164"/>
      <c r="O237" s="164"/>
      <c r="P237" s="164"/>
      <c r="Q237" s="164"/>
    </row>
    <row r="238" spans="1:17">
      <c r="A238" s="195">
        <v>37605</v>
      </c>
      <c r="B238" s="193" t="s">
        <v>98</v>
      </c>
      <c r="C238" s="166">
        <v>8956</v>
      </c>
      <c r="D238" s="166">
        <v>5962</v>
      </c>
      <c r="E238" s="166">
        <v>7982</v>
      </c>
      <c r="F238" s="166">
        <v>3455</v>
      </c>
      <c r="G238" s="166">
        <v>1347</v>
      </c>
      <c r="H238" s="166">
        <v>932</v>
      </c>
      <c r="M238" s="164"/>
      <c r="N238" s="164"/>
      <c r="O238" s="164"/>
      <c r="P238" s="164"/>
      <c r="Q238" s="164"/>
    </row>
    <row r="239" spans="1:17">
      <c r="A239" s="195">
        <v>37610</v>
      </c>
      <c r="B239" s="193" t="s">
        <v>434</v>
      </c>
      <c r="C239" s="166">
        <v>19999</v>
      </c>
      <c r="D239" s="166">
        <v>12127</v>
      </c>
      <c r="E239" s="166">
        <v>18254</v>
      </c>
      <c r="F239" s="166">
        <v>6459</v>
      </c>
      <c r="G239" s="166">
        <v>3575</v>
      </c>
      <c r="H239" s="166">
        <v>2921</v>
      </c>
      <c r="M239" s="164"/>
      <c r="N239" s="164"/>
      <c r="O239" s="164"/>
      <c r="P239" s="164"/>
      <c r="Q239" s="164"/>
    </row>
    <row r="240" spans="1:17">
      <c r="A240" s="195">
        <v>37700</v>
      </c>
      <c r="B240" s="193" t="s">
        <v>435</v>
      </c>
      <c r="C240" s="166">
        <v>30485</v>
      </c>
      <c r="D240" s="166">
        <v>18752</v>
      </c>
      <c r="E240" s="166">
        <v>29404</v>
      </c>
      <c r="F240" s="166">
        <v>11598</v>
      </c>
      <c r="G240" s="166">
        <v>6608</v>
      </c>
      <c r="H240" s="166">
        <v>4007</v>
      </c>
      <c r="M240" s="164"/>
      <c r="N240" s="164"/>
      <c r="O240" s="164"/>
      <c r="P240" s="164"/>
      <c r="Q240" s="164"/>
    </row>
    <row r="241" spans="1:17">
      <c r="A241" s="195">
        <v>37705</v>
      </c>
      <c r="B241" s="193" t="s">
        <v>99</v>
      </c>
      <c r="C241" s="166">
        <v>9578</v>
      </c>
      <c r="D241" s="166">
        <v>6646</v>
      </c>
      <c r="E241" s="166">
        <v>9338</v>
      </c>
      <c r="F241" s="166">
        <v>4407</v>
      </c>
      <c r="G241" s="166">
        <v>1667</v>
      </c>
      <c r="H241" s="166">
        <v>1015</v>
      </c>
      <c r="M241" s="164"/>
      <c r="N241" s="164"/>
      <c r="O241" s="164"/>
      <c r="P241" s="164"/>
      <c r="Q241" s="164"/>
    </row>
    <row r="242" spans="1:17">
      <c r="A242" s="195">
        <v>37800</v>
      </c>
      <c r="B242" s="193" t="s">
        <v>436</v>
      </c>
      <c r="C242" s="166">
        <v>94810</v>
      </c>
      <c r="D242" s="166">
        <v>59817</v>
      </c>
      <c r="E242" s="166">
        <v>93174</v>
      </c>
      <c r="F242" s="166">
        <v>37150</v>
      </c>
      <c r="G242" s="166">
        <v>24405</v>
      </c>
      <c r="H242" s="166">
        <v>13530</v>
      </c>
      <c r="M242" s="164"/>
      <c r="N242" s="164"/>
      <c r="O242" s="164"/>
      <c r="P242" s="164"/>
      <c r="Q242" s="164"/>
    </row>
    <row r="243" spans="1:17">
      <c r="A243" s="195">
        <v>37801</v>
      </c>
      <c r="B243" s="193" t="s">
        <v>437</v>
      </c>
      <c r="C243" s="166">
        <v>527</v>
      </c>
      <c r="D243" s="166">
        <v>322</v>
      </c>
      <c r="E243" s="166">
        <v>530</v>
      </c>
      <c r="F243" s="166">
        <v>78</v>
      </c>
      <c r="G243" s="166">
        <v>5</v>
      </c>
      <c r="H243" s="166">
        <v>86</v>
      </c>
      <c r="M243" s="164"/>
      <c r="N243" s="164"/>
      <c r="O243" s="164"/>
      <c r="P243" s="164"/>
      <c r="Q243" s="164"/>
    </row>
    <row r="244" spans="1:17">
      <c r="A244" s="195">
        <v>37805</v>
      </c>
      <c r="B244" s="193" t="s">
        <v>100</v>
      </c>
      <c r="C244" s="166">
        <v>8025</v>
      </c>
      <c r="D244" s="166">
        <v>4867</v>
      </c>
      <c r="E244" s="166">
        <v>6815</v>
      </c>
      <c r="F244" s="166">
        <v>2624</v>
      </c>
      <c r="G244" s="166">
        <v>993</v>
      </c>
      <c r="H244" s="166">
        <v>687</v>
      </c>
      <c r="M244" s="164"/>
      <c r="N244" s="164"/>
      <c r="O244" s="164"/>
      <c r="P244" s="164"/>
      <c r="Q244" s="164"/>
    </row>
    <row r="245" spans="1:17">
      <c r="A245" s="195">
        <v>37900</v>
      </c>
      <c r="B245" s="193" t="s">
        <v>438</v>
      </c>
      <c r="C245" s="166">
        <v>51507</v>
      </c>
      <c r="D245" s="166">
        <v>32740</v>
      </c>
      <c r="E245" s="166">
        <v>45668</v>
      </c>
      <c r="F245" s="166">
        <v>18416</v>
      </c>
      <c r="G245" s="166">
        <v>6184</v>
      </c>
      <c r="H245" s="166">
        <v>4511</v>
      </c>
      <c r="M245" s="164"/>
      <c r="N245" s="164"/>
      <c r="O245" s="164"/>
      <c r="P245" s="164"/>
      <c r="Q245" s="164"/>
    </row>
    <row r="246" spans="1:17">
      <c r="A246" s="195">
        <v>37901</v>
      </c>
      <c r="B246" s="193" t="s">
        <v>439</v>
      </c>
      <c r="C246" s="166">
        <v>647</v>
      </c>
      <c r="D246" s="166">
        <v>257</v>
      </c>
      <c r="E246" s="166">
        <v>1164</v>
      </c>
      <c r="F246" s="166">
        <v>92</v>
      </c>
      <c r="G246" s="166">
        <v>91</v>
      </c>
      <c r="H246" s="166">
        <v>162</v>
      </c>
      <c r="M246" s="164"/>
      <c r="N246" s="164"/>
      <c r="O246" s="164"/>
      <c r="P246" s="164"/>
      <c r="Q246" s="164"/>
    </row>
    <row r="247" spans="1:17">
      <c r="A247" s="195">
        <v>37905</v>
      </c>
      <c r="B247" s="193" t="s">
        <v>101</v>
      </c>
      <c r="C247" s="166">
        <v>7035</v>
      </c>
      <c r="D247" s="166">
        <v>4134</v>
      </c>
      <c r="E247" s="166">
        <v>5215</v>
      </c>
      <c r="F247" s="166">
        <v>2280</v>
      </c>
      <c r="G247" s="166">
        <v>948</v>
      </c>
      <c r="H247" s="166">
        <v>460</v>
      </c>
      <c r="M247" s="164"/>
      <c r="N247" s="164"/>
      <c r="O247" s="164"/>
      <c r="P247" s="164"/>
      <c r="Q247" s="164"/>
    </row>
    <row r="248" spans="1:17">
      <c r="A248" s="195">
        <v>38000</v>
      </c>
      <c r="B248" s="193" t="s">
        <v>440</v>
      </c>
      <c r="C248" s="166">
        <v>78991</v>
      </c>
      <c r="D248" s="166">
        <v>52750</v>
      </c>
      <c r="E248" s="166">
        <v>68655</v>
      </c>
      <c r="F248" s="166">
        <v>25220</v>
      </c>
      <c r="G248" s="166">
        <v>12898</v>
      </c>
      <c r="H248" s="166">
        <v>8936</v>
      </c>
      <c r="M248" s="164"/>
      <c r="N248" s="164"/>
      <c r="O248" s="164"/>
      <c r="P248" s="164"/>
      <c r="Q248" s="164"/>
    </row>
    <row r="249" spans="1:17">
      <c r="A249" s="195">
        <v>38005</v>
      </c>
      <c r="B249" s="193" t="s">
        <v>102</v>
      </c>
      <c r="C249" s="166">
        <v>16841</v>
      </c>
      <c r="D249" s="166">
        <v>9959</v>
      </c>
      <c r="E249" s="166">
        <v>14526</v>
      </c>
      <c r="F249" s="166">
        <v>4877</v>
      </c>
      <c r="G249" s="166">
        <v>2149</v>
      </c>
      <c r="H249" s="166">
        <v>1548</v>
      </c>
      <c r="M249" s="164"/>
      <c r="N249" s="164"/>
      <c r="O249" s="164"/>
      <c r="P249" s="164"/>
      <c r="Q249" s="164"/>
    </row>
    <row r="250" spans="1:17">
      <c r="A250" s="195">
        <v>38100</v>
      </c>
      <c r="B250" s="193" t="s">
        <v>441</v>
      </c>
      <c r="C250" s="166">
        <v>36942</v>
      </c>
      <c r="D250" s="166">
        <v>22712</v>
      </c>
      <c r="E250" s="166">
        <v>36023</v>
      </c>
      <c r="F250" s="166">
        <v>13372</v>
      </c>
      <c r="G250" s="166">
        <v>8375</v>
      </c>
      <c r="H250" s="166">
        <v>5572</v>
      </c>
      <c r="M250" s="164"/>
      <c r="N250" s="164"/>
      <c r="O250" s="164"/>
      <c r="P250" s="164"/>
      <c r="Q250" s="164"/>
    </row>
    <row r="251" spans="1:17">
      <c r="A251" s="195">
        <v>38105</v>
      </c>
      <c r="B251" s="193" t="s">
        <v>103</v>
      </c>
      <c r="C251" s="166">
        <v>7931</v>
      </c>
      <c r="D251" s="166">
        <v>5036</v>
      </c>
      <c r="E251" s="166">
        <v>7011</v>
      </c>
      <c r="F251" s="166">
        <v>3062</v>
      </c>
      <c r="G251" s="166">
        <v>1473</v>
      </c>
      <c r="H251" s="166">
        <v>837</v>
      </c>
      <c r="M251" s="164"/>
      <c r="N251" s="164"/>
      <c r="O251" s="164"/>
      <c r="P251" s="164"/>
      <c r="Q251" s="164"/>
    </row>
    <row r="252" spans="1:17">
      <c r="A252" s="195">
        <v>38200</v>
      </c>
      <c r="B252" s="193" t="s">
        <v>442</v>
      </c>
      <c r="C252" s="166">
        <v>36078</v>
      </c>
      <c r="D252" s="166">
        <v>23079</v>
      </c>
      <c r="E252" s="166">
        <v>31536</v>
      </c>
      <c r="F252" s="166">
        <v>12080</v>
      </c>
      <c r="G252" s="166">
        <v>7275</v>
      </c>
      <c r="H252" s="166">
        <v>4863</v>
      </c>
      <c r="M252" s="164"/>
      <c r="N252" s="164"/>
      <c r="O252" s="164"/>
      <c r="P252" s="164"/>
      <c r="Q252" s="164"/>
    </row>
    <row r="253" spans="1:17">
      <c r="A253" s="195">
        <v>38205</v>
      </c>
      <c r="B253" s="193" t="s">
        <v>104</v>
      </c>
      <c r="C253" s="166">
        <v>5374</v>
      </c>
      <c r="D253" s="166">
        <v>3222</v>
      </c>
      <c r="E253" s="166">
        <v>5113</v>
      </c>
      <c r="F253" s="166">
        <v>2031</v>
      </c>
      <c r="G253" s="166">
        <v>821</v>
      </c>
      <c r="H253" s="166">
        <v>681</v>
      </c>
      <c r="M253" s="164"/>
      <c r="N253" s="164"/>
      <c r="O253" s="164"/>
      <c r="P253" s="164"/>
      <c r="Q253" s="164"/>
    </row>
    <row r="254" spans="1:17">
      <c r="A254" s="195">
        <v>38210</v>
      </c>
      <c r="B254" s="193" t="s">
        <v>443</v>
      </c>
      <c r="C254" s="166">
        <v>13302</v>
      </c>
      <c r="D254" s="166">
        <v>8811</v>
      </c>
      <c r="E254" s="166">
        <v>12328</v>
      </c>
      <c r="F254" s="166">
        <v>4708</v>
      </c>
      <c r="G254" s="166">
        <v>2862</v>
      </c>
      <c r="H254" s="166">
        <v>1613</v>
      </c>
      <c r="M254" s="164"/>
      <c r="N254" s="164"/>
      <c r="O254" s="164"/>
      <c r="P254" s="164"/>
      <c r="Q254" s="164"/>
    </row>
    <row r="255" spans="1:17">
      <c r="A255" s="195">
        <v>38300</v>
      </c>
      <c r="B255" s="193" t="s">
        <v>444</v>
      </c>
      <c r="C255" s="166">
        <v>26611</v>
      </c>
      <c r="D255" s="166">
        <v>17181</v>
      </c>
      <c r="E255" s="166">
        <v>24072</v>
      </c>
      <c r="F255" s="166">
        <v>8772</v>
      </c>
      <c r="G255" s="166">
        <v>4939</v>
      </c>
      <c r="H255" s="166">
        <v>3667</v>
      </c>
      <c r="M255" s="164"/>
      <c r="N255" s="164"/>
      <c r="O255" s="164"/>
      <c r="P255" s="164"/>
      <c r="Q255" s="164"/>
    </row>
    <row r="256" spans="1:17">
      <c r="A256" s="195">
        <v>38400</v>
      </c>
      <c r="B256" s="193" t="s">
        <v>445</v>
      </c>
      <c r="C256" s="166">
        <v>34345</v>
      </c>
      <c r="D256" s="166">
        <v>21687</v>
      </c>
      <c r="E256" s="166">
        <v>32707</v>
      </c>
      <c r="F256" s="166">
        <v>12845</v>
      </c>
      <c r="G256" s="166">
        <v>5233</v>
      </c>
      <c r="H256" s="166">
        <v>4741</v>
      </c>
      <c r="M256" s="164"/>
      <c r="N256" s="164"/>
      <c r="O256" s="164"/>
      <c r="P256" s="164"/>
      <c r="Q256" s="164"/>
    </row>
    <row r="257" spans="1:17">
      <c r="A257" s="195">
        <v>38402</v>
      </c>
      <c r="B257" s="193" t="s">
        <v>446</v>
      </c>
      <c r="C257" s="166">
        <v>995</v>
      </c>
      <c r="D257" s="166">
        <v>1134</v>
      </c>
      <c r="E257" s="166">
        <v>1914</v>
      </c>
      <c r="F257" s="166">
        <v>513</v>
      </c>
      <c r="G257" s="166">
        <v>433</v>
      </c>
      <c r="H257" s="166">
        <v>294</v>
      </c>
      <c r="M257" s="164"/>
      <c r="N257" s="164"/>
      <c r="O257" s="164"/>
      <c r="P257" s="164"/>
      <c r="Q257" s="164"/>
    </row>
    <row r="258" spans="1:17">
      <c r="A258" s="195">
        <v>38405</v>
      </c>
      <c r="B258" s="193" t="s">
        <v>105</v>
      </c>
      <c r="C258" s="166">
        <v>8705</v>
      </c>
      <c r="D258" s="166">
        <v>6062</v>
      </c>
      <c r="E258" s="166">
        <v>8598</v>
      </c>
      <c r="F258" s="166">
        <v>3807</v>
      </c>
      <c r="G258" s="166">
        <v>1477</v>
      </c>
      <c r="H258" s="166">
        <v>890</v>
      </c>
      <c r="M258" s="164"/>
      <c r="N258" s="164"/>
      <c r="O258" s="164"/>
      <c r="P258" s="164"/>
      <c r="Q258" s="164"/>
    </row>
    <row r="259" spans="1:17">
      <c r="A259" s="195">
        <v>38500</v>
      </c>
      <c r="B259" s="193" t="s">
        <v>447</v>
      </c>
      <c r="C259" s="166">
        <v>27211</v>
      </c>
      <c r="D259" s="166">
        <v>17730</v>
      </c>
      <c r="E259" s="166">
        <v>24244</v>
      </c>
      <c r="F259" s="166">
        <v>9483</v>
      </c>
      <c r="G259" s="166">
        <v>4440</v>
      </c>
      <c r="H259" s="166">
        <v>3261</v>
      </c>
      <c r="M259" s="164"/>
      <c r="N259" s="164"/>
      <c r="O259" s="164"/>
      <c r="P259" s="164"/>
      <c r="Q259" s="164"/>
    </row>
    <row r="260" spans="1:17">
      <c r="A260" s="195">
        <v>38600</v>
      </c>
      <c r="B260" s="193" t="s">
        <v>448</v>
      </c>
      <c r="C260" s="166">
        <v>34784</v>
      </c>
      <c r="D260" s="166">
        <v>22151</v>
      </c>
      <c r="E260" s="166">
        <v>30462</v>
      </c>
      <c r="F260" s="166">
        <v>11650</v>
      </c>
      <c r="G260" s="166">
        <v>7337</v>
      </c>
      <c r="H260" s="166">
        <v>4680</v>
      </c>
      <c r="M260" s="164"/>
      <c r="N260" s="164"/>
      <c r="O260" s="164"/>
      <c r="P260" s="164"/>
      <c r="Q260" s="164"/>
    </row>
    <row r="261" spans="1:17">
      <c r="A261" s="195">
        <v>38601</v>
      </c>
      <c r="B261" s="193" t="s">
        <v>449</v>
      </c>
      <c r="C261" s="166">
        <v>202</v>
      </c>
      <c r="D261" s="166">
        <v>309</v>
      </c>
      <c r="E261" s="166">
        <v>309</v>
      </c>
      <c r="F261" s="166">
        <v>308</v>
      </c>
      <c r="G261" s="166">
        <v>7</v>
      </c>
      <c r="H261" s="166">
        <v>-7</v>
      </c>
      <c r="M261" s="164"/>
      <c r="N261" s="164"/>
      <c r="O261" s="164"/>
      <c r="P261" s="164"/>
      <c r="Q261" s="164"/>
    </row>
    <row r="262" spans="1:17">
      <c r="A262" s="195">
        <v>38602</v>
      </c>
      <c r="B262" s="193" t="s">
        <v>450</v>
      </c>
      <c r="C262" s="166">
        <v>2376</v>
      </c>
      <c r="D262" s="166">
        <v>1836</v>
      </c>
      <c r="E262" s="166">
        <v>2450</v>
      </c>
      <c r="F262" s="166">
        <v>982</v>
      </c>
      <c r="G262" s="166">
        <v>341</v>
      </c>
      <c r="H262" s="166">
        <v>237</v>
      </c>
      <c r="M262" s="164"/>
      <c r="N262" s="164"/>
      <c r="O262" s="164"/>
      <c r="P262" s="164"/>
      <c r="Q262" s="164"/>
    </row>
    <row r="263" spans="1:17">
      <c r="A263" s="195">
        <v>38605</v>
      </c>
      <c r="B263" s="193" t="s">
        <v>106</v>
      </c>
      <c r="C263" s="166">
        <v>9948</v>
      </c>
      <c r="D263" s="166">
        <v>6160</v>
      </c>
      <c r="E263" s="166">
        <v>8154</v>
      </c>
      <c r="F263" s="166">
        <v>3331</v>
      </c>
      <c r="G263" s="166">
        <v>1433</v>
      </c>
      <c r="H263" s="166">
        <v>619</v>
      </c>
      <c r="M263" s="164"/>
      <c r="N263" s="164"/>
      <c r="O263" s="164"/>
      <c r="P263" s="164"/>
      <c r="Q263" s="164"/>
    </row>
    <row r="264" spans="1:17">
      <c r="A264" s="195">
        <v>38610</v>
      </c>
      <c r="B264" s="193" t="s">
        <v>451</v>
      </c>
      <c r="C264" s="166">
        <v>6813</v>
      </c>
      <c r="D264" s="166">
        <v>3688</v>
      </c>
      <c r="E264" s="166">
        <v>6952</v>
      </c>
      <c r="F264" s="166">
        <v>1960</v>
      </c>
      <c r="G264" s="166">
        <v>979</v>
      </c>
      <c r="H264" s="166">
        <v>931</v>
      </c>
      <c r="M264" s="164"/>
      <c r="N264" s="164"/>
      <c r="O264" s="164"/>
      <c r="P264" s="164"/>
      <c r="Q264" s="164"/>
    </row>
    <row r="265" spans="1:17">
      <c r="A265" s="195">
        <v>38620</v>
      </c>
      <c r="B265" s="193" t="s">
        <v>452</v>
      </c>
      <c r="C265" s="166">
        <v>6449</v>
      </c>
      <c r="D265" s="166">
        <v>3953</v>
      </c>
      <c r="E265" s="166">
        <v>5605</v>
      </c>
      <c r="F265" s="166">
        <v>2111</v>
      </c>
      <c r="G265" s="166">
        <v>960</v>
      </c>
      <c r="H265" s="166">
        <v>760</v>
      </c>
      <c r="M265" s="164"/>
      <c r="N265" s="164"/>
      <c r="O265" s="164"/>
      <c r="P265" s="164"/>
      <c r="Q265" s="164"/>
    </row>
    <row r="266" spans="1:17">
      <c r="A266" s="195">
        <v>38700</v>
      </c>
      <c r="B266" s="193" t="s">
        <v>453</v>
      </c>
      <c r="C266" s="166">
        <v>9731</v>
      </c>
      <c r="D266" s="166">
        <v>5591</v>
      </c>
      <c r="E266" s="166">
        <v>9575</v>
      </c>
      <c r="F266" s="166">
        <v>3304</v>
      </c>
      <c r="G266" s="166">
        <v>1848</v>
      </c>
      <c r="H266" s="166">
        <v>1291</v>
      </c>
      <c r="M266" s="164"/>
      <c r="N266" s="164"/>
      <c r="O266" s="164"/>
      <c r="P266" s="164"/>
      <c r="Q266" s="164"/>
    </row>
    <row r="267" spans="1:17">
      <c r="A267" s="195">
        <v>38701</v>
      </c>
      <c r="B267" s="193" t="s">
        <v>513</v>
      </c>
      <c r="C267" s="166">
        <v>545</v>
      </c>
      <c r="D267" s="166">
        <v>258</v>
      </c>
      <c r="E267" s="166">
        <v>729</v>
      </c>
      <c r="F267" s="166">
        <v>231</v>
      </c>
      <c r="G267" s="166">
        <v>6</v>
      </c>
      <c r="H267" s="166">
        <v>8</v>
      </c>
      <c r="M267" s="164"/>
      <c r="N267" s="164"/>
      <c r="O267" s="164"/>
      <c r="P267" s="164"/>
      <c r="Q267" s="164"/>
    </row>
    <row r="268" spans="1:17">
      <c r="A268" s="195">
        <v>38800</v>
      </c>
      <c r="B268" s="193" t="s">
        <v>455</v>
      </c>
      <c r="C268" s="166">
        <v>17160</v>
      </c>
      <c r="D268" s="166">
        <v>10344</v>
      </c>
      <c r="E268" s="166">
        <v>15892</v>
      </c>
      <c r="F268" s="166">
        <v>5232</v>
      </c>
      <c r="G268" s="166">
        <v>2916</v>
      </c>
      <c r="H268" s="166">
        <v>2153</v>
      </c>
      <c r="M268" s="164"/>
      <c r="N268" s="164"/>
      <c r="O268" s="164"/>
      <c r="P268" s="164"/>
      <c r="Q268" s="164"/>
    </row>
    <row r="269" spans="1:17">
      <c r="A269" s="195">
        <v>38801</v>
      </c>
      <c r="B269" s="193" t="s">
        <v>456</v>
      </c>
      <c r="C269" s="166">
        <v>1136</v>
      </c>
      <c r="D269" s="166">
        <v>737</v>
      </c>
      <c r="E269" s="166">
        <v>1106</v>
      </c>
      <c r="F269" s="166">
        <v>95</v>
      </c>
      <c r="G269" s="166">
        <v>-36</v>
      </c>
      <c r="H269" s="166">
        <v>223</v>
      </c>
      <c r="M269" s="164"/>
      <c r="N269" s="164"/>
      <c r="O269" s="164"/>
      <c r="P269" s="164"/>
      <c r="Q269" s="164"/>
    </row>
    <row r="270" spans="1:17">
      <c r="A270" s="195">
        <v>38900</v>
      </c>
      <c r="B270" s="193" t="s">
        <v>457</v>
      </c>
      <c r="C270" s="166">
        <v>3885</v>
      </c>
      <c r="D270" s="166">
        <v>2365</v>
      </c>
      <c r="E270" s="166">
        <v>3267</v>
      </c>
      <c r="F270" s="166">
        <v>1073</v>
      </c>
      <c r="G270" s="166">
        <v>504</v>
      </c>
      <c r="H270" s="166">
        <v>376</v>
      </c>
      <c r="M270" s="164"/>
      <c r="N270" s="164"/>
      <c r="O270" s="164"/>
      <c r="P270" s="164"/>
      <c r="Q270" s="164"/>
    </row>
    <row r="271" spans="1:17">
      <c r="A271" s="195">
        <v>39000</v>
      </c>
      <c r="B271" s="193" t="s">
        <v>458</v>
      </c>
      <c r="C271" s="166">
        <v>167151</v>
      </c>
      <c r="D271" s="166">
        <v>100379</v>
      </c>
      <c r="E271" s="166">
        <v>157434</v>
      </c>
      <c r="F271" s="166">
        <v>54461</v>
      </c>
      <c r="G271" s="166">
        <v>32665</v>
      </c>
      <c r="H271" s="166">
        <v>26264</v>
      </c>
      <c r="M271" s="164"/>
      <c r="N271" s="164"/>
      <c r="O271" s="164"/>
      <c r="P271" s="164"/>
      <c r="Q271" s="164"/>
    </row>
    <row r="272" spans="1:17">
      <c r="A272" s="195">
        <v>39100</v>
      </c>
      <c r="B272" s="193" t="s">
        <v>459</v>
      </c>
      <c r="C272" s="166">
        <v>27967</v>
      </c>
      <c r="D272" s="166">
        <v>18149</v>
      </c>
      <c r="E272" s="166">
        <v>24462</v>
      </c>
      <c r="F272" s="166">
        <v>12300</v>
      </c>
      <c r="G272" s="166">
        <v>6389</v>
      </c>
      <c r="H272" s="166">
        <v>3665</v>
      </c>
      <c r="M272" s="164"/>
      <c r="N272" s="164"/>
      <c r="O272" s="164"/>
      <c r="P272" s="164"/>
      <c r="Q272" s="164"/>
    </row>
    <row r="273" spans="1:17">
      <c r="A273" s="195">
        <v>39101</v>
      </c>
      <c r="B273" s="193" t="s">
        <v>460</v>
      </c>
      <c r="C273" s="166">
        <v>2290</v>
      </c>
      <c r="D273" s="166">
        <v>1500</v>
      </c>
      <c r="E273" s="166">
        <v>2414</v>
      </c>
      <c r="F273" s="166">
        <v>539</v>
      </c>
      <c r="G273" s="166">
        <v>161</v>
      </c>
      <c r="H273" s="166">
        <v>210</v>
      </c>
      <c r="M273" s="164"/>
      <c r="N273" s="164"/>
      <c r="O273" s="164"/>
      <c r="P273" s="164"/>
      <c r="Q273" s="164"/>
    </row>
    <row r="274" spans="1:17">
      <c r="A274" s="195">
        <v>39105</v>
      </c>
      <c r="B274" s="193" t="s">
        <v>107</v>
      </c>
      <c r="C274" s="166">
        <v>11596</v>
      </c>
      <c r="D274" s="166">
        <v>7322</v>
      </c>
      <c r="E274" s="166">
        <v>9424</v>
      </c>
      <c r="F274" s="166">
        <v>4944</v>
      </c>
      <c r="G274" s="166">
        <v>1421</v>
      </c>
      <c r="H274" s="166">
        <v>915</v>
      </c>
      <c r="M274" s="164"/>
      <c r="N274" s="164"/>
      <c r="O274" s="164"/>
      <c r="P274" s="164"/>
      <c r="Q274" s="164"/>
    </row>
    <row r="275" spans="1:17">
      <c r="A275" s="195">
        <v>39200</v>
      </c>
      <c r="B275" s="193" t="s">
        <v>461</v>
      </c>
      <c r="C275" s="166">
        <v>687448</v>
      </c>
      <c r="D275" s="166">
        <v>422106</v>
      </c>
      <c r="E275" s="166">
        <v>683496</v>
      </c>
      <c r="F275" s="166">
        <v>226144</v>
      </c>
      <c r="G275" s="166">
        <v>102222</v>
      </c>
      <c r="H275" s="166">
        <v>74023</v>
      </c>
      <c r="M275" s="164"/>
      <c r="N275" s="164"/>
      <c r="O275" s="164"/>
      <c r="P275" s="164"/>
      <c r="Q275" s="164"/>
    </row>
    <row r="276" spans="1:17">
      <c r="A276" s="195">
        <v>39201</v>
      </c>
      <c r="B276" s="193" t="s">
        <v>462</v>
      </c>
      <c r="C276" s="166">
        <v>1754</v>
      </c>
      <c r="D276" s="166">
        <v>689</v>
      </c>
      <c r="E276" s="166">
        <v>2371</v>
      </c>
      <c r="F276" s="166">
        <v>344</v>
      </c>
      <c r="G276" s="166">
        <v>475</v>
      </c>
      <c r="H276" s="166">
        <v>284</v>
      </c>
      <c r="M276" s="164"/>
      <c r="N276" s="164"/>
      <c r="O276" s="164"/>
      <c r="P276" s="164"/>
      <c r="Q276" s="164"/>
    </row>
    <row r="277" spans="1:17">
      <c r="A277" s="195">
        <v>39204</v>
      </c>
      <c r="B277" s="193" t="s">
        <v>463</v>
      </c>
      <c r="C277" s="166">
        <v>1181</v>
      </c>
      <c r="D277" s="166">
        <v>639</v>
      </c>
      <c r="E277" s="166">
        <v>1638</v>
      </c>
      <c r="F277" s="166">
        <v>-325</v>
      </c>
      <c r="G277" s="166">
        <v>385</v>
      </c>
      <c r="H277" s="166">
        <v>723</v>
      </c>
      <c r="M277" s="164"/>
      <c r="N277" s="164"/>
      <c r="O277" s="164"/>
      <c r="P277" s="164"/>
      <c r="Q277" s="164"/>
    </row>
    <row r="278" spans="1:17">
      <c r="A278" s="195">
        <v>39205</v>
      </c>
      <c r="B278" s="193" t="s">
        <v>108</v>
      </c>
      <c r="C278" s="166">
        <v>62683</v>
      </c>
      <c r="D278" s="166">
        <v>36125</v>
      </c>
      <c r="E278" s="166">
        <v>58690</v>
      </c>
      <c r="F278" s="166">
        <v>19189</v>
      </c>
      <c r="G278" s="166">
        <v>9322</v>
      </c>
      <c r="H278" s="166">
        <v>4653</v>
      </c>
      <c r="M278" s="164"/>
      <c r="N278" s="164"/>
      <c r="O278" s="164"/>
      <c r="P278" s="164"/>
      <c r="Q278" s="164"/>
    </row>
    <row r="279" spans="1:17">
      <c r="A279" s="195">
        <v>39208</v>
      </c>
      <c r="B279" s="193" t="s">
        <v>464</v>
      </c>
      <c r="C279" s="166">
        <v>3322</v>
      </c>
      <c r="D279" s="166">
        <v>1809</v>
      </c>
      <c r="E279" s="166">
        <v>3787</v>
      </c>
      <c r="F279" s="166">
        <v>928</v>
      </c>
      <c r="G279" s="166">
        <v>547</v>
      </c>
      <c r="H279" s="166">
        <v>601</v>
      </c>
      <c r="M279" s="164"/>
      <c r="N279" s="164"/>
      <c r="O279" s="164"/>
      <c r="P279" s="164"/>
      <c r="Q279" s="164"/>
    </row>
    <row r="280" spans="1:17">
      <c r="A280" s="195">
        <v>39209</v>
      </c>
      <c r="B280" s="193" t="s">
        <v>465</v>
      </c>
      <c r="C280" s="166">
        <v>1590</v>
      </c>
      <c r="D280" s="166">
        <v>1551</v>
      </c>
      <c r="E280" s="166">
        <v>1551</v>
      </c>
      <c r="F280" s="166">
        <v>1552</v>
      </c>
      <c r="G280" s="166">
        <v>-114</v>
      </c>
      <c r="H280" s="166">
        <v>-244</v>
      </c>
      <c r="M280" s="164"/>
      <c r="N280" s="164"/>
      <c r="O280" s="164"/>
      <c r="P280" s="164"/>
      <c r="Q280" s="164"/>
    </row>
    <row r="281" spans="1:17">
      <c r="A281" s="195">
        <v>39220</v>
      </c>
      <c r="B281" s="193" t="s">
        <v>466</v>
      </c>
      <c r="C281" s="166">
        <v>-166</v>
      </c>
      <c r="D281" s="166">
        <v>-165</v>
      </c>
      <c r="E281" s="166">
        <v>-912</v>
      </c>
      <c r="F281" s="166">
        <v>-906</v>
      </c>
      <c r="G281" s="166">
        <v>-13</v>
      </c>
      <c r="H281" s="166">
        <v>24</v>
      </c>
      <c r="M281" s="164"/>
      <c r="N281" s="164"/>
      <c r="O281" s="164"/>
      <c r="P281" s="164"/>
      <c r="Q281" s="164"/>
    </row>
    <row r="282" spans="1:17">
      <c r="A282" s="195">
        <v>39300</v>
      </c>
      <c r="B282" s="193" t="s">
        <v>467</v>
      </c>
      <c r="C282" s="166">
        <v>10921</v>
      </c>
      <c r="D282" s="166">
        <v>6879</v>
      </c>
      <c r="E282" s="166">
        <v>10288</v>
      </c>
      <c r="F282" s="166">
        <v>5124</v>
      </c>
      <c r="G282" s="166">
        <v>2745</v>
      </c>
      <c r="H282" s="166">
        <v>1286</v>
      </c>
      <c r="M282" s="164"/>
      <c r="N282" s="164"/>
      <c r="O282" s="164"/>
      <c r="P282" s="164"/>
      <c r="Q282" s="164"/>
    </row>
    <row r="283" spans="1:17">
      <c r="A283" s="195">
        <v>39301</v>
      </c>
      <c r="B283" s="193" t="s">
        <v>468</v>
      </c>
      <c r="C283" s="166">
        <v>724</v>
      </c>
      <c r="D283" s="166">
        <v>211</v>
      </c>
      <c r="E283" s="166">
        <v>685</v>
      </c>
      <c r="F283" s="166">
        <v>246</v>
      </c>
      <c r="G283" s="166">
        <v>93</v>
      </c>
      <c r="H283" s="166">
        <v>-7</v>
      </c>
      <c r="M283" s="164"/>
      <c r="N283" s="164"/>
      <c r="O283" s="164"/>
      <c r="P283" s="164"/>
      <c r="Q283" s="164"/>
    </row>
    <row r="284" spans="1:17">
      <c r="A284" s="195">
        <v>39400</v>
      </c>
      <c r="B284" s="193" t="s">
        <v>469</v>
      </c>
      <c r="C284" s="166">
        <v>7907</v>
      </c>
      <c r="D284" s="166">
        <v>5567</v>
      </c>
      <c r="E284" s="166">
        <v>6741</v>
      </c>
      <c r="F284" s="166">
        <v>3786</v>
      </c>
      <c r="G284" s="166">
        <v>1859</v>
      </c>
      <c r="H284" s="166">
        <v>862</v>
      </c>
      <c r="M284" s="164"/>
      <c r="N284" s="164"/>
      <c r="O284" s="164"/>
      <c r="P284" s="164"/>
      <c r="Q284" s="164"/>
    </row>
    <row r="285" spans="1:17">
      <c r="A285" s="195">
        <v>39401</v>
      </c>
      <c r="B285" s="193" t="s">
        <v>470</v>
      </c>
      <c r="C285" s="166">
        <v>1898</v>
      </c>
      <c r="D285" s="166">
        <v>679</v>
      </c>
      <c r="E285" s="166">
        <v>3444</v>
      </c>
      <c r="F285" s="166">
        <v>-256</v>
      </c>
      <c r="G285" s="166">
        <v>-184</v>
      </c>
      <c r="H285" s="166">
        <v>245</v>
      </c>
      <c r="M285" s="164"/>
      <c r="N285" s="164"/>
      <c r="O285" s="164"/>
      <c r="P285" s="164"/>
      <c r="Q285" s="164"/>
    </row>
    <row r="286" spans="1:17">
      <c r="A286" s="195">
        <v>39500</v>
      </c>
      <c r="B286" s="193" t="s">
        <v>471</v>
      </c>
      <c r="C286" s="166">
        <v>21121</v>
      </c>
      <c r="D286" s="166">
        <v>12199</v>
      </c>
      <c r="E286" s="166">
        <v>19438</v>
      </c>
      <c r="F286" s="166">
        <v>4371</v>
      </c>
      <c r="G286" s="166">
        <v>4010</v>
      </c>
      <c r="H286" s="166">
        <v>2866</v>
      </c>
      <c r="M286" s="164"/>
      <c r="N286" s="164"/>
      <c r="O286" s="164"/>
      <c r="P286" s="164"/>
      <c r="Q286" s="164"/>
    </row>
    <row r="287" spans="1:17">
      <c r="A287" s="195">
        <v>39501</v>
      </c>
      <c r="B287" s="193" t="s">
        <v>514</v>
      </c>
      <c r="C287" s="166">
        <v>700</v>
      </c>
      <c r="D287" s="166">
        <v>349</v>
      </c>
      <c r="E287" s="166">
        <v>559</v>
      </c>
      <c r="F287" s="166">
        <v>178</v>
      </c>
      <c r="G287" s="166">
        <v>53</v>
      </c>
      <c r="H287" s="166">
        <v>83</v>
      </c>
      <c r="M287" s="164"/>
      <c r="N287" s="164"/>
      <c r="O287" s="164"/>
      <c r="P287" s="164"/>
      <c r="Q287" s="164"/>
    </row>
    <row r="288" spans="1:17">
      <c r="A288" s="195">
        <v>39600</v>
      </c>
      <c r="B288" s="193" t="s">
        <v>473</v>
      </c>
      <c r="C288" s="166">
        <v>74011</v>
      </c>
      <c r="D288" s="166">
        <v>49139</v>
      </c>
      <c r="E288" s="166">
        <v>69615</v>
      </c>
      <c r="F288" s="166">
        <v>30044</v>
      </c>
      <c r="G288" s="166">
        <v>15367</v>
      </c>
      <c r="H288" s="166">
        <v>11996</v>
      </c>
      <c r="M288" s="164"/>
      <c r="N288" s="164"/>
      <c r="O288" s="164"/>
      <c r="P288" s="164"/>
      <c r="Q288" s="164"/>
    </row>
    <row r="289" spans="1:17">
      <c r="A289" s="195">
        <v>39605</v>
      </c>
      <c r="B289" s="193" t="s">
        <v>109</v>
      </c>
      <c r="C289" s="166">
        <v>10994</v>
      </c>
      <c r="D289" s="166">
        <v>7452</v>
      </c>
      <c r="E289" s="166">
        <v>9683</v>
      </c>
      <c r="F289" s="166">
        <v>3897</v>
      </c>
      <c r="G289" s="166">
        <v>1386</v>
      </c>
      <c r="H289" s="166">
        <v>828</v>
      </c>
      <c r="M289" s="164"/>
      <c r="N289" s="164"/>
      <c r="O289" s="164"/>
      <c r="P289" s="164"/>
      <c r="Q289" s="164"/>
    </row>
    <row r="290" spans="1:17">
      <c r="A290" s="195">
        <v>39700</v>
      </c>
      <c r="B290" s="193" t="s">
        <v>474</v>
      </c>
      <c r="C290" s="166">
        <v>41257</v>
      </c>
      <c r="D290" s="166">
        <v>25704</v>
      </c>
      <c r="E290" s="166">
        <v>36257</v>
      </c>
      <c r="F290" s="166">
        <v>13970</v>
      </c>
      <c r="G290" s="166">
        <v>7117</v>
      </c>
      <c r="H290" s="166">
        <v>4856</v>
      </c>
      <c r="M290" s="164"/>
      <c r="N290" s="164"/>
      <c r="O290" s="164"/>
      <c r="P290" s="164"/>
      <c r="Q290" s="164"/>
    </row>
    <row r="291" spans="1:17">
      <c r="A291" s="195">
        <v>39703</v>
      </c>
      <c r="B291" s="193" t="s">
        <v>475</v>
      </c>
      <c r="C291" s="166">
        <v>1043</v>
      </c>
      <c r="D291" s="166">
        <v>910</v>
      </c>
      <c r="E291" s="166">
        <v>1927</v>
      </c>
      <c r="F291" s="166">
        <v>201</v>
      </c>
      <c r="G291" s="166">
        <v>321</v>
      </c>
      <c r="H291" s="166">
        <v>198</v>
      </c>
      <c r="M291" s="164"/>
      <c r="N291" s="164"/>
      <c r="O291" s="164"/>
      <c r="P291" s="164"/>
      <c r="Q291" s="164"/>
    </row>
    <row r="292" spans="1:17">
      <c r="A292" s="195">
        <v>39705</v>
      </c>
      <c r="B292" s="193" t="s">
        <v>110</v>
      </c>
      <c r="C292" s="166">
        <v>10694</v>
      </c>
      <c r="D292" s="166">
        <v>6567</v>
      </c>
      <c r="E292" s="166">
        <v>9445</v>
      </c>
      <c r="F292" s="166">
        <v>3522</v>
      </c>
      <c r="G292" s="166">
        <v>1956</v>
      </c>
      <c r="H292" s="166">
        <v>1248</v>
      </c>
      <c r="M292" s="164"/>
      <c r="N292" s="164"/>
      <c r="O292" s="164"/>
      <c r="P292" s="164"/>
      <c r="Q292" s="164"/>
    </row>
    <row r="293" spans="1:17">
      <c r="A293" s="195">
        <v>39800</v>
      </c>
      <c r="B293" s="193" t="s">
        <v>476</v>
      </c>
      <c r="C293" s="166">
        <v>48096</v>
      </c>
      <c r="D293" s="166">
        <v>32543</v>
      </c>
      <c r="E293" s="166">
        <v>45168</v>
      </c>
      <c r="F293" s="166">
        <v>20262</v>
      </c>
      <c r="G293" s="166">
        <v>8893</v>
      </c>
      <c r="H293" s="166">
        <v>5729</v>
      </c>
      <c r="M293" s="164"/>
      <c r="N293" s="164"/>
      <c r="O293" s="164"/>
      <c r="P293" s="164"/>
      <c r="Q293" s="164"/>
    </row>
    <row r="294" spans="1:17">
      <c r="A294" s="195">
        <v>39805</v>
      </c>
      <c r="B294" s="193" t="s">
        <v>111</v>
      </c>
      <c r="C294" s="166">
        <v>6156</v>
      </c>
      <c r="D294" s="166">
        <v>3795</v>
      </c>
      <c r="E294" s="166">
        <v>4874</v>
      </c>
      <c r="F294" s="166">
        <v>2023</v>
      </c>
      <c r="G294" s="166">
        <v>1044</v>
      </c>
      <c r="H294" s="166">
        <v>550</v>
      </c>
      <c r="M294" s="164"/>
      <c r="N294" s="164"/>
      <c r="O294" s="164"/>
      <c r="P294" s="164"/>
      <c r="Q294" s="164"/>
    </row>
    <row r="295" spans="1:17">
      <c r="A295" s="195">
        <v>39900</v>
      </c>
      <c r="B295" s="193" t="s">
        <v>477</v>
      </c>
      <c r="C295" s="166">
        <v>25400</v>
      </c>
      <c r="D295" s="166">
        <v>16058</v>
      </c>
      <c r="E295" s="166">
        <v>22366</v>
      </c>
      <c r="F295" s="166">
        <v>8819</v>
      </c>
      <c r="G295" s="166">
        <v>5315</v>
      </c>
      <c r="H295" s="166">
        <v>3315</v>
      </c>
      <c r="M295" s="164"/>
      <c r="N295" s="164"/>
      <c r="O295" s="164"/>
      <c r="P295" s="164"/>
      <c r="Q295" s="164"/>
    </row>
    <row r="296" spans="1:17">
      <c r="A296" s="195">
        <v>51000</v>
      </c>
      <c r="B296" s="193" t="s">
        <v>478</v>
      </c>
      <c r="C296" s="166">
        <v>434112</v>
      </c>
      <c r="D296" s="166">
        <v>281154</v>
      </c>
      <c r="E296" s="166">
        <v>348489</v>
      </c>
      <c r="F296" s="166">
        <v>160496</v>
      </c>
      <c r="G296" s="166">
        <v>50514</v>
      </c>
      <c r="H296" s="166">
        <v>58443</v>
      </c>
      <c r="M296" s="164"/>
      <c r="N296" s="164"/>
      <c r="O296" s="164"/>
      <c r="P296" s="164"/>
      <c r="Q296" s="164"/>
    </row>
    <row r="297" spans="1:17">
      <c r="A297" s="195">
        <v>51000.2</v>
      </c>
      <c r="B297" s="193" t="s">
        <v>479</v>
      </c>
      <c r="C297" s="166">
        <v>666</v>
      </c>
      <c r="D297" s="166">
        <v>574</v>
      </c>
      <c r="E297" s="166">
        <v>494</v>
      </c>
      <c r="F297" s="166">
        <v>272</v>
      </c>
      <c r="G297" s="166">
        <v>-277</v>
      </c>
      <c r="H297" s="166">
        <v>-11</v>
      </c>
      <c r="M297" s="164"/>
      <c r="N297" s="164"/>
      <c r="O297" s="164"/>
      <c r="P297" s="164"/>
      <c r="Q297" s="164"/>
    </row>
    <row r="298" spans="1:17">
      <c r="A298" s="195">
        <v>51000.3</v>
      </c>
      <c r="B298" s="193" t="s">
        <v>480</v>
      </c>
      <c r="C298" s="166">
        <v>10094</v>
      </c>
      <c r="D298" s="166">
        <v>6301</v>
      </c>
      <c r="E298" s="166">
        <v>9842</v>
      </c>
      <c r="F298" s="166">
        <v>3076</v>
      </c>
      <c r="G298" s="166">
        <v>1874</v>
      </c>
      <c r="H298" s="166">
        <v>1268</v>
      </c>
    </row>
    <row r="299" spans="1:17" ht="14.4">
      <c r="A299" s="152"/>
      <c r="B299" s="153"/>
      <c r="C299" s="154"/>
      <c r="D299" s="154"/>
      <c r="E299" s="154"/>
      <c r="F299" s="154"/>
      <c r="G299" s="154"/>
    </row>
    <row r="300" spans="1:17" ht="14.4">
      <c r="C300" s="146">
        <f t="shared" ref="C300:H300" si="0">SUM(C4:C299)</f>
        <v>12958994</v>
      </c>
      <c r="D300" s="146">
        <f t="shared" si="0"/>
        <v>8031006</v>
      </c>
      <c r="E300" s="146">
        <f t="shared" si="0"/>
        <v>12025985</v>
      </c>
      <c r="F300" s="146">
        <f t="shared" si="0"/>
        <v>4280014</v>
      </c>
      <c r="G300" s="146">
        <f t="shared" si="0"/>
        <v>1994040</v>
      </c>
      <c r="H300" s="146">
        <f t="shared" si="0"/>
        <v>1422986</v>
      </c>
    </row>
    <row r="301" spans="1:17">
      <c r="B301" s="193" t="s">
        <v>542</v>
      </c>
      <c r="C301" s="10">
        <v>12958994</v>
      </c>
      <c r="D301" s="10">
        <v>8031006</v>
      </c>
      <c r="E301" s="10">
        <v>12025985</v>
      </c>
      <c r="F301" s="10">
        <v>4280014</v>
      </c>
      <c r="G301" s="10">
        <v>1994040</v>
      </c>
      <c r="H301" s="10">
        <v>1422986</v>
      </c>
    </row>
    <row r="302" spans="1:17">
      <c r="B302" s="193" t="s">
        <v>543</v>
      </c>
      <c r="C302" s="164">
        <f>C300-C301</f>
        <v>0</v>
      </c>
    </row>
  </sheetData>
  <sheetProtection algorithmName="SHA-512" hashValue="qooXyuzb4oEvhUMAaNX5ujmND8tU45CCcyH3ubC+cp7tT4Je1QU17gkbq/v66UzFAl2sh20F1Wlj8xBvVQD/ow==" saltValue="Zx20AiiFoqZswWx8ZR4aPw==" spinCount="100000" sheet="1" objects="1" scenarios="1"/>
  <pageMargins left="0.7" right="0.7" top="0.75" bottom="0.75" header="0.3" footer="0.3"/>
  <pageSetup scale="6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36A28-A1A3-4992-B262-9AD008A6A254}">
  <dimension ref="A1:I84"/>
  <sheetViews>
    <sheetView workbookViewId="0">
      <selection activeCell="K15" sqref="K15"/>
    </sheetView>
  </sheetViews>
  <sheetFormatPr defaultRowHeight="13.2"/>
  <cols>
    <col min="1" max="1" width="12" bestFit="1" customWidth="1"/>
    <col min="2" max="2" width="47.77734375" bestFit="1" customWidth="1"/>
    <col min="3" max="8" width="15.88671875" customWidth="1"/>
  </cols>
  <sheetData>
    <row r="1" spans="1:9">
      <c r="A1" s="7">
        <v>1</v>
      </c>
      <c r="B1" s="7">
        <v>2</v>
      </c>
      <c r="C1" s="7">
        <v>3</v>
      </c>
      <c r="D1" s="7">
        <v>4</v>
      </c>
      <c r="E1" s="7">
        <v>5</v>
      </c>
      <c r="F1" s="7">
        <v>6</v>
      </c>
      <c r="G1" s="7">
        <v>7</v>
      </c>
      <c r="H1" s="7">
        <v>8</v>
      </c>
    </row>
    <row r="2" spans="1:9" ht="26.4">
      <c r="A2" s="131" t="s">
        <v>33</v>
      </c>
      <c r="B2" s="131" t="s">
        <v>34</v>
      </c>
      <c r="C2" s="130" t="s">
        <v>526</v>
      </c>
      <c r="D2" s="130" t="s">
        <v>536</v>
      </c>
      <c r="E2" s="130" t="s">
        <v>527</v>
      </c>
      <c r="F2" s="130" t="s">
        <v>528</v>
      </c>
      <c r="G2" s="130" t="s">
        <v>529</v>
      </c>
      <c r="H2" s="130" t="s">
        <v>530</v>
      </c>
      <c r="I2" s="180"/>
    </row>
    <row r="3" spans="1:9">
      <c r="A3" s="194">
        <v>20100</v>
      </c>
      <c r="B3" s="211" t="s">
        <v>37</v>
      </c>
      <c r="C3" s="212">
        <v>315156</v>
      </c>
      <c r="D3" s="212">
        <v>300346</v>
      </c>
      <c r="E3" s="212">
        <v>14810</v>
      </c>
      <c r="F3" s="212">
        <v>0</v>
      </c>
      <c r="G3" s="212">
        <v>0</v>
      </c>
      <c r="H3" s="213">
        <v>14810</v>
      </c>
    </row>
    <row r="4" spans="1:9">
      <c r="A4" s="192">
        <v>20300</v>
      </c>
      <c r="B4" s="214" t="s">
        <v>39</v>
      </c>
      <c r="C4" s="215">
        <v>667066</v>
      </c>
      <c r="D4" s="215">
        <v>613921</v>
      </c>
      <c r="E4" s="215">
        <v>53145</v>
      </c>
      <c r="F4" s="215">
        <v>0</v>
      </c>
      <c r="G4" s="215">
        <v>0</v>
      </c>
      <c r="H4" s="216">
        <v>53145</v>
      </c>
    </row>
    <row r="5" spans="1:9">
      <c r="A5" s="194">
        <v>20400</v>
      </c>
      <c r="B5" s="211" t="s">
        <v>40</v>
      </c>
      <c r="C5" s="212">
        <v>35665</v>
      </c>
      <c r="D5" s="212">
        <v>32894</v>
      </c>
      <c r="E5" s="212">
        <v>2771</v>
      </c>
      <c r="F5" s="212">
        <v>0</v>
      </c>
      <c r="G5" s="212">
        <v>0</v>
      </c>
      <c r="H5" s="213">
        <v>2771</v>
      </c>
    </row>
    <row r="6" spans="1:9">
      <c r="A6" s="192">
        <v>20600</v>
      </c>
      <c r="B6" s="214" t="s">
        <v>41</v>
      </c>
      <c r="C6" s="215">
        <v>74709</v>
      </c>
      <c r="D6" s="215">
        <v>73394</v>
      </c>
      <c r="E6" s="215">
        <v>1315</v>
      </c>
      <c r="F6" s="215">
        <v>0</v>
      </c>
      <c r="G6" s="215">
        <v>0</v>
      </c>
      <c r="H6" s="216">
        <v>1315</v>
      </c>
    </row>
    <row r="7" spans="1:9">
      <c r="A7" s="194">
        <v>20800</v>
      </c>
      <c r="B7" s="211" t="s">
        <v>43</v>
      </c>
      <c r="C7" s="212">
        <v>125334</v>
      </c>
      <c r="D7" s="212">
        <v>104647</v>
      </c>
      <c r="E7" s="212">
        <v>20687</v>
      </c>
      <c r="F7" s="212">
        <v>0</v>
      </c>
      <c r="G7" s="212">
        <v>0</v>
      </c>
      <c r="H7" s="213">
        <v>20687</v>
      </c>
    </row>
    <row r="8" spans="1:9">
      <c r="A8" s="192">
        <v>10950</v>
      </c>
      <c r="B8" s="214" t="s">
        <v>36</v>
      </c>
      <c r="C8" s="215">
        <v>25577</v>
      </c>
      <c r="D8" s="215">
        <v>27022</v>
      </c>
      <c r="E8" s="215">
        <v>-1445</v>
      </c>
      <c r="F8" s="215">
        <v>0</v>
      </c>
      <c r="G8" s="215">
        <v>0</v>
      </c>
      <c r="H8" s="216">
        <v>-1445</v>
      </c>
    </row>
    <row r="9" spans="1:9">
      <c r="A9" s="194">
        <v>20200</v>
      </c>
      <c r="B9" s="211" t="s">
        <v>38</v>
      </c>
      <c r="C9" s="212">
        <v>45327</v>
      </c>
      <c r="D9" s="212">
        <v>41003</v>
      </c>
      <c r="E9" s="212">
        <v>4324</v>
      </c>
      <c r="F9" s="212">
        <v>0</v>
      </c>
      <c r="G9" s="212">
        <v>0</v>
      </c>
      <c r="H9" s="213">
        <v>4324</v>
      </c>
    </row>
    <row r="10" spans="1:9">
      <c r="A10" s="192">
        <v>21300</v>
      </c>
      <c r="B10" s="214" t="s">
        <v>46</v>
      </c>
      <c r="C10" s="215">
        <v>1096116</v>
      </c>
      <c r="D10" s="215">
        <v>1031656</v>
      </c>
      <c r="E10" s="215">
        <v>64460</v>
      </c>
      <c r="F10" s="215">
        <v>0</v>
      </c>
      <c r="G10" s="215">
        <v>0</v>
      </c>
      <c r="H10" s="216">
        <v>64460</v>
      </c>
    </row>
    <row r="11" spans="1:9">
      <c r="A11" s="194">
        <v>20700</v>
      </c>
      <c r="B11" s="211" t="s">
        <v>42</v>
      </c>
      <c r="C11" s="212">
        <v>175594</v>
      </c>
      <c r="D11" s="212">
        <v>154778</v>
      </c>
      <c r="E11" s="212">
        <v>20816</v>
      </c>
      <c r="F11" s="212">
        <v>0</v>
      </c>
      <c r="G11" s="212">
        <v>0</v>
      </c>
      <c r="H11" s="213">
        <v>20816</v>
      </c>
    </row>
    <row r="12" spans="1:9">
      <c r="A12" s="192">
        <v>21200</v>
      </c>
      <c r="B12" s="214" t="s">
        <v>45</v>
      </c>
      <c r="C12" s="215">
        <v>89791</v>
      </c>
      <c r="D12" s="215">
        <v>83126</v>
      </c>
      <c r="E12" s="215">
        <v>6665</v>
      </c>
      <c r="F12" s="215">
        <v>0</v>
      </c>
      <c r="G12" s="215">
        <v>0</v>
      </c>
      <c r="H12" s="216">
        <v>6665</v>
      </c>
    </row>
    <row r="13" spans="1:9">
      <c r="A13" s="194">
        <v>21550</v>
      </c>
      <c r="B13" s="211" t="s">
        <v>48</v>
      </c>
      <c r="C13" s="212">
        <v>1397371</v>
      </c>
      <c r="D13" s="212">
        <v>1247778</v>
      </c>
      <c r="E13" s="212">
        <v>149593</v>
      </c>
      <c r="F13" s="212">
        <v>0</v>
      </c>
      <c r="G13" s="212">
        <v>0</v>
      </c>
      <c r="H13" s="213">
        <v>149593</v>
      </c>
    </row>
    <row r="14" spans="1:9">
      <c r="A14" s="192">
        <v>21520</v>
      </c>
      <c r="B14" s="214" t="s">
        <v>47</v>
      </c>
      <c r="C14" s="215">
        <v>2164188</v>
      </c>
      <c r="D14" s="215">
        <v>2025860</v>
      </c>
      <c r="E14" s="215">
        <v>138328</v>
      </c>
      <c r="F14" s="215">
        <v>0</v>
      </c>
      <c r="G14" s="215">
        <v>0</v>
      </c>
      <c r="H14" s="216">
        <v>138328</v>
      </c>
    </row>
    <row r="15" spans="1:9">
      <c r="A15" s="194">
        <v>23000</v>
      </c>
      <c r="B15" s="211" t="s">
        <v>51</v>
      </c>
      <c r="C15" s="212">
        <v>66650</v>
      </c>
      <c r="D15" s="212">
        <v>62184</v>
      </c>
      <c r="E15" s="212">
        <v>4466</v>
      </c>
      <c r="F15" s="212">
        <v>0</v>
      </c>
      <c r="G15" s="212">
        <v>0</v>
      </c>
      <c r="H15" s="213">
        <v>4466</v>
      </c>
    </row>
    <row r="16" spans="1:9">
      <c r="A16" s="192">
        <v>23100</v>
      </c>
      <c r="B16" s="214" t="s">
        <v>52</v>
      </c>
      <c r="C16" s="215">
        <v>442150</v>
      </c>
      <c r="D16" s="215">
        <v>414121</v>
      </c>
      <c r="E16" s="215">
        <v>28029</v>
      </c>
      <c r="F16" s="215">
        <v>0</v>
      </c>
      <c r="G16" s="215">
        <v>0</v>
      </c>
      <c r="H16" s="216">
        <v>28029</v>
      </c>
    </row>
    <row r="17" spans="1:8">
      <c r="A17" s="194">
        <v>20900</v>
      </c>
      <c r="B17" s="211" t="s">
        <v>44</v>
      </c>
      <c r="C17" s="212">
        <v>301972</v>
      </c>
      <c r="D17" s="212">
        <v>255058</v>
      </c>
      <c r="E17" s="212">
        <v>46914</v>
      </c>
      <c r="F17" s="212">
        <v>0</v>
      </c>
      <c r="G17" s="212">
        <v>0</v>
      </c>
      <c r="H17" s="213">
        <v>46914</v>
      </c>
    </row>
    <row r="18" spans="1:8">
      <c r="A18" s="192">
        <v>23200</v>
      </c>
      <c r="B18" s="214" t="s">
        <v>53</v>
      </c>
      <c r="C18" s="215">
        <v>265775</v>
      </c>
      <c r="D18" s="215">
        <v>243181</v>
      </c>
      <c r="E18" s="215">
        <v>22594</v>
      </c>
      <c r="F18" s="215">
        <v>0</v>
      </c>
      <c r="G18" s="215">
        <v>0</v>
      </c>
      <c r="H18" s="216">
        <v>22594</v>
      </c>
    </row>
    <row r="19" spans="1:8">
      <c r="A19" s="194">
        <v>21800</v>
      </c>
      <c r="B19" s="211" t="s">
        <v>49</v>
      </c>
      <c r="C19" s="212">
        <v>174044</v>
      </c>
      <c r="D19" s="212">
        <v>156720</v>
      </c>
      <c r="E19" s="212">
        <v>17324</v>
      </c>
      <c r="F19" s="212">
        <v>0</v>
      </c>
      <c r="G19" s="212">
        <v>0</v>
      </c>
      <c r="H19" s="213">
        <v>17324</v>
      </c>
    </row>
    <row r="20" spans="1:8">
      <c r="A20" s="192">
        <v>21900</v>
      </c>
      <c r="B20" s="214" t="s">
        <v>50</v>
      </c>
      <c r="C20" s="215">
        <v>72841</v>
      </c>
      <c r="D20" s="215">
        <v>65737</v>
      </c>
      <c r="E20" s="215">
        <v>7104</v>
      </c>
      <c r="F20" s="215">
        <v>0</v>
      </c>
      <c r="G20" s="215">
        <v>0</v>
      </c>
      <c r="H20" s="216">
        <v>7104</v>
      </c>
    </row>
    <row r="21" spans="1:8">
      <c r="A21" s="194">
        <v>30105</v>
      </c>
      <c r="B21" s="211" t="s">
        <v>54</v>
      </c>
      <c r="C21" s="212">
        <v>21106</v>
      </c>
      <c r="D21" s="212">
        <v>18343</v>
      </c>
      <c r="E21" s="212">
        <v>2763</v>
      </c>
      <c r="F21" s="212">
        <v>0</v>
      </c>
      <c r="G21" s="212">
        <v>0</v>
      </c>
      <c r="H21" s="213">
        <v>2763</v>
      </c>
    </row>
    <row r="22" spans="1:8">
      <c r="A22" s="192">
        <v>31105</v>
      </c>
      <c r="B22" s="214" t="s">
        <v>59</v>
      </c>
      <c r="C22" s="215">
        <v>38503</v>
      </c>
      <c r="D22" s="215">
        <v>34639</v>
      </c>
      <c r="E22" s="215">
        <v>3864</v>
      </c>
      <c r="F22" s="215">
        <v>0</v>
      </c>
      <c r="G22" s="215">
        <v>0</v>
      </c>
      <c r="H22" s="216">
        <v>3864</v>
      </c>
    </row>
    <row r="23" spans="1:8">
      <c r="A23" s="194">
        <v>30705</v>
      </c>
      <c r="B23" s="211" t="s">
        <v>56</v>
      </c>
      <c r="C23" s="212">
        <v>12604</v>
      </c>
      <c r="D23" s="212">
        <v>12037</v>
      </c>
      <c r="E23" s="212">
        <v>567</v>
      </c>
      <c r="F23" s="212">
        <v>0</v>
      </c>
      <c r="G23" s="212">
        <v>0</v>
      </c>
      <c r="H23" s="213">
        <v>567</v>
      </c>
    </row>
    <row r="24" spans="1:8">
      <c r="A24" s="192">
        <v>30905</v>
      </c>
      <c r="B24" s="214" t="s">
        <v>57</v>
      </c>
      <c r="C24" s="215">
        <v>7369</v>
      </c>
      <c r="D24" s="215">
        <v>6968</v>
      </c>
      <c r="E24" s="215">
        <v>401</v>
      </c>
      <c r="F24" s="215">
        <v>0</v>
      </c>
      <c r="G24" s="215">
        <v>0</v>
      </c>
      <c r="H24" s="216">
        <v>401</v>
      </c>
    </row>
    <row r="25" spans="1:8">
      <c r="A25" s="194">
        <v>34505</v>
      </c>
      <c r="B25" s="211" t="s">
        <v>78</v>
      </c>
      <c r="C25" s="212">
        <v>18920</v>
      </c>
      <c r="D25" s="212">
        <v>18104</v>
      </c>
      <c r="E25" s="212">
        <v>816</v>
      </c>
      <c r="F25" s="212">
        <v>0</v>
      </c>
      <c r="G25" s="212">
        <v>0</v>
      </c>
      <c r="H25" s="213">
        <v>816</v>
      </c>
    </row>
    <row r="26" spans="1:8">
      <c r="A26" s="192">
        <v>31005</v>
      </c>
      <c r="B26" s="214" t="s">
        <v>58</v>
      </c>
      <c r="C26" s="215">
        <v>11706</v>
      </c>
      <c r="D26" s="215">
        <v>11021</v>
      </c>
      <c r="E26" s="215">
        <v>685</v>
      </c>
      <c r="F26" s="215">
        <v>0</v>
      </c>
      <c r="G26" s="215">
        <v>0</v>
      </c>
      <c r="H26" s="216">
        <v>685</v>
      </c>
    </row>
    <row r="27" spans="1:8">
      <c r="A27" s="194">
        <v>31405</v>
      </c>
      <c r="B27" s="211" t="s">
        <v>61</v>
      </c>
      <c r="C27" s="212">
        <v>23186</v>
      </c>
      <c r="D27" s="212">
        <v>21886</v>
      </c>
      <c r="E27" s="212">
        <v>1300</v>
      </c>
      <c r="F27" s="212">
        <v>0</v>
      </c>
      <c r="G27" s="212">
        <v>0</v>
      </c>
      <c r="H27" s="213">
        <v>1300</v>
      </c>
    </row>
    <row r="28" spans="1:8">
      <c r="A28" s="192">
        <v>36505</v>
      </c>
      <c r="B28" s="214" t="s">
        <v>92</v>
      </c>
      <c r="C28" s="215">
        <v>52464</v>
      </c>
      <c r="D28" s="215">
        <v>49788</v>
      </c>
      <c r="E28" s="215">
        <v>2676</v>
      </c>
      <c r="F28" s="215">
        <v>0</v>
      </c>
      <c r="G28" s="215">
        <v>0</v>
      </c>
      <c r="H28" s="216">
        <v>2676</v>
      </c>
    </row>
    <row r="29" spans="1:8">
      <c r="A29" s="194">
        <v>31605</v>
      </c>
      <c r="B29" s="211" t="s">
        <v>62</v>
      </c>
      <c r="C29" s="212">
        <v>12747</v>
      </c>
      <c r="D29" s="212">
        <v>11766</v>
      </c>
      <c r="E29" s="212">
        <v>981</v>
      </c>
      <c r="F29" s="212">
        <v>0</v>
      </c>
      <c r="G29" s="212">
        <v>0</v>
      </c>
      <c r="H29" s="213">
        <v>981</v>
      </c>
    </row>
    <row r="30" spans="1:8">
      <c r="A30" s="192">
        <v>31805</v>
      </c>
      <c r="B30" s="214" t="s">
        <v>63</v>
      </c>
      <c r="C30" s="215">
        <v>32193</v>
      </c>
      <c r="D30" s="215">
        <v>29184</v>
      </c>
      <c r="E30" s="215">
        <v>3009</v>
      </c>
      <c r="F30" s="215">
        <v>0</v>
      </c>
      <c r="G30" s="215">
        <v>0</v>
      </c>
      <c r="H30" s="216">
        <v>3009</v>
      </c>
    </row>
    <row r="31" spans="1:8">
      <c r="A31" s="194">
        <v>35305</v>
      </c>
      <c r="B31" s="211" t="s">
        <v>83</v>
      </c>
      <c r="C31" s="212">
        <v>38943</v>
      </c>
      <c r="D31" s="212">
        <v>34591</v>
      </c>
      <c r="E31" s="212">
        <v>4352</v>
      </c>
      <c r="F31" s="212">
        <v>0</v>
      </c>
      <c r="G31" s="212">
        <v>0</v>
      </c>
      <c r="H31" s="213">
        <v>4352</v>
      </c>
    </row>
    <row r="32" spans="1:8">
      <c r="A32" s="192">
        <v>36005</v>
      </c>
      <c r="B32" s="214" t="s">
        <v>87</v>
      </c>
      <c r="C32" s="215">
        <v>108884</v>
      </c>
      <c r="D32" s="215">
        <v>95908</v>
      </c>
      <c r="E32" s="215">
        <v>12976</v>
      </c>
      <c r="F32" s="215">
        <v>0</v>
      </c>
      <c r="G32" s="215">
        <v>0</v>
      </c>
      <c r="H32" s="216">
        <v>12976</v>
      </c>
    </row>
    <row r="33" spans="1:8">
      <c r="A33" s="194">
        <v>32305</v>
      </c>
      <c r="B33" s="211" t="s">
        <v>65</v>
      </c>
      <c r="C33" s="212">
        <v>16055</v>
      </c>
      <c r="D33" s="212">
        <v>15963</v>
      </c>
      <c r="E33" s="212">
        <v>92</v>
      </c>
      <c r="F33" s="212">
        <v>0</v>
      </c>
      <c r="G33" s="212">
        <v>0</v>
      </c>
      <c r="H33" s="213">
        <v>92</v>
      </c>
    </row>
    <row r="34" spans="1:8">
      <c r="A34" s="192">
        <v>36705</v>
      </c>
      <c r="B34" s="214" t="s">
        <v>93</v>
      </c>
      <c r="C34" s="215">
        <v>28808</v>
      </c>
      <c r="D34" s="215">
        <v>21314</v>
      </c>
      <c r="E34" s="215">
        <v>7494</v>
      </c>
      <c r="F34" s="215">
        <v>0</v>
      </c>
      <c r="G34" s="215">
        <v>0</v>
      </c>
      <c r="H34" s="216">
        <v>7494</v>
      </c>
    </row>
    <row r="35" spans="1:8">
      <c r="A35" s="194">
        <v>37005</v>
      </c>
      <c r="B35" s="211" t="s">
        <v>95</v>
      </c>
      <c r="C35" s="212">
        <v>14817</v>
      </c>
      <c r="D35" s="212">
        <v>13910</v>
      </c>
      <c r="E35" s="212">
        <v>907</v>
      </c>
      <c r="F35" s="212">
        <v>0</v>
      </c>
      <c r="G35" s="212">
        <v>0</v>
      </c>
      <c r="H35" s="213">
        <v>907</v>
      </c>
    </row>
    <row r="36" spans="1:8">
      <c r="A36" s="192">
        <v>32505</v>
      </c>
      <c r="B36" s="214" t="s">
        <v>67</v>
      </c>
      <c r="C36" s="215">
        <v>19476</v>
      </c>
      <c r="D36" s="215">
        <v>17737</v>
      </c>
      <c r="E36" s="215">
        <v>1739</v>
      </c>
      <c r="F36" s="215">
        <v>0</v>
      </c>
      <c r="G36" s="215">
        <v>0</v>
      </c>
      <c r="H36" s="216">
        <v>1739</v>
      </c>
    </row>
    <row r="37" spans="1:8">
      <c r="A37" s="194">
        <v>32905</v>
      </c>
      <c r="B37" s="211" t="s">
        <v>69</v>
      </c>
      <c r="C37" s="212">
        <v>22549</v>
      </c>
      <c r="D37" s="212">
        <v>19992</v>
      </c>
      <c r="E37" s="212">
        <v>2557</v>
      </c>
      <c r="F37" s="212">
        <v>0</v>
      </c>
      <c r="G37" s="212">
        <v>0</v>
      </c>
      <c r="H37" s="213">
        <v>2557</v>
      </c>
    </row>
    <row r="38" spans="1:8">
      <c r="A38" s="192">
        <v>33205</v>
      </c>
      <c r="B38" s="214" t="s">
        <v>71</v>
      </c>
      <c r="C38" s="215">
        <v>32562</v>
      </c>
      <c r="D38" s="215">
        <v>30266</v>
      </c>
      <c r="E38" s="215">
        <v>2296</v>
      </c>
      <c r="F38" s="215">
        <v>0</v>
      </c>
      <c r="G38" s="215">
        <v>0</v>
      </c>
      <c r="H38" s="216">
        <v>2296</v>
      </c>
    </row>
    <row r="39" spans="1:8">
      <c r="A39" s="194">
        <v>33305</v>
      </c>
      <c r="B39" s="211" t="s">
        <v>72</v>
      </c>
      <c r="C39" s="212">
        <v>10989</v>
      </c>
      <c r="D39" s="212">
        <v>10700</v>
      </c>
      <c r="E39" s="212">
        <v>289</v>
      </c>
      <c r="F39" s="212">
        <v>0</v>
      </c>
      <c r="G39" s="212">
        <v>0</v>
      </c>
      <c r="H39" s="213">
        <v>289</v>
      </c>
    </row>
    <row r="40" spans="1:8">
      <c r="A40" s="192">
        <v>32605</v>
      </c>
      <c r="B40" s="214" t="s">
        <v>68</v>
      </c>
      <c r="C40" s="215">
        <v>72451</v>
      </c>
      <c r="D40" s="215">
        <v>71205</v>
      </c>
      <c r="E40" s="215">
        <v>1246</v>
      </c>
      <c r="F40" s="215">
        <v>0</v>
      </c>
      <c r="G40" s="215">
        <v>0</v>
      </c>
      <c r="H40" s="216">
        <v>1246</v>
      </c>
    </row>
    <row r="41" spans="1:8">
      <c r="A41" s="194">
        <v>33405</v>
      </c>
      <c r="B41" s="211" t="s">
        <v>73</v>
      </c>
      <c r="C41" s="212">
        <v>48352</v>
      </c>
      <c r="D41" s="212">
        <v>43421</v>
      </c>
      <c r="E41" s="212">
        <v>4931</v>
      </c>
      <c r="F41" s="212">
        <v>0</v>
      </c>
      <c r="G41" s="212">
        <v>0</v>
      </c>
      <c r="H41" s="213">
        <v>4931</v>
      </c>
    </row>
    <row r="42" spans="1:8">
      <c r="A42" s="192">
        <v>33605</v>
      </c>
      <c r="B42" s="214" t="s">
        <v>74</v>
      </c>
      <c r="C42" s="215">
        <v>31667</v>
      </c>
      <c r="D42" s="215">
        <v>29846</v>
      </c>
      <c r="E42" s="215">
        <v>1821</v>
      </c>
      <c r="F42" s="215">
        <v>0</v>
      </c>
      <c r="G42" s="215">
        <v>0</v>
      </c>
      <c r="H42" s="216">
        <v>1821</v>
      </c>
    </row>
    <row r="43" spans="1:8">
      <c r="A43" s="194">
        <v>34105</v>
      </c>
      <c r="B43" s="211" t="s">
        <v>75</v>
      </c>
      <c r="C43" s="212">
        <v>53764</v>
      </c>
      <c r="D43" s="212">
        <v>49104</v>
      </c>
      <c r="E43" s="212">
        <v>4660</v>
      </c>
      <c r="F43" s="212">
        <v>0</v>
      </c>
      <c r="G43" s="212">
        <v>0</v>
      </c>
      <c r="H43" s="213">
        <v>4660</v>
      </c>
    </row>
    <row r="44" spans="1:8">
      <c r="A44" s="192">
        <v>34205</v>
      </c>
      <c r="B44" s="214" t="s">
        <v>76</v>
      </c>
      <c r="C44" s="215">
        <v>9567</v>
      </c>
      <c r="D44" s="215">
        <v>7968</v>
      </c>
      <c r="E44" s="215">
        <v>1599</v>
      </c>
      <c r="F44" s="215">
        <v>0</v>
      </c>
      <c r="G44" s="215">
        <v>0</v>
      </c>
      <c r="H44" s="216">
        <v>1599</v>
      </c>
    </row>
    <row r="45" spans="1:8">
      <c r="A45" s="194">
        <v>34405</v>
      </c>
      <c r="B45" s="211" t="s">
        <v>77</v>
      </c>
      <c r="C45" s="212">
        <v>13315</v>
      </c>
      <c r="D45" s="212">
        <v>11567</v>
      </c>
      <c r="E45" s="212">
        <v>1748</v>
      </c>
      <c r="F45" s="212">
        <v>0</v>
      </c>
      <c r="G45" s="212">
        <v>0</v>
      </c>
      <c r="H45" s="213">
        <v>1748</v>
      </c>
    </row>
    <row r="46" spans="1:8">
      <c r="A46" s="192">
        <v>38105</v>
      </c>
      <c r="B46" s="214" t="s">
        <v>103</v>
      </c>
      <c r="C46" s="215">
        <v>14657</v>
      </c>
      <c r="D46" s="215">
        <v>13564</v>
      </c>
      <c r="E46" s="215">
        <v>1093</v>
      </c>
      <c r="F46" s="215">
        <v>0</v>
      </c>
      <c r="G46" s="215">
        <v>0</v>
      </c>
      <c r="H46" s="216">
        <v>1093</v>
      </c>
    </row>
    <row r="47" spans="1:8">
      <c r="A47" s="194">
        <v>33105</v>
      </c>
      <c r="B47" s="211" t="s">
        <v>70</v>
      </c>
      <c r="C47" s="212">
        <v>10516</v>
      </c>
      <c r="D47" s="212">
        <v>10043</v>
      </c>
      <c r="E47" s="212">
        <v>473</v>
      </c>
      <c r="F47" s="212">
        <v>0</v>
      </c>
      <c r="G47" s="212">
        <v>0</v>
      </c>
      <c r="H47" s="213">
        <v>473</v>
      </c>
    </row>
    <row r="48" spans="1:8">
      <c r="A48" s="192">
        <v>35105</v>
      </c>
      <c r="B48" s="214" t="s">
        <v>82</v>
      </c>
      <c r="C48" s="215">
        <v>28698</v>
      </c>
      <c r="D48" s="215">
        <v>24955</v>
      </c>
      <c r="E48" s="215">
        <v>3743</v>
      </c>
      <c r="F48" s="215">
        <v>0</v>
      </c>
      <c r="G48" s="215">
        <v>0</v>
      </c>
      <c r="H48" s="216">
        <v>3743</v>
      </c>
    </row>
    <row r="49" spans="1:8">
      <c r="A49" s="194">
        <v>35405</v>
      </c>
      <c r="B49" s="211" t="s">
        <v>84</v>
      </c>
      <c r="C49" s="212">
        <v>22582</v>
      </c>
      <c r="D49" s="212">
        <v>19601</v>
      </c>
      <c r="E49" s="212">
        <v>2981</v>
      </c>
      <c r="F49" s="212">
        <v>0</v>
      </c>
      <c r="G49" s="212">
        <v>0</v>
      </c>
      <c r="H49" s="213">
        <v>2981</v>
      </c>
    </row>
    <row r="50" spans="1:8">
      <c r="A50" s="192">
        <v>35805</v>
      </c>
      <c r="B50" s="214" t="s">
        <v>85</v>
      </c>
      <c r="C50" s="215">
        <v>6018</v>
      </c>
      <c r="D50" s="215">
        <v>5027</v>
      </c>
      <c r="E50" s="215">
        <v>991</v>
      </c>
      <c r="F50" s="215">
        <v>0</v>
      </c>
      <c r="G50" s="215">
        <v>0</v>
      </c>
      <c r="H50" s="216">
        <v>991</v>
      </c>
    </row>
    <row r="51" spans="1:8">
      <c r="A51" s="194">
        <v>36105</v>
      </c>
      <c r="B51" s="211" t="s">
        <v>88</v>
      </c>
      <c r="C51" s="212">
        <v>8106</v>
      </c>
      <c r="D51" s="212">
        <v>7394</v>
      </c>
      <c r="E51" s="212">
        <v>712</v>
      </c>
      <c r="F51" s="212">
        <v>0</v>
      </c>
      <c r="G51" s="212">
        <v>0</v>
      </c>
      <c r="H51" s="213">
        <v>712</v>
      </c>
    </row>
    <row r="52" spans="1:8">
      <c r="A52" s="192">
        <v>35905</v>
      </c>
      <c r="B52" s="214" t="s">
        <v>86</v>
      </c>
      <c r="C52" s="215">
        <v>7247</v>
      </c>
      <c r="D52" s="215">
        <v>7761</v>
      </c>
      <c r="E52" s="215">
        <v>-514</v>
      </c>
      <c r="F52" s="215">
        <v>0</v>
      </c>
      <c r="G52" s="215">
        <v>0</v>
      </c>
      <c r="H52" s="216">
        <v>-514</v>
      </c>
    </row>
    <row r="53" spans="1:8">
      <c r="A53" s="194">
        <v>34905</v>
      </c>
      <c r="B53" s="211" t="s">
        <v>80</v>
      </c>
      <c r="C53" s="212">
        <v>16248</v>
      </c>
      <c r="D53" s="212">
        <v>14920</v>
      </c>
      <c r="E53" s="212">
        <v>1328</v>
      </c>
      <c r="F53" s="212">
        <v>0</v>
      </c>
      <c r="G53" s="212">
        <v>0</v>
      </c>
      <c r="H53" s="213">
        <v>1328</v>
      </c>
    </row>
    <row r="54" spans="1:8">
      <c r="A54" s="192">
        <v>36205</v>
      </c>
      <c r="B54" s="214" t="s">
        <v>89</v>
      </c>
      <c r="C54" s="215">
        <v>7773</v>
      </c>
      <c r="D54" s="215">
        <v>6681</v>
      </c>
      <c r="E54" s="215">
        <v>1092</v>
      </c>
      <c r="F54" s="215">
        <v>0</v>
      </c>
      <c r="G54" s="215">
        <v>0</v>
      </c>
      <c r="H54" s="216">
        <v>1092</v>
      </c>
    </row>
    <row r="55" spans="1:8">
      <c r="A55" s="194">
        <v>36405</v>
      </c>
      <c r="B55" s="211" t="s">
        <v>91</v>
      </c>
      <c r="C55" s="212">
        <v>19782</v>
      </c>
      <c r="D55" s="212">
        <v>16638</v>
      </c>
      <c r="E55" s="212">
        <v>3144</v>
      </c>
      <c r="F55" s="212">
        <v>0</v>
      </c>
      <c r="G55" s="212">
        <v>0</v>
      </c>
      <c r="H55" s="213">
        <v>3144</v>
      </c>
    </row>
    <row r="56" spans="1:8">
      <c r="A56" s="192">
        <v>36905</v>
      </c>
      <c r="B56" s="214" t="s">
        <v>94</v>
      </c>
      <c r="C56" s="215">
        <v>5349</v>
      </c>
      <c r="D56" s="215">
        <v>4535</v>
      </c>
      <c r="E56" s="215">
        <v>814</v>
      </c>
      <c r="F56" s="215">
        <v>0</v>
      </c>
      <c r="G56" s="215">
        <v>0</v>
      </c>
      <c r="H56" s="216">
        <v>814</v>
      </c>
    </row>
    <row r="57" spans="1:8">
      <c r="A57" s="194">
        <v>37305</v>
      </c>
      <c r="B57" s="211" t="s">
        <v>96</v>
      </c>
      <c r="C57" s="212">
        <v>11349</v>
      </c>
      <c r="D57" s="212">
        <v>10383</v>
      </c>
      <c r="E57" s="212">
        <v>966</v>
      </c>
      <c r="F57" s="212">
        <v>0</v>
      </c>
      <c r="G57" s="212">
        <v>0</v>
      </c>
      <c r="H57" s="213">
        <v>966</v>
      </c>
    </row>
    <row r="58" spans="1:8">
      <c r="A58" s="192">
        <v>37405</v>
      </c>
      <c r="B58" s="214" t="s">
        <v>97</v>
      </c>
      <c r="C58" s="215">
        <v>45395</v>
      </c>
      <c r="D58" s="215">
        <v>39748</v>
      </c>
      <c r="E58" s="215">
        <v>5647</v>
      </c>
      <c r="F58" s="215">
        <v>0</v>
      </c>
      <c r="G58" s="215">
        <v>0</v>
      </c>
      <c r="H58" s="216">
        <v>5647</v>
      </c>
    </row>
    <row r="59" spans="1:8">
      <c r="A59" s="194">
        <v>37605</v>
      </c>
      <c r="B59" s="211" t="s">
        <v>98</v>
      </c>
      <c r="C59" s="212">
        <v>17751</v>
      </c>
      <c r="D59" s="212">
        <v>15527</v>
      </c>
      <c r="E59" s="212">
        <v>2224</v>
      </c>
      <c r="F59" s="212">
        <v>0</v>
      </c>
      <c r="G59" s="212">
        <v>0</v>
      </c>
      <c r="H59" s="213">
        <v>2224</v>
      </c>
    </row>
    <row r="60" spans="1:8">
      <c r="A60" s="192">
        <v>37705</v>
      </c>
      <c r="B60" s="214" t="s">
        <v>99</v>
      </c>
      <c r="C60" s="215">
        <v>17959</v>
      </c>
      <c r="D60" s="215">
        <v>16947</v>
      </c>
      <c r="E60" s="215">
        <v>1012</v>
      </c>
      <c r="F60" s="215">
        <v>0</v>
      </c>
      <c r="G60" s="215">
        <v>0</v>
      </c>
      <c r="H60" s="216">
        <v>1012</v>
      </c>
    </row>
    <row r="61" spans="1:8">
      <c r="A61" s="194">
        <v>34605</v>
      </c>
      <c r="B61" s="211" t="s">
        <v>79</v>
      </c>
      <c r="C61" s="212">
        <v>4641</v>
      </c>
      <c r="D61" s="212">
        <v>4465</v>
      </c>
      <c r="E61" s="212">
        <v>176</v>
      </c>
      <c r="F61" s="212">
        <v>0</v>
      </c>
      <c r="G61" s="212">
        <v>0</v>
      </c>
      <c r="H61" s="213">
        <v>176</v>
      </c>
    </row>
    <row r="62" spans="1:8">
      <c r="A62" s="192">
        <v>37805</v>
      </c>
      <c r="B62" s="214" t="s">
        <v>100</v>
      </c>
      <c r="C62" s="215">
        <v>15966</v>
      </c>
      <c r="D62" s="215">
        <v>14372</v>
      </c>
      <c r="E62" s="215">
        <v>1594</v>
      </c>
      <c r="F62" s="215">
        <v>0</v>
      </c>
      <c r="G62" s="215">
        <v>0</v>
      </c>
      <c r="H62" s="216">
        <v>1594</v>
      </c>
    </row>
    <row r="63" spans="1:8">
      <c r="A63" s="194">
        <v>37905</v>
      </c>
      <c r="B63" s="211" t="s">
        <v>101</v>
      </c>
      <c r="C63" s="212">
        <v>11614</v>
      </c>
      <c r="D63" s="212">
        <v>10067</v>
      </c>
      <c r="E63" s="212">
        <v>1547</v>
      </c>
      <c r="F63" s="212">
        <v>0</v>
      </c>
      <c r="G63" s="212">
        <v>0</v>
      </c>
      <c r="H63" s="213">
        <v>1547</v>
      </c>
    </row>
    <row r="64" spans="1:8">
      <c r="A64" s="192">
        <v>38005</v>
      </c>
      <c r="B64" s="214" t="s">
        <v>102</v>
      </c>
      <c r="C64" s="215">
        <v>37161</v>
      </c>
      <c r="D64" s="215">
        <v>33136</v>
      </c>
      <c r="E64" s="215">
        <v>4025</v>
      </c>
      <c r="F64" s="215">
        <v>0</v>
      </c>
      <c r="G64" s="215">
        <v>0</v>
      </c>
      <c r="H64" s="216">
        <v>4025</v>
      </c>
    </row>
    <row r="65" spans="1:8">
      <c r="A65" s="194">
        <v>38205</v>
      </c>
      <c r="B65" s="211" t="s">
        <v>104</v>
      </c>
      <c r="C65" s="212">
        <v>11039</v>
      </c>
      <c r="D65" s="212">
        <v>10593</v>
      </c>
      <c r="E65" s="212">
        <v>446</v>
      </c>
      <c r="F65" s="212">
        <v>0</v>
      </c>
      <c r="G65" s="212">
        <v>0</v>
      </c>
      <c r="H65" s="213">
        <v>446</v>
      </c>
    </row>
    <row r="66" spans="1:8">
      <c r="A66" s="192">
        <v>36305</v>
      </c>
      <c r="B66" s="214" t="s">
        <v>90</v>
      </c>
      <c r="C66" s="215">
        <v>25116</v>
      </c>
      <c r="D66" s="215">
        <v>23825</v>
      </c>
      <c r="E66" s="215">
        <v>1291</v>
      </c>
      <c r="F66" s="215">
        <v>0</v>
      </c>
      <c r="G66" s="215">
        <v>0</v>
      </c>
      <c r="H66" s="216">
        <v>1291</v>
      </c>
    </row>
    <row r="67" spans="1:8">
      <c r="A67" s="194">
        <v>30405</v>
      </c>
      <c r="B67" s="211" t="s">
        <v>55</v>
      </c>
      <c r="C67" s="212">
        <v>19232</v>
      </c>
      <c r="D67" s="212">
        <v>16729</v>
      </c>
      <c r="E67" s="212">
        <v>2503</v>
      </c>
      <c r="F67" s="212">
        <v>0</v>
      </c>
      <c r="G67" s="212">
        <v>0</v>
      </c>
      <c r="H67" s="213">
        <v>2503</v>
      </c>
    </row>
    <row r="68" spans="1:8">
      <c r="A68" s="192">
        <v>32405</v>
      </c>
      <c r="B68" s="214" t="s">
        <v>66</v>
      </c>
      <c r="C68" s="215">
        <v>12818</v>
      </c>
      <c r="D68" s="215">
        <v>11455</v>
      </c>
      <c r="E68" s="215">
        <v>1363</v>
      </c>
      <c r="F68" s="215">
        <v>0</v>
      </c>
      <c r="G68" s="215">
        <v>0</v>
      </c>
      <c r="H68" s="216">
        <v>1363</v>
      </c>
    </row>
    <row r="69" spans="1:8">
      <c r="A69" s="194">
        <v>35005</v>
      </c>
      <c r="B69" s="211" t="s">
        <v>81</v>
      </c>
      <c r="C69" s="212">
        <v>16028</v>
      </c>
      <c r="D69" s="212">
        <v>13484</v>
      </c>
      <c r="E69" s="212">
        <v>2544</v>
      </c>
      <c r="F69" s="212">
        <v>0</v>
      </c>
      <c r="G69" s="212">
        <v>0</v>
      </c>
      <c r="H69" s="213">
        <v>2544</v>
      </c>
    </row>
    <row r="70" spans="1:8">
      <c r="A70" s="192">
        <v>38405</v>
      </c>
      <c r="B70" s="214" t="s">
        <v>105</v>
      </c>
      <c r="C70" s="215">
        <v>18250</v>
      </c>
      <c r="D70" s="215">
        <v>16455</v>
      </c>
      <c r="E70" s="215">
        <v>1795</v>
      </c>
      <c r="F70" s="215">
        <v>0</v>
      </c>
      <c r="G70" s="215">
        <v>0</v>
      </c>
      <c r="H70" s="216">
        <v>1795</v>
      </c>
    </row>
    <row r="71" spans="1:8">
      <c r="A71" s="194">
        <v>38605</v>
      </c>
      <c r="B71" s="211" t="s">
        <v>106</v>
      </c>
      <c r="C71" s="212">
        <v>19741</v>
      </c>
      <c r="D71" s="212">
        <v>16577</v>
      </c>
      <c r="E71" s="212">
        <v>3164</v>
      </c>
      <c r="F71" s="212">
        <v>0</v>
      </c>
      <c r="G71" s="212">
        <v>0</v>
      </c>
      <c r="H71" s="213">
        <v>3164</v>
      </c>
    </row>
    <row r="72" spans="1:8">
      <c r="A72" s="192">
        <v>32005</v>
      </c>
      <c r="B72" s="214" t="s">
        <v>64</v>
      </c>
      <c r="C72" s="215">
        <v>9400</v>
      </c>
      <c r="D72" s="215">
        <v>8468</v>
      </c>
      <c r="E72" s="215">
        <v>932</v>
      </c>
      <c r="F72" s="215">
        <v>0</v>
      </c>
      <c r="G72" s="215">
        <v>0</v>
      </c>
      <c r="H72" s="216">
        <v>932</v>
      </c>
    </row>
    <row r="73" spans="1:8">
      <c r="A73" s="194">
        <v>39105</v>
      </c>
      <c r="B73" s="211" t="s">
        <v>107</v>
      </c>
      <c r="C73" s="212">
        <v>16748</v>
      </c>
      <c r="D73" s="212">
        <v>15372</v>
      </c>
      <c r="E73" s="212">
        <v>1376</v>
      </c>
      <c r="F73" s="212">
        <v>0</v>
      </c>
      <c r="G73" s="212">
        <v>0</v>
      </c>
      <c r="H73" s="213">
        <v>1376</v>
      </c>
    </row>
    <row r="74" spans="1:8">
      <c r="A74" s="192">
        <v>39205</v>
      </c>
      <c r="B74" s="214" t="s">
        <v>108</v>
      </c>
      <c r="C74" s="215">
        <v>145060</v>
      </c>
      <c r="D74" s="215">
        <v>135632</v>
      </c>
      <c r="E74" s="215">
        <v>9428</v>
      </c>
      <c r="F74" s="215">
        <v>0</v>
      </c>
      <c r="G74" s="215">
        <v>0</v>
      </c>
      <c r="H74" s="216">
        <v>9428</v>
      </c>
    </row>
    <row r="75" spans="1:8">
      <c r="A75" s="194">
        <v>39605</v>
      </c>
      <c r="B75" s="211" t="s">
        <v>109</v>
      </c>
      <c r="C75" s="212">
        <v>23953</v>
      </c>
      <c r="D75" s="212">
        <v>19865</v>
      </c>
      <c r="E75" s="212">
        <v>4088</v>
      </c>
      <c r="F75" s="212">
        <v>0</v>
      </c>
      <c r="G75" s="212">
        <v>0</v>
      </c>
      <c r="H75" s="213">
        <v>4088</v>
      </c>
    </row>
    <row r="76" spans="1:8">
      <c r="A76" s="192">
        <v>31205</v>
      </c>
      <c r="B76" s="214" t="s">
        <v>60</v>
      </c>
      <c r="C76" s="215">
        <v>12009</v>
      </c>
      <c r="D76" s="215">
        <v>10423</v>
      </c>
      <c r="E76" s="215">
        <v>1586</v>
      </c>
      <c r="F76" s="215">
        <v>0</v>
      </c>
      <c r="G76" s="215">
        <v>0</v>
      </c>
      <c r="H76" s="216">
        <v>1586</v>
      </c>
    </row>
    <row r="77" spans="1:8">
      <c r="A77" s="194">
        <v>39705</v>
      </c>
      <c r="B77" s="211" t="s">
        <v>110</v>
      </c>
      <c r="C77" s="212">
        <v>22930</v>
      </c>
      <c r="D77" s="212">
        <v>20349</v>
      </c>
      <c r="E77" s="212">
        <v>2581</v>
      </c>
      <c r="F77" s="212">
        <v>0</v>
      </c>
      <c r="G77" s="212">
        <v>0</v>
      </c>
      <c r="H77" s="213">
        <v>2581</v>
      </c>
    </row>
    <row r="78" spans="1:8">
      <c r="A78" s="192">
        <v>39805</v>
      </c>
      <c r="B78" s="214" t="s">
        <v>111</v>
      </c>
      <c r="C78" s="215">
        <v>11414</v>
      </c>
      <c r="D78" s="215">
        <v>9771</v>
      </c>
      <c r="E78" s="215">
        <v>1643</v>
      </c>
      <c r="F78" s="215">
        <v>0</v>
      </c>
      <c r="G78" s="215">
        <v>0</v>
      </c>
      <c r="H78" s="216">
        <v>1643</v>
      </c>
    </row>
    <row r="79" spans="1:8">
      <c r="A79" s="194">
        <v>11310</v>
      </c>
      <c r="B79" s="211" t="s">
        <v>112</v>
      </c>
      <c r="C79" s="212">
        <v>14636</v>
      </c>
      <c r="D79" s="212">
        <v>13133</v>
      </c>
      <c r="E79" s="212">
        <v>1503</v>
      </c>
      <c r="F79" s="212">
        <v>0</v>
      </c>
      <c r="G79" s="212">
        <v>0</v>
      </c>
      <c r="H79" s="213">
        <v>1503</v>
      </c>
    </row>
    <row r="80" spans="1:8">
      <c r="A80" s="192">
        <v>14300.2</v>
      </c>
      <c r="B80" s="214" t="s">
        <v>163</v>
      </c>
      <c r="C80" s="215">
        <v>5640</v>
      </c>
      <c r="D80" s="215">
        <v>4729</v>
      </c>
      <c r="E80" s="215">
        <v>911</v>
      </c>
      <c r="F80" s="215">
        <v>0</v>
      </c>
      <c r="G80" s="215">
        <v>0</v>
      </c>
      <c r="H80" s="216">
        <v>911</v>
      </c>
    </row>
    <row r="81" spans="1:8">
      <c r="A81" s="194">
        <v>21525</v>
      </c>
      <c r="B81" s="211" t="s">
        <v>246</v>
      </c>
      <c r="C81" s="212">
        <v>56358</v>
      </c>
      <c r="D81" s="212">
        <v>47833</v>
      </c>
      <c r="E81" s="212">
        <v>8525</v>
      </c>
      <c r="F81" s="212">
        <v>0</v>
      </c>
      <c r="G81" s="212">
        <v>0</v>
      </c>
      <c r="H81" s="213">
        <v>8525</v>
      </c>
    </row>
    <row r="82" spans="1:8">
      <c r="A82" s="192">
        <v>21525.200000000001</v>
      </c>
      <c r="B82" s="214" t="s">
        <v>157</v>
      </c>
      <c r="C82" s="215">
        <v>3945</v>
      </c>
      <c r="D82" s="215">
        <v>3793</v>
      </c>
      <c r="E82" s="215">
        <v>152</v>
      </c>
      <c r="F82" s="215">
        <v>0</v>
      </c>
      <c r="G82" s="215">
        <v>0</v>
      </c>
      <c r="H82" s="216">
        <v>152</v>
      </c>
    </row>
    <row r="83" spans="1:8">
      <c r="A83" s="194">
        <v>51000.2</v>
      </c>
      <c r="B83" s="211" t="s">
        <v>165</v>
      </c>
      <c r="C83" s="212">
        <v>1059</v>
      </c>
      <c r="D83" s="212">
        <v>755</v>
      </c>
      <c r="E83" s="212">
        <v>304</v>
      </c>
      <c r="F83" s="212">
        <v>0</v>
      </c>
      <c r="G83" s="212">
        <v>0</v>
      </c>
      <c r="H83" s="213">
        <v>304</v>
      </c>
    </row>
    <row r="84" spans="1:8">
      <c r="A84" s="192">
        <v>51000.3</v>
      </c>
      <c r="B84" s="214" t="s">
        <v>164</v>
      </c>
      <c r="C84" s="215">
        <v>24596</v>
      </c>
      <c r="D84" s="215">
        <v>23202</v>
      </c>
      <c r="E84" s="215">
        <v>1394</v>
      </c>
      <c r="F84" s="215">
        <v>0</v>
      </c>
      <c r="G84" s="215">
        <v>0</v>
      </c>
      <c r="H84" s="216">
        <v>1394</v>
      </c>
    </row>
  </sheetData>
  <sheetProtection algorithmName="SHA-512" hashValue="orZ6JLIUTa25h95U1I7UoWOn2dMiL/WkGdxK5TFj5PYXccizOjH/0SDF9Ewm2MkQeIS7jKlpxQawSATZdH3wuA==" saltValue="w2vmCLbxMc44gWgcwNWc6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Permissions xmlns="97e6a39a-fd89-4aa6-b0ff-8075d0b976bb" xsi:nil="true"/>
    <MigrationWizIdVersion xmlns="97e6a39a-fd89-4aa6-b0ff-8075d0b976bb" xsi:nil="true"/>
    <_activity xmlns="97e6a39a-fd89-4aa6-b0ff-8075d0b976bb" xsi:nil="true"/>
    <MigrationWizId xmlns="97e6a39a-fd89-4aa6-b0ff-8075d0b976b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536055BC753F0429587713712DB1C0B" ma:contentTypeVersion="17" ma:contentTypeDescription="Create a new document." ma:contentTypeScope="" ma:versionID="1b8ec6c9b5e83b571646c1f0591bbf59">
  <xsd:schema xmlns:xsd="http://www.w3.org/2001/XMLSchema" xmlns:xs="http://www.w3.org/2001/XMLSchema" xmlns:p="http://schemas.microsoft.com/office/2006/metadata/properties" xmlns:ns3="97e6a39a-fd89-4aa6-b0ff-8075d0b976bb" xmlns:ns4="0b4a3b16-6ae0-4b7b-80fe-33859790a57c" targetNamespace="http://schemas.microsoft.com/office/2006/metadata/properties" ma:root="true" ma:fieldsID="60cae2d7a37b2b1632642c791ef6499b" ns3:_="" ns4:_="">
    <xsd:import namespace="97e6a39a-fd89-4aa6-b0ff-8075d0b976bb"/>
    <xsd:import namespace="0b4a3b16-6ae0-4b7b-80fe-33859790a57c"/>
    <xsd:element name="properties">
      <xsd:complexType>
        <xsd:sequence>
          <xsd:element name="documentManagement">
            <xsd:complexType>
              <xsd:all>
                <xsd:element ref="ns3:MigrationWizId" minOccurs="0"/>
                <xsd:element ref="ns3:MigrationWizIdPermissions" minOccurs="0"/>
                <xsd:element ref="ns3:MigrationWizIdVersion" minOccurs="0"/>
                <xsd:element ref="ns3:_activity"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element ref="ns3:MediaLengthInSeconds" minOccurs="0"/>
                <xsd:element ref="ns4:SharedWithUsers" minOccurs="0"/>
                <xsd:element ref="ns4:SharedWithDetails" minOccurs="0"/>
                <xsd:element ref="ns4:SharingHintHash"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6a39a-fd89-4aa6-b0ff-8075d0b976bb"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_activity" ma:index="11" nillable="true" ma:displayName="_activity" ma:hidden="true" ma:internalName="_activity" ma:readOnly="false">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b4a3b16-6ae0-4b7b-80fe-33859790a57c"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SharingHintHash" ma:index="2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650DA9-116D-4D49-ABF6-7E1BD290A1D1}">
  <ds:schemaRefs>
    <ds:schemaRef ds:uri="http://purl.org/dc/terms/"/>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dcmitype/"/>
    <ds:schemaRef ds:uri="http://purl.org/dc/elements/1.1/"/>
    <ds:schemaRef ds:uri="http://schemas.openxmlformats.org/package/2006/metadata/core-properties"/>
    <ds:schemaRef ds:uri="0b4a3b16-6ae0-4b7b-80fe-33859790a57c"/>
    <ds:schemaRef ds:uri="97e6a39a-fd89-4aa6-b0ff-8075d0b976bb"/>
  </ds:schemaRefs>
</ds:datastoreItem>
</file>

<file path=customXml/itemProps2.xml><?xml version="1.0" encoding="utf-8"?>
<ds:datastoreItem xmlns:ds="http://schemas.openxmlformats.org/officeDocument/2006/customXml" ds:itemID="{1D731D31-A627-4EC4-A059-3CC349BA0D7D}">
  <ds:schemaRefs>
    <ds:schemaRef ds:uri="http://schemas.microsoft.com/sharepoint/v3/contenttype/forms"/>
  </ds:schemaRefs>
</ds:datastoreItem>
</file>

<file path=customXml/itemProps3.xml><?xml version="1.0" encoding="utf-8"?>
<ds:datastoreItem xmlns:ds="http://schemas.openxmlformats.org/officeDocument/2006/customXml" ds:itemID="{51DB24E1-7FBC-4F53-9BF4-3273C43F7F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6a39a-fd89-4aa6-b0ff-8075d0b976bb"/>
    <ds:schemaRef ds:uri="0b4a3b16-6ae0-4b7b-80fe-33859790a5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Info</vt:lpstr>
      <vt:lpstr>Detail</vt:lpstr>
      <vt:lpstr>Summary</vt:lpstr>
      <vt:lpstr>Disclosures</vt:lpstr>
      <vt:lpstr>Data</vt:lpstr>
      <vt:lpstr>ER Contributions</vt:lpstr>
      <vt:lpstr>75 - Summary Exhibit</vt:lpstr>
      <vt:lpstr>75- Deferred Amortization</vt:lpstr>
      <vt:lpstr>NOPEB asset change</vt:lpstr>
      <vt:lpstr>'75 - Summary Exhibit'!Print_Area</vt:lpstr>
      <vt:lpstr>'75- Deferred Amortization'!Print_Area</vt:lpstr>
      <vt:lpstr>Data!Print_Area</vt:lpstr>
      <vt:lpstr>Detail!Print_Area</vt:lpstr>
      <vt:lpstr>Disclosures!Print_Area</vt:lpstr>
      <vt:lpstr>'ER Contributions'!Print_Area</vt:lpstr>
      <vt:lpstr>Summary!Print_Area</vt:lpstr>
      <vt:lpstr>'75- Deferred Amortization'!Print_Titles</vt:lpstr>
      <vt:lpstr>Data!Print_Titles</vt:lpstr>
      <vt:lpstr>Disclosures!Print_Titles</vt:lpstr>
    </vt:vector>
  </TitlesOfParts>
  <Company>State of North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Clayton Murphy</dc:creator>
  <cp:lastModifiedBy>Elizabeth John</cp:lastModifiedBy>
  <cp:lastPrinted>2023-05-03T17:41:48Z</cp:lastPrinted>
  <dcterms:created xsi:type="dcterms:W3CDTF">2007-09-03T15:01:56Z</dcterms:created>
  <dcterms:modified xsi:type="dcterms:W3CDTF">2024-08-20T12:23:28Z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0x0101003536055BC753F0429587713712DB1C0B</vt:lpwstr>
  </property>
  <property fmtid="{D5CDD505-2E9C-101B-9397-08002B2CF9AE}" pid="5" name="Order">
    <vt:r8>15515400</vt:r8>
  </property>
  <property fmtid="{D5CDD505-2E9C-101B-9397-08002B2CF9AE}" pid="6" name="MSIP_Label_defa4170-0d19-0005-0004-bc88714345d2_Enabled">
    <vt:lpwstr>true</vt:lpwstr>
  </property>
  <property fmtid="{D5CDD505-2E9C-101B-9397-08002B2CF9AE}" pid="7" name="MSIP_Label_defa4170-0d19-0005-0004-bc88714345d2_SetDate">
    <vt:lpwstr>2024-04-30T15:31:21Z</vt:lpwstr>
  </property>
  <property fmtid="{D5CDD505-2E9C-101B-9397-08002B2CF9AE}" pid="8" name="MSIP_Label_defa4170-0d19-0005-0004-bc88714345d2_Method">
    <vt:lpwstr>Standard</vt:lpwstr>
  </property>
  <property fmtid="{D5CDD505-2E9C-101B-9397-08002B2CF9AE}" pid="9" name="MSIP_Label_defa4170-0d19-0005-0004-bc88714345d2_Name">
    <vt:lpwstr>defa4170-0d19-0005-0004-bc88714345d2</vt:lpwstr>
  </property>
  <property fmtid="{D5CDD505-2E9C-101B-9397-08002B2CF9AE}" pid="10" name="MSIP_Label_defa4170-0d19-0005-0004-bc88714345d2_SiteId">
    <vt:lpwstr>a1f43f48-54fe-433f-9378-968b45bc6665</vt:lpwstr>
  </property>
  <property fmtid="{D5CDD505-2E9C-101B-9397-08002B2CF9AE}" pid="11" name="MSIP_Label_defa4170-0d19-0005-0004-bc88714345d2_ActionId">
    <vt:lpwstr>f458e089-0283-4d87-8a83-810de911af26</vt:lpwstr>
  </property>
  <property fmtid="{D5CDD505-2E9C-101B-9397-08002B2CF9AE}" pid="12" name="MSIP_Label_defa4170-0d19-0005-0004-bc88714345d2_ContentBits">
    <vt:lpwstr>0</vt:lpwstr>
  </property>
</Properties>
</file>