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ncosc-my.sharepoint.com/personal/elizabeth_john_ncosc_gov/Documents/2024 ACFR_EJ/WC 2024 Pensions/GASB 75 Component Unites FY24/"/>
    </mc:Choice>
  </mc:AlternateContent>
  <xr:revisionPtr revIDLastSave="6" documentId="8_{0ADCA699-A5B9-4AE7-A8E0-3E8B470D9D26}" xr6:coauthVersionLast="47" xr6:coauthVersionMax="47" xr10:uidLastSave="{67C073F7-5199-4432-BA7E-1B10755E8376}"/>
  <bookViews>
    <workbookView xWindow="28692" yWindow="-108" windowWidth="29016" windowHeight="15696" tabRatio="824" activeTab="2"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75 - Summary Exhibit" sheetId="9" state="hidden" r:id="rId7"/>
    <sheet name="75- Deferred Amortization" sheetId="10" state="hidden" r:id="rId8"/>
    <sheet name="Noncap Contr Alloc" sheetId="11" state="hidden" r:id="rId9"/>
  </sheets>
  <definedNames>
    <definedName name="_xlnm.Print_Area" localSheetId="6">'75 - Summary Exhibit'!$A$1:$N$3</definedName>
    <definedName name="_xlnm.Print_Area" localSheetId="7">'75- Deferred Amortization'!$A$1:$F$315</definedName>
    <definedName name="_xlnm.Print_Area" localSheetId="4">Data!$A$1:$AK$88</definedName>
    <definedName name="_xlnm.Print_Area" localSheetId="1">Detail!$A$1:$G$63</definedName>
    <definedName name="_xlnm.Print_Area" localSheetId="3">Disclosures!$A$6:$J$75</definedName>
    <definedName name="_xlnm.Print_Area" localSheetId="5">'ER Contributions'!$A$1:$D$304</definedName>
    <definedName name="_xlnm.Print_Area" localSheetId="2">Summary!$A$1:$I$24</definedName>
    <definedName name="_xlnm.Print_Titles" localSheetId="7">'75- Deferred Amortization'!$2:$3</definedName>
    <definedName name="_xlnm.Print_Titles" localSheetId="3">Disclosures!$1:$4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5" i="4" l="1"/>
  <c r="AV6" i="4"/>
  <c r="AV7"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V62" i="4"/>
  <c r="AV63" i="4"/>
  <c r="AV64" i="4"/>
  <c r="AV65" i="4"/>
  <c r="AV66" i="4"/>
  <c r="AV67" i="4"/>
  <c r="AV68" i="4"/>
  <c r="AV69" i="4"/>
  <c r="AV70" i="4"/>
  <c r="AV71" i="4"/>
  <c r="AV72" i="4"/>
  <c r="AV73" i="4"/>
  <c r="AV74" i="4"/>
  <c r="AV75" i="4"/>
  <c r="AV76" i="4"/>
  <c r="AV77" i="4"/>
  <c r="AV78" i="4"/>
  <c r="AV79" i="4"/>
  <c r="AV80" i="4"/>
  <c r="AV81" i="4"/>
  <c r="AV82" i="4"/>
  <c r="AV83" i="4"/>
  <c r="AV84" i="4"/>
  <c r="AV85" i="4"/>
  <c r="AV86" i="4"/>
  <c r="AV87" i="4"/>
  <c r="AV88" i="4"/>
  <c r="AV4" i="4"/>
  <c r="D316" i="9" l="1"/>
  <c r="D306" i="6"/>
  <c r="D317" i="10" l="1"/>
  <c r="E317" i="10"/>
  <c r="F317" i="10"/>
  <c r="G317" i="10"/>
  <c r="C317" i="10"/>
  <c r="G315" i="10"/>
  <c r="F315" i="10"/>
  <c r="E315" i="10"/>
  <c r="D315" i="10"/>
  <c r="C315" i="10"/>
  <c r="C314" i="11"/>
  <c r="Z4" i="4" l="1"/>
  <c r="Z5" i="4"/>
  <c r="B10" i="5" l="1"/>
  <c r="Z83" i="4" l="1"/>
  <c r="Z81" i="4"/>
  <c r="Z84" i="4"/>
  <c r="Z85" i="4"/>
  <c r="Z82"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6" i="4"/>
  <c r="Z7" i="4"/>
  <c r="Z8" i="4"/>
  <c r="Z9" i="4"/>
  <c r="Z10" i="4"/>
  <c r="Z11" i="4"/>
  <c r="Z12" i="4"/>
  <c r="Z13" i="4"/>
  <c r="D314" i="9" l="1"/>
  <c r="E314" i="9"/>
  <c r="E316" i="9" s="1"/>
  <c r="F314" i="9"/>
  <c r="F316" i="9" s="1"/>
  <c r="G314" i="9"/>
  <c r="G316" i="9" s="1"/>
  <c r="H314" i="9"/>
  <c r="H316" i="9" s="1"/>
  <c r="I314" i="9"/>
  <c r="I316" i="9" s="1"/>
  <c r="J314" i="9"/>
  <c r="J316" i="9" s="1"/>
  <c r="K314" i="9"/>
  <c r="K316" i="9" s="1"/>
  <c r="L314" i="9"/>
  <c r="L316" i="9" s="1"/>
  <c r="M314" i="9"/>
  <c r="M316" i="9" s="1"/>
  <c r="C314" i="9"/>
  <c r="C316" i="9" s="1"/>
  <c r="Z88" i="4" l="1"/>
  <c r="Z87" i="4"/>
  <c r="Z86" i="4"/>
  <c r="V86" i="4" s="1"/>
  <c r="D304" i="6" l="1"/>
  <c r="R4" i="4" l="1"/>
  <c r="I5" i="4" l="1"/>
  <c r="AM5" i="4" s="1"/>
  <c r="N314" i="9" l="1"/>
  <c r="N316" i="9" s="1"/>
  <c r="C304" i="6"/>
  <c r="U5" i="4" l="1"/>
  <c r="T5" i="4"/>
  <c r="S5" i="4"/>
  <c r="R5" i="4"/>
  <c r="Q5" i="4"/>
  <c r="O5" i="4"/>
  <c r="N5" i="4"/>
  <c r="M5" i="4"/>
  <c r="AN5" i="4" s="1"/>
  <c r="J5" i="4"/>
  <c r="AP5" i="4" s="1"/>
  <c r="H5" i="4"/>
  <c r="AQ5" i="4" s="1"/>
  <c r="G5" i="4"/>
  <c r="AT5" i="4" s="1"/>
  <c r="E5" i="4"/>
  <c r="AS5" i="4" s="1"/>
  <c r="C5" i="4" l="1"/>
  <c r="H58" i="1" l="1"/>
  <c r="Q81" i="4" l="1"/>
  <c r="R81" i="4"/>
  <c r="S81" i="4"/>
  <c r="T81" i="4"/>
  <c r="U81" i="4"/>
  <c r="Q82" i="4"/>
  <c r="R82" i="4"/>
  <c r="S82" i="4"/>
  <c r="T82" i="4"/>
  <c r="U82" i="4"/>
  <c r="Q83" i="4"/>
  <c r="R83" i="4"/>
  <c r="S83" i="4"/>
  <c r="T83" i="4"/>
  <c r="U83" i="4"/>
  <c r="Q84" i="4"/>
  <c r="R84" i="4"/>
  <c r="S84" i="4"/>
  <c r="T84" i="4"/>
  <c r="U84" i="4"/>
  <c r="Q85" i="4"/>
  <c r="R85" i="4"/>
  <c r="S85" i="4"/>
  <c r="T85" i="4"/>
  <c r="U85" i="4"/>
  <c r="O81" i="4"/>
  <c r="O82" i="4"/>
  <c r="O83" i="4"/>
  <c r="O84" i="4"/>
  <c r="O85" i="4"/>
  <c r="C81" i="4"/>
  <c r="D81" i="4"/>
  <c r="E81" i="4"/>
  <c r="F81" i="4"/>
  <c r="G81" i="4"/>
  <c r="AT81" i="4" s="1"/>
  <c r="H81" i="4"/>
  <c r="AQ81" i="4" s="1"/>
  <c r="I81" i="4"/>
  <c r="J81" i="4"/>
  <c r="AP81" i="4" s="1"/>
  <c r="K81" i="4"/>
  <c r="AU81" i="4" s="1"/>
  <c r="L81" i="4"/>
  <c r="AR81" i="4" s="1"/>
  <c r="M81" i="4"/>
  <c r="N81" i="4"/>
  <c r="C82" i="4"/>
  <c r="D82" i="4"/>
  <c r="E82" i="4"/>
  <c r="AS82" i="4" s="1"/>
  <c r="F82" i="4"/>
  <c r="G82" i="4"/>
  <c r="AT82" i="4" s="1"/>
  <c r="H82" i="4"/>
  <c r="AQ82" i="4" s="1"/>
  <c r="I82" i="4"/>
  <c r="J82" i="4"/>
  <c r="AP82" i="4" s="1"/>
  <c r="K82" i="4"/>
  <c r="AU82" i="4" s="1"/>
  <c r="L82" i="4"/>
  <c r="AR82" i="4" s="1"/>
  <c r="M82" i="4"/>
  <c r="N82" i="4"/>
  <c r="C83" i="4"/>
  <c r="D83" i="4"/>
  <c r="E83" i="4"/>
  <c r="AS83" i="4" s="1"/>
  <c r="F83" i="4"/>
  <c r="G83" i="4"/>
  <c r="AT83" i="4" s="1"/>
  <c r="H83" i="4"/>
  <c r="AQ83" i="4" s="1"/>
  <c r="I83" i="4"/>
  <c r="J83" i="4"/>
  <c r="AP83" i="4" s="1"/>
  <c r="K83" i="4"/>
  <c r="AU83" i="4" s="1"/>
  <c r="L83" i="4"/>
  <c r="AR83" i="4" s="1"/>
  <c r="M83" i="4"/>
  <c r="N83" i="4"/>
  <c r="C84" i="4"/>
  <c r="D84" i="4"/>
  <c r="E84" i="4"/>
  <c r="AS84" i="4" s="1"/>
  <c r="F84" i="4"/>
  <c r="G84" i="4"/>
  <c r="AT84" i="4" s="1"/>
  <c r="H84" i="4"/>
  <c r="AQ84" i="4" s="1"/>
  <c r="I84" i="4"/>
  <c r="J84" i="4"/>
  <c r="AP84" i="4" s="1"/>
  <c r="K84" i="4"/>
  <c r="AU84" i="4" s="1"/>
  <c r="L84" i="4"/>
  <c r="AR84" i="4" s="1"/>
  <c r="M84" i="4"/>
  <c r="N84" i="4"/>
  <c r="C85" i="4"/>
  <c r="D85" i="4"/>
  <c r="E85" i="4"/>
  <c r="AS85" i="4" s="1"/>
  <c r="F85" i="4"/>
  <c r="G85" i="4"/>
  <c r="AT85" i="4" s="1"/>
  <c r="H85" i="4"/>
  <c r="AQ85" i="4" s="1"/>
  <c r="I85" i="4"/>
  <c r="J85" i="4"/>
  <c r="AP85" i="4" s="1"/>
  <c r="K85" i="4"/>
  <c r="AU85" i="4" s="1"/>
  <c r="L85" i="4"/>
  <c r="AR85" i="4" s="1"/>
  <c r="M85" i="4"/>
  <c r="N85" i="4"/>
  <c r="P81" i="4" l="1"/>
  <c r="V81" i="4" s="1"/>
  <c r="P85" i="4"/>
  <c r="V85" i="4" s="1"/>
  <c r="AS81" i="4"/>
  <c r="AO85" i="4"/>
  <c r="AO83" i="4"/>
  <c r="AO81" i="4"/>
  <c r="AO84" i="4"/>
  <c r="AO82" i="4"/>
  <c r="P84" i="4"/>
  <c r="V84" i="4" s="1"/>
  <c r="P83" i="4"/>
  <c r="V83" i="4" s="1"/>
  <c r="P82" i="4"/>
  <c r="V82" i="4" s="1"/>
  <c r="W85" i="4"/>
  <c r="W84" i="4"/>
  <c r="W82" i="4"/>
  <c r="W83" i="4"/>
  <c r="W81" i="4"/>
  <c r="D25" i="3" l="1"/>
  <c r="Q57" i="4" l="1"/>
  <c r="R57" i="4"/>
  <c r="S57" i="4"/>
  <c r="T57" i="4"/>
  <c r="U57" i="4"/>
  <c r="Q58" i="4"/>
  <c r="R58" i="4"/>
  <c r="S58" i="4"/>
  <c r="T58" i="4"/>
  <c r="U58" i="4"/>
  <c r="Q59" i="4"/>
  <c r="R59" i="4"/>
  <c r="S59" i="4"/>
  <c r="T59" i="4"/>
  <c r="U59" i="4"/>
  <c r="Q60" i="4"/>
  <c r="R60" i="4"/>
  <c r="S60" i="4"/>
  <c r="T60" i="4"/>
  <c r="U60" i="4"/>
  <c r="Q61" i="4"/>
  <c r="R61" i="4"/>
  <c r="S61" i="4"/>
  <c r="T61" i="4"/>
  <c r="U61" i="4"/>
  <c r="Q62" i="4"/>
  <c r="R62" i="4"/>
  <c r="S62" i="4"/>
  <c r="T62" i="4"/>
  <c r="U62" i="4"/>
  <c r="Q63" i="4"/>
  <c r="R63" i="4"/>
  <c r="S63" i="4"/>
  <c r="T63" i="4"/>
  <c r="U63" i="4"/>
  <c r="Q64" i="4"/>
  <c r="R64" i="4"/>
  <c r="S64" i="4"/>
  <c r="T64" i="4"/>
  <c r="U64" i="4"/>
  <c r="Q65" i="4"/>
  <c r="R65" i="4"/>
  <c r="S65" i="4"/>
  <c r="T65" i="4"/>
  <c r="U65" i="4"/>
  <c r="Q66" i="4"/>
  <c r="R66" i="4"/>
  <c r="S66" i="4"/>
  <c r="T66" i="4"/>
  <c r="U66" i="4"/>
  <c r="Q67" i="4"/>
  <c r="R67" i="4"/>
  <c r="S67" i="4"/>
  <c r="T67" i="4"/>
  <c r="U67" i="4"/>
  <c r="Q68" i="4"/>
  <c r="R68" i="4"/>
  <c r="S68" i="4"/>
  <c r="T68" i="4"/>
  <c r="U68" i="4"/>
  <c r="Q69" i="4"/>
  <c r="R69" i="4"/>
  <c r="S69" i="4"/>
  <c r="T69" i="4"/>
  <c r="U69" i="4"/>
  <c r="Q70" i="4"/>
  <c r="R70" i="4"/>
  <c r="S70" i="4"/>
  <c r="T70" i="4"/>
  <c r="U70" i="4"/>
  <c r="Q71" i="4"/>
  <c r="R71" i="4"/>
  <c r="S71" i="4"/>
  <c r="T71" i="4"/>
  <c r="U71" i="4"/>
  <c r="Q72" i="4"/>
  <c r="R72" i="4"/>
  <c r="S72" i="4"/>
  <c r="T72" i="4"/>
  <c r="U72" i="4"/>
  <c r="Q73" i="4"/>
  <c r="R73" i="4"/>
  <c r="S73" i="4"/>
  <c r="T73" i="4"/>
  <c r="U73" i="4"/>
  <c r="Q74" i="4"/>
  <c r="R74" i="4"/>
  <c r="S74" i="4"/>
  <c r="T74" i="4"/>
  <c r="U74" i="4"/>
  <c r="Q75" i="4"/>
  <c r="R75" i="4"/>
  <c r="S75" i="4"/>
  <c r="T75" i="4"/>
  <c r="U75" i="4"/>
  <c r="Q76" i="4"/>
  <c r="R76" i="4"/>
  <c r="S76" i="4"/>
  <c r="T76" i="4"/>
  <c r="U76" i="4"/>
  <c r="Q77" i="4"/>
  <c r="R77" i="4"/>
  <c r="S77" i="4"/>
  <c r="T77" i="4"/>
  <c r="U77" i="4"/>
  <c r="Q78" i="4"/>
  <c r="R78" i="4"/>
  <c r="S78" i="4"/>
  <c r="T78" i="4"/>
  <c r="U78" i="4"/>
  <c r="Q79" i="4"/>
  <c r="R79" i="4"/>
  <c r="S79" i="4"/>
  <c r="T79" i="4"/>
  <c r="U79" i="4"/>
  <c r="Q80" i="4"/>
  <c r="R80" i="4"/>
  <c r="S80" i="4"/>
  <c r="T80" i="4"/>
  <c r="U80" i="4"/>
  <c r="Q31" i="4"/>
  <c r="R31" i="4"/>
  <c r="S31" i="4"/>
  <c r="T31" i="4"/>
  <c r="U31" i="4"/>
  <c r="Q32" i="4"/>
  <c r="R32" i="4"/>
  <c r="S32" i="4"/>
  <c r="T32" i="4"/>
  <c r="U32" i="4"/>
  <c r="Q33" i="4"/>
  <c r="R33" i="4"/>
  <c r="S33" i="4"/>
  <c r="T33" i="4"/>
  <c r="U33" i="4"/>
  <c r="Q34" i="4"/>
  <c r="R34" i="4"/>
  <c r="S34" i="4"/>
  <c r="T34" i="4"/>
  <c r="U34" i="4"/>
  <c r="Q35" i="4"/>
  <c r="R35" i="4"/>
  <c r="S35" i="4"/>
  <c r="T35" i="4"/>
  <c r="U35" i="4"/>
  <c r="Q36" i="4"/>
  <c r="R36" i="4"/>
  <c r="S36" i="4"/>
  <c r="T36" i="4"/>
  <c r="U36" i="4"/>
  <c r="Q37" i="4"/>
  <c r="R37" i="4"/>
  <c r="S37" i="4"/>
  <c r="T37" i="4"/>
  <c r="U37" i="4"/>
  <c r="Q38" i="4"/>
  <c r="R38" i="4"/>
  <c r="S38" i="4"/>
  <c r="T38" i="4"/>
  <c r="U38" i="4"/>
  <c r="Q39" i="4"/>
  <c r="R39" i="4"/>
  <c r="S39" i="4"/>
  <c r="T39" i="4"/>
  <c r="U39" i="4"/>
  <c r="Q40" i="4"/>
  <c r="R40" i="4"/>
  <c r="S40" i="4"/>
  <c r="T40" i="4"/>
  <c r="U40" i="4"/>
  <c r="Q41" i="4"/>
  <c r="R41" i="4"/>
  <c r="S41" i="4"/>
  <c r="T41" i="4"/>
  <c r="U41" i="4"/>
  <c r="Q42" i="4"/>
  <c r="R42" i="4"/>
  <c r="S42" i="4"/>
  <c r="T42" i="4"/>
  <c r="U42" i="4"/>
  <c r="Q43" i="4"/>
  <c r="R43" i="4"/>
  <c r="S43" i="4"/>
  <c r="T43" i="4"/>
  <c r="U43" i="4"/>
  <c r="Q44" i="4"/>
  <c r="R44" i="4"/>
  <c r="S44" i="4"/>
  <c r="T44" i="4"/>
  <c r="U44" i="4"/>
  <c r="Q45" i="4"/>
  <c r="R45" i="4"/>
  <c r="S45" i="4"/>
  <c r="T45" i="4"/>
  <c r="U45" i="4"/>
  <c r="Q46" i="4"/>
  <c r="R46" i="4"/>
  <c r="S46" i="4"/>
  <c r="T46" i="4"/>
  <c r="U46" i="4"/>
  <c r="Q47" i="4"/>
  <c r="R47" i="4"/>
  <c r="S47" i="4"/>
  <c r="T47" i="4"/>
  <c r="U47" i="4"/>
  <c r="Q48" i="4"/>
  <c r="R48" i="4"/>
  <c r="S48" i="4"/>
  <c r="T48" i="4"/>
  <c r="U48" i="4"/>
  <c r="Q49" i="4"/>
  <c r="R49" i="4"/>
  <c r="S49" i="4"/>
  <c r="T49" i="4"/>
  <c r="U49" i="4"/>
  <c r="Q50" i="4"/>
  <c r="R50" i="4"/>
  <c r="S50" i="4"/>
  <c r="T50" i="4"/>
  <c r="U50" i="4"/>
  <c r="Q51" i="4"/>
  <c r="R51" i="4"/>
  <c r="S51" i="4"/>
  <c r="T51" i="4"/>
  <c r="U51" i="4"/>
  <c r="Q52" i="4"/>
  <c r="R52" i="4"/>
  <c r="S52" i="4"/>
  <c r="T52" i="4"/>
  <c r="U52" i="4"/>
  <c r="Q53" i="4"/>
  <c r="R53" i="4"/>
  <c r="S53" i="4"/>
  <c r="T53" i="4"/>
  <c r="U53" i="4"/>
  <c r="Q54" i="4"/>
  <c r="R54" i="4"/>
  <c r="S54" i="4"/>
  <c r="T54" i="4"/>
  <c r="U54" i="4"/>
  <c r="Q55" i="4"/>
  <c r="R55" i="4"/>
  <c r="S55" i="4"/>
  <c r="T55" i="4"/>
  <c r="U55" i="4"/>
  <c r="Q56" i="4"/>
  <c r="R56" i="4"/>
  <c r="S56" i="4"/>
  <c r="T56" i="4"/>
  <c r="U56" i="4"/>
  <c r="Q6" i="4"/>
  <c r="R6" i="4"/>
  <c r="S6" i="4"/>
  <c r="T6" i="4"/>
  <c r="U6" i="4"/>
  <c r="Q7" i="4"/>
  <c r="R7" i="4"/>
  <c r="S7" i="4"/>
  <c r="T7" i="4"/>
  <c r="U7" i="4"/>
  <c r="Q8" i="4"/>
  <c r="R8" i="4"/>
  <c r="S8" i="4"/>
  <c r="T8" i="4"/>
  <c r="U8" i="4"/>
  <c r="Q9" i="4"/>
  <c r="R9" i="4"/>
  <c r="S9" i="4"/>
  <c r="T9" i="4"/>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Q28" i="4"/>
  <c r="R28" i="4"/>
  <c r="S28" i="4"/>
  <c r="T28" i="4"/>
  <c r="U28" i="4"/>
  <c r="Q29" i="4"/>
  <c r="R29" i="4"/>
  <c r="S29" i="4"/>
  <c r="T29" i="4"/>
  <c r="U29" i="4"/>
  <c r="Q30" i="4"/>
  <c r="R30" i="4"/>
  <c r="S30" i="4"/>
  <c r="T30" i="4"/>
  <c r="U30" i="4"/>
  <c r="C74" i="4"/>
  <c r="D74" i="4"/>
  <c r="E74" i="4"/>
  <c r="F74" i="4"/>
  <c r="G74" i="4"/>
  <c r="AT74" i="4" s="1"/>
  <c r="H74" i="4"/>
  <c r="AQ74" i="4" s="1"/>
  <c r="I74" i="4"/>
  <c r="AM74" i="4" s="1"/>
  <c r="J74" i="4"/>
  <c r="AP74" i="4" s="1"/>
  <c r="K74" i="4"/>
  <c r="AU74" i="4" s="1"/>
  <c r="L74" i="4"/>
  <c r="AR74" i="4" s="1"/>
  <c r="M74" i="4"/>
  <c r="AN74" i="4" s="1"/>
  <c r="N74" i="4"/>
  <c r="O74" i="4"/>
  <c r="C75" i="4"/>
  <c r="D75" i="4"/>
  <c r="E75" i="4"/>
  <c r="F75" i="4"/>
  <c r="G75" i="4"/>
  <c r="AT75" i="4" s="1"/>
  <c r="H75" i="4"/>
  <c r="AQ75" i="4" s="1"/>
  <c r="I75" i="4"/>
  <c r="AM75" i="4" s="1"/>
  <c r="J75" i="4"/>
  <c r="AP75" i="4" s="1"/>
  <c r="K75" i="4"/>
  <c r="AU75" i="4" s="1"/>
  <c r="L75" i="4"/>
  <c r="AR75" i="4" s="1"/>
  <c r="M75" i="4"/>
  <c r="AN75" i="4" s="1"/>
  <c r="N75" i="4"/>
  <c r="O75" i="4"/>
  <c r="C76" i="4"/>
  <c r="D76" i="4"/>
  <c r="E76" i="4"/>
  <c r="F76" i="4"/>
  <c r="G76" i="4"/>
  <c r="AT76" i="4" s="1"/>
  <c r="H76" i="4"/>
  <c r="AQ76" i="4" s="1"/>
  <c r="I76" i="4"/>
  <c r="AM76" i="4" s="1"/>
  <c r="J76" i="4"/>
  <c r="AP76" i="4" s="1"/>
  <c r="K76" i="4"/>
  <c r="AU76" i="4" s="1"/>
  <c r="L76" i="4"/>
  <c r="AR76" i="4" s="1"/>
  <c r="M76" i="4"/>
  <c r="AN76" i="4" s="1"/>
  <c r="N76" i="4"/>
  <c r="O76" i="4"/>
  <c r="C77" i="4"/>
  <c r="D77" i="4"/>
  <c r="E77" i="4"/>
  <c r="F77" i="4"/>
  <c r="G77" i="4"/>
  <c r="AT77" i="4" s="1"/>
  <c r="H77" i="4"/>
  <c r="AQ77" i="4" s="1"/>
  <c r="I77" i="4"/>
  <c r="AM77" i="4" s="1"/>
  <c r="J77" i="4"/>
  <c r="AP77" i="4" s="1"/>
  <c r="K77" i="4"/>
  <c r="AU77" i="4" s="1"/>
  <c r="L77" i="4"/>
  <c r="AR77" i="4" s="1"/>
  <c r="M77" i="4"/>
  <c r="AN77" i="4" s="1"/>
  <c r="N77" i="4"/>
  <c r="O77" i="4"/>
  <c r="C78" i="4"/>
  <c r="D78" i="4"/>
  <c r="E78" i="4"/>
  <c r="F78" i="4"/>
  <c r="G78" i="4"/>
  <c r="AT78" i="4" s="1"/>
  <c r="H78" i="4"/>
  <c r="AQ78" i="4" s="1"/>
  <c r="I78" i="4"/>
  <c r="AM78" i="4" s="1"/>
  <c r="J78" i="4"/>
  <c r="AP78" i="4" s="1"/>
  <c r="K78" i="4"/>
  <c r="AU78" i="4" s="1"/>
  <c r="L78" i="4"/>
  <c r="AR78" i="4" s="1"/>
  <c r="M78" i="4"/>
  <c r="AN78" i="4" s="1"/>
  <c r="N78" i="4"/>
  <c r="O78" i="4"/>
  <c r="C79" i="4"/>
  <c r="D79" i="4"/>
  <c r="E79" i="4"/>
  <c r="F79" i="4"/>
  <c r="G79" i="4"/>
  <c r="AT79" i="4" s="1"/>
  <c r="H79" i="4"/>
  <c r="AQ79" i="4" s="1"/>
  <c r="I79" i="4"/>
  <c r="AM79" i="4" s="1"/>
  <c r="J79" i="4"/>
  <c r="AP79" i="4" s="1"/>
  <c r="K79" i="4"/>
  <c r="AU79" i="4" s="1"/>
  <c r="L79" i="4"/>
  <c r="AR79" i="4" s="1"/>
  <c r="M79" i="4"/>
  <c r="AN79" i="4" s="1"/>
  <c r="N79" i="4"/>
  <c r="O79" i="4"/>
  <c r="C80" i="4"/>
  <c r="D80" i="4"/>
  <c r="E80" i="4"/>
  <c r="F80" i="4"/>
  <c r="G80" i="4"/>
  <c r="AT80" i="4" s="1"/>
  <c r="H80" i="4"/>
  <c r="AQ80" i="4" s="1"/>
  <c r="I80" i="4"/>
  <c r="AM80" i="4" s="1"/>
  <c r="J80" i="4"/>
  <c r="AP80" i="4" s="1"/>
  <c r="K80" i="4"/>
  <c r="AU80" i="4" s="1"/>
  <c r="L80" i="4"/>
  <c r="AR80" i="4" s="1"/>
  <c r="M80" i="4"/>
  <c r="AN80" i="4" s="1"/>
  <c r="N80" i="4"/>
  <c r="O80" i="4"/>
  <c r="C53" i="4"/>
  <c r="D53" i="4"/>
  <c r="E53" i="4"/>
  <c r="F53" i="4"/>
  <c r="G53" i="4"/>
  <c r="AT53" i="4" s="1"/>
  <c r="H53" i="4"/>
  <c r="AQ53" i="4" s="1"/>
  <c r="I53" i="4"/>
  <c r="AM53" i="4" s="1"/>
  <c r="J53" i="4"/>
  <c r="AP53" i="4" s="1"/>
  <c r="K53" i="4"/>
  <c r="AU53" i="4" s="1"/>
  <c r="L53" i="4"/>
  <c r="AR53" i="4" s="1"/>
  <c r="M53" i="4"/>
  <c r="AN53" i="4" s="1"/>
  <c r="N53" i="4"/>
  <c r="O53" i="4"/>
  <c r="C54" i="4"/>
  <c r="D54" i="4"/>
  <c r="E54" i="4"/>
  <c r="F54" i="4"/>
  <c r="G54" i="4"/>
  <c r="AT54" i="4" s="1"/>
  <c r="H54" i="4"/>
  <c r="AQ54" i="4" s="1"/>
  <c r="I54" i="4"/>
  <c r="AM54" i="4" s="1"/>
  <c r="J54" i="4"/>
  <c r="AP54" i="4" s="1"/>
  <c r="K54" i="4"/>
  <c r="AU54" i="4" s="1"/>
  <c r="L54" i="4"/>
  <c r="AR54" i="4" s="1"/>
  <c r="M54" i="4"/>
  <c r="AN54" i="4" s="1"/>
  <c r="N54" i="4"/>
  <c r="O54" i="4"/>
  <c r="C55" i="4"/>
  <c r="D55" i="4"/>
  <c r="E55" i="4"/>
  <c r="F55" i="4"/>
  <c r="G55" i="4"/>
  <c r="AT55" i="4" s="1"/>
  <c r="H55" i="4"/>
  <c r="AQ55" i="4" s="1"/>
  <c r="I55" i="4"/>
  <c r="AM55" i="4" s="1"/>
  <c r="J55" i="4"/>
  <c r="AP55" i="4" s="1"/>
  <c r="K55" i="4"/>
  <c r="AU55" i="4" s="1"/>
  <c r="L55" i="4"/>
  <c r="AR55" i="4" s="1"/>
  <c r="M55" i="4"/>
  <c r="AN55" i="4" s="1"/>
  <c r="N55" i="4"/>
  <c r="O55" i="4"/>
  <c r="C56" i="4"/>
  <c r="D56" i="4"/>
  <c r="E56" i="4"/>
  <c r="F56" i="4"/>
  <c r="G56" i="4"/>
  <c r="AT56" i="4" s="1"/>
  <c r="H56" i="4"/>
  <c r="AQ56" i="4" s="1"/>
  <c r="I56" i="4"/>
  <c r="AM56" i="4" s="1"/>
  <c r="J56" i="4"/>
  <c r="AP56" i="4" s="1"/>
  <c r="K56" i="4"/>
  <c r="AU56" i="4" s="1"/>
  <c r="L56" i="4"/>
  <c r="AR56" i="4" s="1"/>
  <c r="M56" i="4"/>
  <c r="AN56" i="4" s="1"/>
  <c r="N56" i="4"/>
  <c r="O56" i="4"/>
  <c r="C57" i="4"/>
  <c r="D57" i="4"/>
  <c r="E57" i="4"/>
  <c r="F57" i="4"/>
  <c r="G57" i="4"/>
  <c r="AT57" i="4" s="1"/>
  <c r="H57" i="4"/>
  <c r="AQ57" i="4" s="1"/>
  <c r="I57" i="4"/>
  <c r="AM57" i="4" s="1"/>
  <c r="J57" i="4"/>
  <c r="AP57" i="4" s="1"/>
  <c r="K57" i="4"/>
  <c r="AU57" i="4" s="1"/>
  <c r="L57" i="4"/>
  <c r="AR57" i="4" s="1"/>
  <c r="M57" i="4"/>
  <c r="AN57" i="4" s="1"/>
  <c r="N57" i="4"/>
  <c r="O57" i="4"/>
  <c r="C58" i="4"/>
  <c r="D58" i="4"/>
  <c r="E58" i="4"/>
  <c r="F58" i="4"/>
  <c r="G58" i="4"/>
  <c r="AT58" i="4" s="1"/>
  <c r="H58" i="4"/>
  <c r="AQ58" i="4" s="1"/>
  <c r="I58" i="4"/>
  <c r="AM58" i="4" s="1"/>
  <c r="J58" i="4"/>
  <c r="AP58" i="4" s="1"/>
  <c r="K58" i="4"/>
  <c r="AU58" i="4" s="1"/>
  <c r="L58" i="4"/>
  <c r="AR58" i="4" s="1"/>
  <c r="M58" i="4"/>
  <c r="AN58" i="4" s="1"/>
  <c r="N58" i="4"/>
  <c r="O58" i="4"/>
  <c r="C59" i="4"/>
  <c r="D59" i="4"/>
  <c r="E59" i="4"/>
  <c r="F59" i="4"/>
  <c r="G59" i="4"/>
  <c r="AT59" i="4" s="1"/>
  <c r="H59" i="4"/>
  <c r="AQ59" i="4" s="1"/>
  <c r="I59" i="4"/>
  <c r="AM59" i="4" s="1"/>
  <c r="J59" i="4"/>
  <c r="AP59" i="4" s="1"/>
  <c r="K59" i="4"/>
  <c r="AU59" i="4" s="1"/>
  <c r="L59" i="4"/>
  <c r="AR59" i="4" s="1"/>
  <c r="M59" i="4"/>
  <c r="AN59" i="4" s="1"/>
  <c r="N59" i="4"/>
  <c r="O59" i="4"/>
  <c r="C60" i="4"/>
  <c r="D60" i="4"/>
  <c r="E60" i="4"/>
  <c r="F60" i="4"/>
  <c r="G60" i="4"/>
  <c r="AT60" i="4" s="1"/>
  <c r="H60" i="4"/>
  <c r="AQ60" i="4" s="1"/>
  <c r="I60" i="4"/>
  <c r="AM60" i="4" s="1"/>
  <c r="J60" i="4"/>
  <c r="AP60" i="4" s="1"/>
  <c r="K60" i="4"/>
  <c r="AU60" i="4" s="1"/>
  <c r="L60" i="4"/>
  <c r="AR60" i="4" s="1"/>
  <c r="M60" i="4"/>
  <c r="AN60" i="4" s="1"/>
  <c r="N60" i="4"/>
  <c r="O60" i="4"/>
  <c r="C61" i="4"/>
  <c r="D61" i="4"/>
  <c r="E61" i="4"/>
  <c r="F61" i="4"/>
  <c r="G61" i="4"/>
  <c r="AT61" i="4" s="1"/>
  <c r="H61" i="4"/>
  <c r="AQ61" i="4" s="1"/>
  <c r="I61" i="4"/>
  <c r="AM61" i="4" s="1"/>
  <c r="J61" i="4"/>
  <c r="AP61" i="4" s="1"/>
  <c r="K61" i="4"/>
  <c r="AU61" i="4" s="1"/>
  <c r="L61" i="4"/>
  <c r="AR61" i="4" s="1"/>
  <c r="M61" i="4"/>
  <c r="AN61" i="4" s="1"/>
  <c r="N61" i="4"/>
  <c r="O61" i="4"/>
  <c r="C62" i="4"/>
  <c r="D62" i="4"/>
  <c r="E62" i="4"/>
  <c r="F62" i="4"/>
  <c r="G62" i="4"/>
  <c r="AT62" i="4" s="1"/>
  <c r="H62" i="4"/>
  <c r="AQ62" i="4" s="1"/>
  <c r="I62" i="4"/>
  <c r="AM62" i="4" s="1"/>
  <c r="J62" i="4"/>
  <c r="AP62" i="4" s="1"/>
  <c r="K62" i="4"/>
  <c r="AU62" i="4" s="1"/>
  <c r="L62" i="4"/>
  <c r="AR62" i="4" s="1"/>
  <c r="M62" i="4"/>
  <c r="AN62" i="4" s="1"/>
  <c r="N62" i="4"/>
  <c r="O62" i="4"/>
  <c r="C63" i="4"/>
  <c r="D63" i="4"/>
  <c r="E63" i="4"/>
  <c r="F63" i="4"/>
  <c r="G63" i="4"/>
  <c r="AT63" i="4" s="1"/>
  <c r="H63" i="4"/>
  <c r="AQ63" i="4" s="1"/>
  <c r="I63" i="4"/>
  <c r="AM63" i="4" s="1"/>
  <c r="J63" i="4"/>
  <c r="AP63" i="4" s="1"/>
  <c r="K63" i="4"/>
  <c r="AU63" i="4" s="1"/>
  <c r="L63" i="4"/>
  <c r="AR63" i="4" s="1"/>
  <c r="M63" i="4"/>
  <c r="AN63" i="4" s="1"/>
  <c r="N63" i="4"/>
  <c r="O63" i="4"/>
  <c r="C64" i="4"/>
  <c r="D64" i="4"/>
  <c r="E64" i="4"/>
  <c r="F64" i="4"/>
  <c r="G64" i="4"/>
  <c r="AT64" i="4" s="1"/>
  <c r="H64" i="4"/>
  <c r="AQ64" i="4" s="1"/>
  <c r="I64" i="4"/>
  <c r="AM64" i="4" s="1"/>
  <c r="J64" i="4"/>
  <c r="AP64" i="4" s="1"/>
  <c r="K64" i="4"/>
  <c r="AU64" i="4" s="1"/>
  <c r="L64" i="4"/>
  <c r="AR64" i="4" s="1"/>
  <c r="M64" i="4"/>
  <c r="AN64" i="4" s="1"/>
  <c r="N64" i="4"/>
  <c r="O64" i="4"/>
  <c r="C65" i="4"/>
  <c r="D65" i="4"/>
  <c r="E65" i="4"/>
  <c r="F65" i="4"/>
  <c r="G65" i="4"/>
  <c r="AT65" i="4" s="1"/>
  <c r="H65" i="4"/>
  <c r="AQ65" i="4" s="1"/>
  <c r="I65" i="4"/>
  <c r="AM65" i="4" s="1"/>
  <c r="J65" i="4"/>
  <c r="AP65" i="4" s="1"/>
  <c r="K65" i="4"/>
  <c r="AU65" i="4" s="1"/>
  <c r="L65" i="4"/>
  <c r="AR65" i="4" s="1"/>
  <c r="M65" i="4"/>
  <c r="AN65" i="4" s="1"/>
  <c r="N65" i="4"/>
  <c r="O65" i="4"/>
  <c r="C66" i="4"/>
  <c r="D66" i="4"/>
  <c r="E66" i="4"/>
  <c r="F66" i="4"/>
  <c r="G66" i="4"/>
  <c r="AT66" i="4" s="1"/>
  <c r="H66" i="4"/>
  <c r="AQ66" i="4" s="1"/>
  <c r="I66" i="4"/>
  <c r="AM66" i="4" s="1"/>
  <c r="J66" i="4"/>
  <c r="AP66" i="4" s="1"/>
  <c r="K66" i="4"/>
  <c r="AU66" i="4" s="1"/>
  <c r="L66" i="4"/>
  <c r="AR66" i="4" s="1"/>
  <c r="M66" i="4"/>
  <c r="AN66" i="4" s="1"/>
  <c r="N66" i="4"/>
  <c r="O66" i="4"/>
  <c r="C67" i="4"/>
  <c r="D67" i="4"/>
  <c r="E67" i="4"/>
  <c r="F67" i="4"/>
  <c r="G67" i="4"/>
  <c r="AT67" i="4" s="1"/>
  <c r="H67" i="4"/>
  <c r="AQ67" i="4" s="1"/>
  <c r="I67" i="4"/>
  <c r="AM67" i="4" s="1"/>
  <c r="J67" i="4"/>
  <c r="AP67" i="4" s="1"/>
  <c r="K67" i="4"/>
  <c r="AU67" i="4" s="1"/>
  <c r="L67" i="4"/>
  <c r="AR67" i="4" s="1"/>
  <c r="M67" i="4"/>
  <c r="AN67" i="4" s="1"/>
  <c r="N67" i="4"/>
  <c r="O67" i="4"/>
  <c r="C68" i="4"/>
  <c r="D68" i="4"/>
  <c r="E68" i="4"/>
  <c r="F68" i="4"/>
  <c r="G68" i="4"/>
  <c r="AT68" i="4" s="1"/>
  <c r="H68" i="4"/>
  <c r="AQ68" i="4" s="1"/>
  <c r="I68" i="4"/>
  <c r="AM68" i="4" s="1"/>
  <c r="J68" i="4"/>
  <c r="AP68" i="4" s="1"/>
  <c r="K68" i="4"/>
  <c r="AU68" i="4" s="1"/>
  <c r="L68" i="4"/>
  <c r="AR68" i="4" s="1"/>
  <c r="M68" i="4"/>
  <c r="AN68" i="4" s="1"/>
  <c r="N68" i="4"/>
  <c r="O68" i="4"/>
  <c r="C69" i="4"/>
  <c r="D69" i="4"/>
  <c r="E69" i="4"/>
  <c r="F69" i="4"/>
  <c r="G69" i="4"/>
  <c r="AT69" i="4" s="1"/>
  <c r="H69" i="4"/>
  <c r="AQ69" i="4" s="1"/>
  <c r="I69" i="4"/>
  <c r="AM69" i="4" s="1"/>
  <c r="J69" i="4"/>
  <c r="AP69" i="4" s="1"/>
  <c r="K69" i="4"/>
  <c r="AU69" i="4" s="1"/>
  <c r="L69" i="4"/>
  <c r="AR69" i="4" s="1"/>
  <c r="M69" i="4"/>
  <c r="AN69" i="4" s="1"/>
  <c r="N69" i="4"/>
  <c r="O69" i="4"/>
  <c r="C70" i="4"/>
  <c r="D70" i="4"/>
  <c r="E70" i="4"/>
  <c r="F70" i="4"/>
  <c r="G70" i="4"/>
  <c r="AT70" i="4" s="1"/>
  <c r="H70" i="4"/>
  <c r="AQ70" i="4" s="1"/>
  <c r="I70" i="4"/>
  <c r="AM70" i="4" s="1"/>
  <c r="J70" i="4"/>
  <c r="AP70" i="4" s="1"/>
  <c r="K70" i="4"/>
  <c r="AU70" i="4" s="1"/>
  <c r="L70" i="4"/>
  <c r="AR70" i="4" s="1"/>
  <c r="M70" i="4"/>
  <c r="AN70" i="4" s="1"/>
  <c r="N70" i="4"/>
  <c r="O70" i="4"/>
  <c r="C71" i="4"/>
  <c r="D71" i="4"/>
  <c r="E71" i="4"/>
  <c r="F71" i="4"/>
  <c r="G71" i="4"/>
  <c r="AT71" i="4" s="1"/>
  <c r="H71" i="4"/>
  <c r="AQ71" i="4" s="1"/>
  <c r="I71" i="4"/>
  <c r="AM71" i="4" s="1"/>
  <c r="J71" i="4"/>
  <c r="AP71" i="4" s="1"/>
  <c r="K71" i="4"/>
  <c r="AU71" i="4" s="1"/>
  <c r="L71" i="4"/>
  <c r="AR71" i="4" s="1"/>
  <c r="M71" i="4"/>
  <c r="AN71" i="4" s="1"/>
  <c r="N71" i="4"/>
  <c r="O71" i="4"/>
  <c r="C72" i="4"/>
  <c r="D72" i="4"/>
  <c r="E72" i="4"/>
  <c r="F72" i="4"/>
  <c r="G72" i="4"/>
  <c r="AT72" i="4" s="1"/>
  <c r="H72" i="4"/>
  <c r="AQ72" i="4" s="1"/>
  <c r="I72" i="4"/>
  <c r="AM72" i="4" s="1"/>
  <c r="J72" i="4"/>
  <c r="AP72" i="4" s="1"/>
  <c r="K72" i="4"/>
  <c r="AU72" i="4" s="1"/>
  <c r="L72" i="4"/>
  <c r="AR72" i="4" s="1"/>
  <c r="M72" i="4"/>
  <c r="AN72" i="4" s="1"/>
  <c r="N72" i="4"/>
  <c r="O72" i="4"/>
  <c r="C73" i="4"/>
  <c r="D73" i="4"/>
  <c r="E73" i="4"/>
  <c r="F73" i="4"/>
  <c r="G73" i="4"/>
  <c r="AT73" i="4" s="1"/>
  <c r="H73" i="4"/>
  <c r="AQ73" i="4" s="1"/>
  <c r="I73" i="4"/>
  <c r="AM73" i="4" s="1"/>
  <c r="J73" i="4"/>
  <c r="AP73" i="4" s="1"/>
  <c r="K73" i="4"/>
  <c r="AU73" i="4" s="1"/>
  <c r="L73" i="4"/>
  <c r="AR73" i="4" s="1"/>
  <c r="M73" i="4"/>
  <c r="AN73" i="4" s="1"/>
  <c r="N73" i="4"/>
  <c r="O73" i="4"/>
  <c r="C30" i="4"/>
  <c r="D30" i="4"/>
  <c r="E30" i="4"/>
  <c r="F30" i="4"/>
  <c r="G30" i="4"/>
  <c r="AT30" i="4" s="1"/>
  <c r="H30" i="4"/>
  <c r="AQ30" i="4" s="1"/>
  <c r="I30" i="4"/>
  <c r="AM30" i="4" s="1"/>
  <c r="J30" i="4"/>
  <c r="AP30" i="4" s="1"/>
  <c r="K30" i="4"/>
  <c r="AU30" i="4" s="1"/>
  <c r="L30" i="4"/>
  <c r="AR30" i="4" s="1"/>
  <c r="M30" i="4"/>
  <c r="AN30" i="4" s="1"/>
  <c r="N30" i="4"/>
  <c r="O30" i="4"/>
  <c r="C31" i="4"/>
  <c r="D31" i="4"/>
  <c r="E31" i="4"/>
  <c r="F31" i="4"/>
  <c r="G31" i="4"/>
  <c r="AT31" i="4" s="1"/>
  <c r="H31" i="4"/>
  <c r="AQ31" i="4" s="1"/>
  <c r="I31" i="4"/>
  <c r="AM31" i="4" s="1"/>
  <c r="J31" i="4"/>
  <c r="AP31" i="4" s="1"/>
  <c r="K31" i="4"/>
  <c r="AU31" i="4" s="1"/>
  <c r="L31" i="4"/>
  <c r="AR31" i="4" s="1"/>
  <c r="M31" i="4"/>
  <c r="AN31" i="4" s="1"/>
  <c r="N31" i="4"/>
  <c r="O31" i="4"/>
  <c r="C32" i="4"/>
  <c r="D32" i="4"/>
  <c r="E32" i="4"/>
  <c r="F32" i="4"/>
  <c r="G32" i="4"/>
  <c r="AT32" i="4" s="1"/>
  <c r="H32" i="4"/>
  <c r="AQ32" i="4" s="1"/>
  <c r="I32" i="4"/>
  <c r="AM32" i="4" s="1"/>
  <c r="J32" i="4"/>
  <c r="AP32" i="4" s="1"/>
  <c r="K32" i="4"/>
  <c r="AU32" i="4" s="1"/>
  <c r="L32" i="4"/>
  <c r="AR32" i="4" s="1"/>
  <c r="M32" i="4"/>
  <c r="AN32" i="4" s="1"/>
  <c r="N32" i="4"/>
  <c r="O32" i="4"/>
  <c r="C33" i="4"/>
  <c r="D33" i="4"/>
  <c r="E33" i="4"/>
  <c r="F33" i="4"/>
  <c r="G33" i="4"/>
  <c r="AT33" i="4" s="1"/>
  <c r="H33" i="4"/>
  <c r="AQ33" i="4" s="1"/>
  <c r="I33" i="4"/>
  <c r="AM33" i="4" s="1"/>
  <c r="J33" i="4"/>
  <c r="AP33" i="4" s="1"/>
  <c r="K33" i="4"/>
  <c r="AU33" i="4" s="1"/>
  <c r="L33" i="4"/>
  <c r="AR33" i="4" s="1"/>
  <c r="M33" i="4"/>
  <c r="AN33" i="4" s="1"/>
  <c r="N33" i="4"/>
  <c r="O33" i="4"/>
  <c r="C34" i="4"/>
  <c r="D34" i="4"/>
  <c r="E34" i="4"/>
  <c r="F34" i="4"/>
  <c r="G34" i="4"/>
  <c r="AT34" i="4" s="1"/>
  <c r="H34" i="4"/>
  <c r="AQ34" i="4" s="1"/>
  <c r="I34" i="4"/>
  <c r="AM34" i="4" s="1"/>
  <c r="J34" i="4"/>
  <c r="AP34" i="4" s="1"/>
  <c r="K34" i="4"/>
  <c r="AU34" i="4" s="1"/>
  <c r="L34" i="4"/>
  <c r="AR34" i="4" s="1"/>
  <c r="M34" i="4"/>
  <c r="AN34" i="4" s="1"/>
  <c r="N34" i="4"/>
  <c r="O34" i="4"/>
  <c r="C35" i="4"/>
  <c r="D35" i="4"/>
  <c r="E35" i="4"/>
  <c r="F35" i="4"/>
  <c r="G35" i="4"/>
  <c r="AT35" i="4" s="1"/>
  <c r="H35" i="4"/>
  <c r="AQ35" i="4" s="1"/>
  <c r="I35" i="4"/>
  <c r="AM35" i="4" s="1"/>
  <c r="J35" i="4"/>
  <c r="AP35" i="4" s="1"/>
  <c r="K35" i="4"/>
  <c r="AU35" i="4" s="1"/>
  <c r="L35" i="4"/>
  <c r="AR35" i="4" s="1"/>
  <c r="M35" i="4"/>
  <c r="AN35" i="4" s="1"/>
  <c r="N35" i="4"/>
  <c r="O35" i="4"/>
  <c r="C36" i="4"/>
  <c r="D36" i="4"/>
  <c r="E36" i="4"/>
  <c r="F36" i="4"/>
  <c r="G36" i="4"/>
  <c r="AT36" i="4" s="1"/>
  <c r="H36" i="4"/>
  <c r="AQ36" i="4" s="1"/>
  <c r="I36" i="4"/>
  <c r="AM36" i="4" s="1"/>
  <c r="J36" i="4"/>
  <c r="AP36" i="4" s="1"/>
  <c r="K36" i="4"/>
  <c r="AU36" i="4" s="1"/>
  <c r="L36" i="4"/>
  <c r="AR36" i="4" s="1"/>
  <c r="M36" i="4"/>
  <c r="AN36" i="4" s="1"/>
  <c r="N36" i="4"/>
  <c r="O36" i="4"/>
  <c r="C37" i="4"/>
  <c r="D37" i="4"/>
  <c r="E37" i="4"/>
  <c r="F37" i="4"/>
  <c r="G37" i="4"/>
  <c r="AT37" i="4" s="1"/>
  <c r="H37" i="4"/>
  <c r="AQ37" i="4" s="1"/>
  <c r="I37" i="4"/>
  <c r="AM37" i="4" s="1"/>
  <c r="J37" i="4"/>
  <c r="AP37" i="4" s="1"/>
  <c r="K37" i="4"/>
  <c r="AU37" i="4" s="1"/>
  <c r="L37" i="4"/>
  <c r="AR37" i="4" s="1"/>
  <c r="M37" i="4"/>
  <c r="AN37" i="4" s="1"/>
  <c r="N37" i="4"/>
  <c r="O37" i="4"/>
  <c r="C38" i="4"/>
  <c r="D38" i="4"/>
  <c r="E38" i="4"/>
  <c r="F38" i="4"/>
  <c r="G38" i="4"/>
  <c r="AT38" i="4" s="1"/>
  <c r="H38" i="4"/>
  <c r="AQ38" i="4" s="1"/>
  <c r="I38" i="4"/>
  <c r="AM38" i="4" s="1"/>
  <c r="J38" i="4"/>
  <c r="AP38" i="4" s="1"/>
  <c r="K38" i="4"/>
  <c r="AU38" i="4" s="1"/>
  <c r="L38" i="4"/>
  <c r="AR38" i="4" s="1"/>
  <c r="M38" i="4"/>
  <c r="AN38" i="4" s="1"/>
  <c r="N38" i="4"/>
  <c r="O38" i="4"/>
  <c r="C39" i="4"/>
  <c r="D39" i="4"/>
  <c r="E39" i="4"/>
  <c r="F39" i="4"/>
  <c r="G39" i="4"/>
  <c r="AT39" i="4" s="1"/>
  <c r="H39" i="4"/>
  <c r="AQ39" i="4" s="1"/>
  <c r="I39" i="4"/>
  <c r="AM39" i="4" s="1"/>
  <c r="J39" i="4"/>
  <c r="AP39" i="4" s="1"/>
  <c r="K39" i="4"/>
  <c r="AU39" i="4" s="1"/>
  <c r="L39" i="4"/>
  <c r="AR39" i="4" s="1"/>
  <c r="M39" i="4"/>
  <c r="AN39" i="4" s="1"/>
  <c r="N39" i="4"/>
  <c r="O39" i="4"/>
  <c r="C40" i="4"/>
  <c r="D40" i="4"/>
  <c r="E40" i="4"/>
  <c r="F40" i="4"/>
  <c r="G40" i="4"/>
  <c r="AT40" i="4" s="1"/>
  <c r="H40" i="4"/>
  <c r="AQ40" i="4" s="1"/>
  <c r="I40" i="4"/>
  <c r="AM40" i="4" s="1"/>
  <c r="J40" i="4"/>
  <c r="AP40" i="4" s="1"/>
  <c r="K40" i="4"/>
  <c r="AU40" i="4" s="1"/>
  <c r="L40" i="4"/>
  <c r="AR40" i="4" s="1"/>
  <c r="M40" i="4"/>
  <c r="AN40" i="4" s="1"/>
  <c r="N40" i="4"/>
  <c r="O40" i="4"/>
  <c r="C41" i="4"/>
  <c r="D41" i="4"/>
  <c r="E41" i="4"/>
  <c r="F41" i="4"/>
  <c r="G41" i="4"/>
  <c r="AT41" i="4" s="1"/>
  <c r="H41" i="4"/>
  <c r="AQ41" i="4" s="1"/>
  <c r="I41" i="4"/>
  <c r="AM41" i="4" s="1"/>
  <c r="J41" i="4"/>
  <c r="AP41" i="4" s="1"/>
  <c r="K41" i="4"/>
  <c r="AU41" i="4" s="1"/>
  <c r="L41" i="4"/>
  <c r="AR41" i="4" s="1"/>
  <c r="M41" i="4"/>
  <c r="AN41" i="4" s="1"/>
  <c r="N41" i="4"/>
  <c r="O41" i="4"/>
  <c r="C42" i="4"/>
  <c r="D42" i="4"/>
  <c r="E42" i="4"/>
  <c r="F42" i="4"/>
  <c r="G42" i="4"/>
  <c r="AT42" i="4" s="1"/>
  <c r="H42" i="4"/>
  <c r="AQ42" i="4" s="1"/>
  <c r="I42" i="4"/>
  <c r="AM42" i="4" s="1"/>
  <c r="J42" i="4"/>
  <c r="AP42" i="4" s="1"/>
  <c r="K42" i="4"/>
  <c r="AU42" i="4" s="1"/>
  <c r="L42" i="4"/>
  <c r="AR42" i="4" s="1"/>
  <c r="M42" i="4"/>
  <c r="AN42" i="4" s="1"/>
  <c r="N42" i="4"/>
  <c r="O42" i="4"/>
  <c r="C43" i="4"/>
  <c r="D43" i="4"/>
  <c r="E43" i="4"/>
  <c r="F43" i="4"/>
  <c r="G43" i="4"/>
  <c r="AT43" i="4" s="1"/>
  <c r="H43" i="4"/>
  <c r="AQ43" i="4" s="1"/>
  <c r="I43" i="4"/>
  <c r="AM43" i="4" s="1"/>
  <c r="J43" i="4"/>
  <c r="AP43" i="4" s="1"/>
  <c r="K43" i="4"/>
  <c r="AU43" i="4" s="1"/>
  <c r="L43" i="4"/>
  <c r="AR43" i="4" s="1"/>
  <c r="M43" i="4"/>
  <c r="AN43" i="4" s="1"/>
  <c r="N43" i="4"/>
  <c r="O43" i="4"/>
  <c r="C44" i="4"/>
  <c r="D44" i="4"/>
  <c r="E44" i="4"/>
  <c r="F44" i="4"/>
  <c r="G44" i="4"/>
  <c r="AT44" i="4" s="1"/>
  <c r="H44" i="4"/>
  <c r="AQ44" i="4" s="1"/>
  <c r="I44" i="4"/>
  <c r="AM44" i="4" s="1"/>
  <c r="J44" i="4"/>
  <c r="AP44" i="4" s="1"/>
  <c r="K44" i="4"/>
  <c r="AU44" i="4" s="1"/>
  <c r="L44" i="4"/>
  <c r="AR44" i="4" s="1"/>
  <c r="M44" i="4"/>
  <c r="AN44" i="4" s="1"/>
  <c r="N44" i="4"/>
  <c r="O44" i="4"/>
  <c r="C45" i="4"/>
  <c r="D45" i="4"/>
  <c r="E45" i="4"/>
  <c r="F45" i="4"/>
  <c r="G45" i="4"/>
  <c r="AT45" i="4" s="1"/>
  <c r="H45" i="4"/>
  <c r="AQ45" i="4" s="1"/>
  <c r="I45" i="4"/>
  <c r="AM45" i="4" s="1"/>
  <c r="J45" i="4"/>
  <c r="AP45" i="4" s="1"/>
  <c r="K45" i="4"/>
  <c r="AU45" i="4" s="1"/>
  <c r="L45" i="4"/>
  <c r="AR45" i="4" s="1"/>
  <c r="M45" i="4"/>
  <c r="AN45" i="4" s="1"/>
  <c r="N45" i="4"/>
  <c r="O45" i="4"/>
  <c r="C46" i="4"/>
  <c r="D46" i="4"/>
  <c r="E46" i="4"/>
  <c r="F46" i="4"/>
  <c r="G46" i="4"/>
  <c r="AT46" i="4" s="1"/>
  <c r="H46" i="4"/>
  <c r="AQ46" i="4" s="1"/>
  <c r="I46" i="4"/>
  <c r="AM46" i="4" s="1"/>
  <c r="J46" i="4"/>
  <c r="AP46" i="4" s="1"/>
  <c r="K46" i="4"/>
  <c r="AU46" i="4" s="1"/>
  <c r="L46" i="4"/>
  <c r="AR46" i="4" s="1"/>
  <c r="M46" i="4"/>
  <c r="AN46" i="4" s="1"/>
  <c r="N46" i="4"/>
  <c r="O46" i="4"/>
  <c r="C47" i="4"/>
  <c r="D47" i="4"/>
  <c r="E47" i="4"/>
  <c r="F47" i="4"/>
  <c r="G47" i="4"/>
  <c r="AT47" i="4" s="1"/>
  <c r="H47" i="4"/>
  <c r="AQ47" i="4" s="1"/>
  <c r="I47" i="4"/>
  <c r="AM47" i="4" s="1"/>
  <c r="J47" i="4"/>
  <c r="AP47" i="4" s="1"/>
  <c r="K47" i="4"/>
  <c r="AU47" i="4" s="1"/>
  <c r="L47" i="4"/>
  <c r="AR47" i="4" s="1"/>
  <c r="M47" i="4"/>
  <c r="AN47" i="4" s="1"/>
  <c r="N47" i="4"/>
  <c r="O47" i="4"/>
  <c r="C48" i="4"/>
  <c r="D48" i="4"/>
  <c r="E48" i="4"/>
  <c r="F48" i="4"/>
  <c r="G48" i="4"/>
  <c r="AT48" i="4" s="1"/>
  <c r="H48" i="4"/>
  <c r="AQ48" i="4" s="1"/>
  <c r="I48" i="4"/>
  <c r="AM48" i="4" s="1"/>
  <c r="J48" i="4"/>
  <c r="AP48" i="4" s="1"/>
  <c r="K48" i="4"/>
  <c r="AU48" i="4" s="1"/>
  <c r="L48" i="4"/>
  <c r="AR48" i="4" s="1"/>
  <c r="M48" i="4"/>
  <c r="AN48" i="4" s="1"/>
  <c r="N48" i="4"/>
  <c r="O48" i="4"/>
  <c r="C49" i="4"/>
  <c r="D49" i="4"/>
  <c r="E49" i="4"/>
  <c r="F49" i="4"/>
  <c r="G49" i="4"/>
  <c r="AT49" i="4" s="1"/>
  <c r="H49" i="4"/>
  <c r="AQ49" i="4" s="1"/>
  <c r="I49" i="4"/>
  <c r="AM49" i="4" s="1"/>
  <c r="J49" i="4"/>
  <c r="AP49" i="4" s="1"/>
  <c r="K49" i="4"/>
  <c r="AU49" i="4" s="1"/>
  <c r="L49" i="4"/>
  <c r="AR49" i="4" s="1"/>
  <c r="M49" i="4"/>
  <c r="AN49" i="4" s="1"/>
  <c r="N49" i="4"/>
  <c r="O49" i="4"/>
  <c r="C50" i="4"/>
  <c r="D50" i="4"/>
  <c r="E50" i="4"/>
  <c r="F50" i="4"/>
  <c r="G50" i="4"/>
  <c r="AT50" i="4" s="1"/>
  <c r="H50" i="4"/>
  <c r="AQ50" i="4" s="1"/>
  <c r="I50" i="4"/>
  <c r="AM50" i="4" s="1"/>
  <c r="J50" i="4"/>
  <c r="AP50" i="4" s="1"/>
  <c r="K50" i="4"/>
  <c r="AU50" i="4" s="1"/>
  <c r="L50" i="4"/>
  <c r="AR50" i="4" s="1"/>
  <c r="M50" i="4"/>
  <c r="AN50" i="4" s="1"/>
  <c r="N50" i="4"/>
  <c r="O50" i="4"/>
  <c r="C51" i="4"/>
  <c r="D51" i="4"/>
  <c r="E51" i="4"/>
  <c r="F51" i="4"/>
  <c r="G51" i="4"/>
  <c r="AT51" i="4" s="1"/>
  <c r="H51" i="4"/>
  <c r="AQ51" i="4" s="1"/>
  <c r="I51" i="4"/>
  <c r="AM51" i="4" s="1"/>
  <c r="J51" i="4"/>
  <c r="AP51" i="4" s="1"/>
  <c r="K51" i="4"/>
  <c r="AU51" i="4" s="1"/>
  <c r="L51" i="4"/>
  <c r="AR51" i="4" s="1"/>
  <c r="M51" i="4"/>
  <c r="AN51" i="4" s="1"/>
  <c r="N51" i="4"/>
  <c r="O51" i="4"/>
  <c r="C52" i="4"/>
  <c r="D52" i="4"/>
  <c r="E52" i="4"/>
  <c r="F52" i="4"/>
  <c r="G52" i="4"/>
  <c r="AT52" i="4" s="1"/>
  <c r="H52" i="4"/>
  <c r="AQ52" i="4" s="1"/>
  <c r="I52" i="4"/>
  <c r="AM52" i="4" s="1"/>
  <c r="J52" i="4"/>
  <c r="AP52" i="4" s="1"/>
  <c r="K52" i="4"/>
  <c r="AU52" i="4" s="1"/>
  <c r="L52" i="4"/>
  <c r="AR52" i="4" s="1"/>
  <c r="M52" i="4"/>
  <c r="AN52" i="4" s="1"/>
  <c r="N52" i="4"/>
  <c r="O52" i="4"/>
  <c r="D5" i="4"/>
  <c r="F5" i="4"/>
  <c r="K5" i="4"/>
  <c r="AU5" i="4" s="1"/>
  <c r="L5" i="4"/>
  <c r="AR5" i="4" s="1"/>
  <c r="C6" i="4"/>
  <c r="D6" i="4"/>
  <c r="E6" i="4"/>
  <c r="AS6" i="4" s="1"/>
  <c r="F6" i="4"/>
  <c r="AO6" i="4" s="1"/>
  <c r="G6" i="4"/>
  <c r="AT6" i="4" s="1"/>
  <c r="H6" i="4"/>
  <c r="AQ6" i="4" s="1"/>
  <c r="I6" i="4"/>
  <c r="AM6" i="4" s="1"/>
  <c r="J6" i="4"/>
  <c r="AP6" i="4" s="1"/>
  <c r="K6" i="4"/>
  <c r="AU6" i="4" s="1"/>
  <c r="L6" i="4"/>
  <c r="AR6" i="4" s="1"/>
  <c r="M6" i="4"/>
  <c r="AN6" i="4" s="1"/>
  <c r="N6" i="4"/>
  <c r="O6" i="4"/>
  <c r="C7" i="4"/>
  <c r="D7" i="4"/>
  <c r="E7" i="4"/>
  <c r="AS7" i="4" s="1"/>
  <c r="F7" i="4"/>
  <c r="AO7" i="4" s="1"/>
  <c r="G7" i="4"/>
  <c r="AT7" i="4" s="1"/>
  <c r="H7" i="4"/>
  <c r="AQ7" i="4" s="1"/>
  <c r="I7" i="4"/>
  <c r="AM7" i="4" s="1"/>
  <c r="J7" i="4"/>
  <c r="AP7" i="4" s="1"/>
  <c r="K7" i="4"/>
  <c r="AU7" i="4" s="1"/>
  <c r="L7" i="4"/>
  <c r="AR7" i="4" s="1"/>
  <c r="M7" i="4"/>
  <c r="AN7" i="4" s="1"/>
  <c r="N7" i="4"/>
  <c r="O7" i="4"/>
  <c r="C8" i="4"/>
  <c r="D8" i="4"/>
  <c r="E8" i="4"/>
  <c r="AS8" i="4" s="1"/>
  <c r="F8" i="4"/>
  <c r="AO8" i="4" s="1"/>
  <c r="G8" i="4"/>
  <c r="AT8" i="4" s="1"/>
  <c r="H8" i="4"/>
  <c r="AQ8" i="4" s="1"/>
  <c r="I8" i="4"/>
  <c r="AM8" i="4" s="1"/>
  <c r="J8" i="4"/>
  <c r="AP8" i="4" s="1"/>
  <c r="K8" i="4"/>
  <c r="AU8" i="4" s="1"/>
  <c r="L8" i="4"/>
  <c r="AR8" i="4" s="1"/>
  <c r="M8" i="4"/>
  <c r="AN8" i="4" s="1"/>
  <c r="N8" i="4"/>
  <c r="O8" i="4"/>
  <c r="C9" i="4"/>
  <c r="D9" i="4"/>
  <c r="E9" i="4"/>
  <c r="AS9" i="4" s="1"/>
  <c r="F9" i="4"/>
  <c r="AO9" i="4" s="1"/>
  <c r="G9" i="4"/>
  <c r="AT9" i="4" s="1"/>
  <c r="H9" i="4"/>
  <c r="AQ9" i="4" s="1"/>
  <c r="I9" i="4"/>
  <c r="AM9" i="4" s="1"/>
  <c r="J9" i="4"/>
  <c r="AP9" i="4" s="1"/>
  <c r="K9" i="4"/>
  <c r="AU9" i="4" s="1"/>
  <c r="L9" i="4"/>
  <c r="AR9" i="4" s="1"/>
  <c r="M9" i="4"/>
  <c r="AN9" i="4" s="1"/>
  <c r="N9" i="4"/>
  <c r="O9" i="4"/>
  <c r="C10" i="4"/>
  <c r="D10" i="4"/>
  <c r="E10" i="4"/>
  <c r="AS10" i="4" s="1"/>
  <c r="F10" i="4"/>
  <c r="AO10" i="4" s="1"/>
  <c r="G10" i="4"/>
  <c r="AT10" i="4" s="1"/>
  <c r="H10" i="4"/>
  <c r="AQ10" i="4" s="1"/>
  <c r="I10" i="4"/>
  <c r="AM10" i="4" s="1"/>
  <c r="J10" i="4"/>
  <c r="AP10" i="4" s="1"/>
  <c r="K10" i="4"/>
  <c r="AU10" i="4" s="1"/>
  <c r="L10" i="4"/>
  <c r="AR10" i="4" s="1"/>
  <c r="M10" i="4"/>
  <c r="AN10" i="4" s="1"/>
  <c r="N10" i="4"/>
  <c r="O10" i="4"/>
  <c r="C11" i="4"/>
  <c r="D11" i="4"/>
  <c r="E11" i="4"/>
  <c r="AS11" i="4" s="1"/>
  <c r="F11" i="4"/>
  <c r="AO11" i="4" s="1"/>
  <c r="G11" i="4"/>
  <c r="AT11" i="4" s="1"/>
  <c r="H11" i="4"/>
  <c r="AQ11" i="4" s="1"/>
  <c r="I11" i="4"/>
  <c r="AM11" i="4" s="1"/>
  <c r="J11" i="4"/>
  <c r="AP11" i="4" s="1"/>
  <c r="K11" i="4"/>
  <c r="AU11" i="4" s="1"/>
  <c r="L11" i="4"/>
  <c r="AR11" i="4" s="1"/>
  <c r="M11" i="4"/>
  <c r="AN11" i="4" s="1"/>
  <c r="N11" i="4"/>
  <c r="O11" i="4"/>
  <c r="C12" i="4"/>
  <c r="D12" i="4"/>
  <c r="E12" i="4"/>
  <c r="AS12" i="4" s="1"/>
  <c r="F12" i="4"/>
  <c r="AO12" i="4" s="1"/>
  <c r="G12" i="4"/>
  <c r="AT12" i="4" s="1"/>
  <c r="H12" i="4"/>
  <c r="AQ12" i="4" s="1"/>
  <c r="I12" i="4"/>
  <c r="AM12" i="4" s="1"/>
  <c r="J12" i="4"/>
  <c r="AP12" i="4" s="1"/>
  <c r="K12" i="4"/>
  <c r="AU12" i="4" s="1"/>
  <c r="L12" i="4"/>
  <c r="AR12" i="4" s="1"/>
  <c r="M12" i="4"/>
  <c r="AN12" i="4" s="1"/>
  <c r="N12" i="4"/>
  <c r="O12" i="4"/>
  <c r="C13" i="4"/>
  <c r="D13" i="4"/>
  <c r="E13" i="4"/>
  <c r="F13" i="4"/>
  <c r="G13" i="4"/>
  <c r="AT13" i="4" s="1"/>
  <c r="H13" i="4"/>
  <c r="AQ13" i="4" s="1"/>
  <c r="I13" i="4"/>
  <c r="AM13" i="4" s="1"/>
  <c r="J13" i="4"/>
  <c r="AP13" i="4" s="1"/>
  <c r="K13" i="4"/>
  <c r="AU13" i="4" s="1"/>
  <c r="L13" i="4"/>
  <c r="AR13" i="4" s="1"/>
  <c r="M13" i="4"/>
  <c r="AN13" i="4" s="1"/>
  <c r="N13" i="4"/>
  <c r="O13" i="4"/>
  <c r="C14" i="4"/>
  <c r="D14" i="4"/>
  <c r="E14" i="4"/>
  <c r="F14" i="4"/>
  <c r="G14" i="4"/>
  <c r="AT14" i="4" s="1"/>
  <c r="H14" i="4"/>
  <c r="AQ14" i="4" s="1"/>
  <c r="I14" i="4"/>
  <c r="AM14" i="4" s="1"/>
  <c r="J14" i="4"/>
  <c r="AP14" i="4" s="1"/>
  <c r="K14" i="4"/>
  <c r="AU14" i="4" s="1"/>
  <c r="L14" i="4"/>
  <c r="AR14" i="4" s="1"/>
  <c r="M14" i="4"/>
  <c r="AN14" i="4" s="1"/>
  <c r="N14" i="4"/>
  <c r="O14" i="4"/>
  <c r="C15" i="4"/>
  <c r="D15" i="4"/>
  <c r="E15" i="4"/>
  <c r="F15" i="4"/>
  <c r="G15" i="4"/>
  <c r="AT15" i="4" s="1"/>
  <c r="H15" i="4"/>
  <c r="AQ15" i="4" s="1"/>
  <c r="I15" i="4"/>
  <c r="AM15" i="4" s="1"/>
  <c r="J15" i="4"/>
  <c r="AP15" i="4" s="1"/>
  <c r="K15" i="4"/>
  <c r="AU15" i="4" s="1"/>
  <c r="L15" i="4"/>
  <c r="AR15" i="4" s="1"/>
  <c r="M15" i="4"/>
  <c r="AN15" i="4" s="1"/>
  <c r="N15" i="4"/>
  <c r="O15" i="4"/>
  <c r="C16" i="4"/>
  <c r="D16" i="4"/>
  <c r="E16" i="4"/>
  <c r="F16" i="4"/>
  <c r="G16" i="4"/>
  <c r="AT16" i="4" s="1"/>
  <c r="H16" i="4"/>
  <c r="AQ16" i="4" s="1"/>
  <c r="I16" i="4"/>
  <c r="AM16" i="4" s="1"/>
  <c r="J16" i="4"/>
  <c r="AP16" i="4" s="1"/>
  <c r="K16" i="4"/>
  <c r="AU16" i="4" s="1"/>
  <c r="L16" i="4"/>
  <c r="AR16" i="4" s="1"/>
  <c r="M16" i="4"/>
  <c r="AN16" i="4" s="1"/>
  <c r="N16" i="4"/>
  <c r="O16" i="4"/>
  <c r="C17" i="4"/>
  <c r="D17" i="4"/>
  <c r="E17" i="4"/>
  <c r="F17" i="4"/>
  <c r="G17" i="4"/>
  <c r="AT17" i="4" s="1"/>
  <c r="H17" i="4"/>
  <c r="AQ17" i="4" s="1"/>
  <c r="I17" i="4"/>
  <c r="AM17" i="4" s="1"/>
  <c r="J17" i="4"/>
  <c r="AP17" i="4" s="1"/>
  <c r="K17" i="4"/>
  <c r="AU17" i="4" s="1"/>
  <c r="L17" i="4"/>
  <c r="AR17" i="4" s="1"/>
  <c r="M17" i="4"/>
  <c r="AN17" i="4" s="1"/>
  <c r="N17" i="4"/>
  <c r="O17" i="4"/>
  <c r="C18" i="4"/>
  <c r="D18" i="4"/>
  <c r="E18" i="4"/>
  <c r="F18" i="4"/>
  <c r="G18" i="4"/>
  <c r="AT18" i="4" s="1"/>
  <c r="H18" i="4"/>
  <c r="AQ18" i="4" s="1"/>
  <c r="I18" i="4"/>
  <c r="AM18" i="4" s="1"/>
  <c r="J18" i="4"/>
  <c r="AP18" i="4" s="1"/>
  <c r="K18" i="4"/>
  <c r="AU18" i="4" s="1"/>
  <c r="L18" i="4"/>
  <c r="AR18" i="4" s="1"/>
  <c r="M18" i="4"/>
  <c r="AN18" i="4" s="1"/>
  <c r="N18" i="4"/>
  <c r="O18" i="4"/>
  <c r="C19" i="4"/>
  <c r="D19" i="4"/>
  <c r="E19" i="4"/>
  <c r="F19" i="4"/>
  <c r="G19" i="4"/>
  <c r="AT19" i="4" s="1"/>
  <c r="H19" i="4"/>
  <c r="AQ19" i="4" s="1"/>
  <c r="I19" i="4"/>
  <c r="AM19" i="4" s="1"/>
  <c r="J19" i="4"/>
  <c r="AP19" i="4" s="1"/>
  <c r="K19" i="4"/>
  <c r="AU19" i="4" s="1"/>
  <c r="L19" i="4"/>
  <c r="AR19" i="4" s="1"/>
  <c r="M19" i="4"/>
  <c r="AN19" i="4" s="1"/>
  <c r="N19" i="4"/>
  <c r="O19" i="4"/>
  <c r="C20" i="4"/>
  <c r="D20" i="4"/>
  <c r="E20" i="4"/>
  <c r="F20" i="4"/>
  <c r="G20" i="4"/>
  <c r="AT20" i="4" s="1"/>
  <c r="H20" i="4"/>
  <c r="AQ20" i="4" s="1"/>
  <c r="I20" i="4"/>
  <c r="AM20" i="4" s="1"/>
  <c r="J20" i="4"/>
  <c r="AP20" i="4" s="1"/>
  <c r="K20" i="4"/>
  <c r="AU20" i="4" s="1"/>
  <c r="L20" i="4"/>
  <c r="AR20" i="4" s="1"/>
  <c r="M20" i="4"/>
  <c r="AN20" i="4" s="1"/>
  <c r="N20" i="4"/>
  <c r="O20" i="4"/>
  <c r="C21" i="4"/>
  <c r="D21" i="4"/>
  <c r="E21" i="4"/>
  <c r="F21" i="4"/>
  <c r="G21" i="4"/>
  <c r="AT21" i="4" s="1"/>
  <c r="H21" i="4"/>
  <c r="AQ21" i="4" s="1"/>
  <c r="I21" i="4"/>
  <c r="AM21" i="4" s="1"/>
  <c r="J21" i="4"/>
  <c r="AP21" i="4" s="1"/>
  <c r="K21" i="4"/>
  <c r="AU21" i="4" s="1"/>
  <c r="L21" i="4"/>
  <c r="AR21" i="4" s="1"/>
  <c r="M21" i="4"/>
  <c r="AN21" i="4" s="1"/>
  <c r="N21" i="4"/>
  <c r="O21" i="4"/>
  <c r="C22" i="4"/>
  <c r="D22" i="4"/>
  <c r="E22" i="4"/>
  <c r="F22" i="4"/>
  <c r="G22" i="4"/>
  <c r="AT22" i="4" s="1"/>
  <c r="H22" i="4"/>
  <c r="AQ22" i="4" s="1"/>
  <c r="I22" i="4"/>
  <c r="AM22" i="4" s="1"/>
  <c r="J22" i="4"/>
  <c r="AP22" i="4" s="1"/>
  <c r="K22" i="4"/>
  <c r="AU22" i="4" s="1"/>
  <c r="L22" i="4"/>
  <c r="AR22" i="4" s="1"/>
  <c r="M22" i="4"/>
  <c r="AN22" i="4" s="1"/>
  <c r="N22" i="4"/>
  <c r="O22" i="4"/>
  <c r="C23" i="4"/>
  <c r="D23" i="4"/>
  <c r="E23" i="4"/>
  <c r="F23" i="4"/>
  <c r="G23" i="4"/>
  <c r="AT23" i="4" s="1"/>
  <c r="H23" i="4"/>
  <c r="AQ23" i="4" s="1"/>
  <c r="I23" i="4"/>
  <c r="AM23" i="4" s="1"/>
  <c r="J23" i="4"/>
  <c r="AP23" i="4" s="1"/>
  <c r="K23" i="4"/>
  <c r="AU23" i="4" s="1"/>
  <c r="L23" i="4"/>
  <c r="AR23" i="4" s="1"/>
  <c r="M23" i="4"/>
  <c r="AN23" i="4" s="1"/>
  <c r="N23" i="4"/>
  <c r="O23" i="4"/>
  <c r="C24" i="4"/>
  <c r="D24" i="4"/>
  <c r="E24" i="4"/>
  <c r="F24" i="4"/>
  <c r="G24" i="4"/>
  <c r="AT24" i="4" s="1"/>
  <c r="H24" i="4"/>
  <c r="AQ24" i="4" s="1"/>
  <c r="I24" i="4"/>
  <c r="AM24" i="4" s="1"/>
  <c r="J24" i="4"/>
  <c r="AP24" i="4" s="1"/>
  <c r="K24" i="4"/>
  <c r="AU24" i="4" s="1"/>
  <c r="L24" i="4"/>
  <c r="AR24" i="4" s="1"/>
  <c r="M24" i="4"/>
  <c r="AN24" i="4" s="1"/>
  <c r="N24" i="4"/>
  <c r="O24" i="4"/>
  <c r="C25" i="4"/>
  <c r="D25" i="4"/>
  <c r="E25" i="4"/>
  <c r="F25" i="4"/>
  <c r="G25" i="4"/>
  <c r="AT25" i="4" s="1"/>
  <c r="H25" i="4"/>
  <c r="AQ25" i="4" s="1"/>
  <c r="I25" i="4"/>
  <c r="AM25" i="4" s="1"/>
  <c r="J25" i="4"/>
  <c r="AP25" i="4" s="1"/>
  <c r="K25" i="4"/>
  <c r="AU25" i="4" s="1"/>
  <c r="L25" i="4"/>
  <c r="AR25" i="4" s="1"/>
  <c r="M25" i="4"/>
  <c r="AN25" i="4" s="1"/>
  <c r="N25" i="4"/>
  <c r="O25" i="4"/>
  <c r="C26" i="4"/>
  <c r="D26" i="4"/>
  <c r="E26" i="4"/>
  <c r="F26" i="4"/>
  <c r="G26" i="4"/>
  <c r="AT26" i="4" s="1"/>
  <c r="H26" i="4"/>
  <c r="AQ26" i="4" s="1"/>
  <c r="I26" i="4"/>
  <c r="AM26" i="4" s="1"/>
  <c r="J26" i="4"/>
  <c r="AP26" i="4" s="1"/>
  <c r="K26" i="4"/>
  <c r="AU26" i="4" s="1"/>
  <c r="L26" i="4"/>
  <c r="AR26" i="4" s="1"/>
  <c r="M26" i="4"/>
  <c r="AN26" i="4" s="1"/>
  <c r="N26" i="4"/>
  <c r="O26" i="4"/>
  <c r="C27" i="4"/>
  <c r="D27" i="4"/>
  <c r="E27" i="4"/>
  <c r="F27" i="4"/>
  <c r="G27" i="4"/>
  <c r="AT27" i="4" s="1"/>
  <c r="H27" i="4"/>
  <c r="AQ27" i="4" s="1"/>
  <c r="I27" i="4"/>
  <c r="AM27" i="4" s="1"/>
  <c r="J27" i="4"/>
  <c r="AP27" i="4" s="1"/>
  <c r="K27" i="4"/>
  <c r="AU27" i="4" s="1"/>
  <c r="L27" i="4"/>
  <c r="AR27" i="4" s="1"/>
  <c r="M27" i="4"/>
  <c r="AN27" i="4" s="1"/>
  <c r="N27" i="4"/>
  <c r="O27" i="4"/>
  <c r="C28" i="4"/>
  <c r="D28" i="4"/>
  <c r="E28" i="4"/>
  <c r="F28" i="4"/>
  <c r="G28" i="4"/>
  <c r="AT28" i="4" s="1"/>
  <c r="H28" i="4"/>
  <c r="AQ28" i="4" s="1"/>
  <c r="I28" i="4"/>
  <c r="AM28" i="4" s="1"/>
  <c r="J28" i="4"/>
  <c r="AP28" i="4" s="1"/>
  <c r="K28" i="4"/>
  <c r="AU28" i="4" s="1"/>
  <c r="L28" i="4"/>
  <c r="AR28" i="4" s="1"/>
  <c r="M28" i="4"/>
  <c r="AN28" i="4" s="1"/>
  <c r="N28" i="4"/>
  <c r="O28" i="4"/>
  <c r="C29" i="4"/>
  <c r="D29" i="4"/>
  <c r="E29" i="4"/>
  <c r="F29" i="4"/>
  <c r="G29" i="4"/>
  <c r="AT29" i="4" s="1"/>
  <c r="H29" i="4"/>
  <c r="AQ29" i="4" s="1"/>
  <c r="I29" i="4"/>
  <c r="AM29" i="4" s="1"/>
  <c r="J29" i="4"/>
  <c r="AP29" i="4" s="1"/>
  <c r="K29" i="4"/>
  <c r="AU29" i="4" s="1"/>
  <c r="L29" i="4"/>
  <c r="AR29" i="4" s="1"/>
  <c r="M29" i="4"/>
  <c r="AN29" i="4" s="1"/>
  <c r="N29" i="4"/>
  <c r="O29" i="4"/>
  <c r="AO5" i="4" l="1"/>
  <c r="AS25" i="4"/>
  <c r="AS41" i="4"/>
  <c r="AS73" i="4"/>
  <c r="AS57" i="4"/>
  <c r="AS36" i="4"/>
  <c r="AS72" i="4"/>
  <c r="AS60" i="4"/>
  <c r="AS56" i="4"/>
  <c r="AS80" i="4"/>
  <c r="AS76" i="4"/>
  <c r="AS29" i="4"/>
  <c r="AS13" i="4"/>
  <c r="AS49" i="4"/>
  <c r="AS33" i="4"/>
  <c r="AS61" i="4"/>
  <c r="AS28" i="4"/>
  <c r="AS20" i="4"/>
  <c r="AS52" i="4"/>
  <c r="AS44" i="4"/>
  <c r="AS64" i="4"/>
  <c r="AS27" i="4"/>
  <c r="AS15" i="4"/>
  <c r="AS43" i="4"/>
  <c r="AS39" i="4"/>
  <c r="AS71" i="4"/>
  <c r="AS67" i="4"/>
  <c r="AS63" i="4"/>
  <c r="AS59" i="4"/>
  <c r="AS55" i="4"/>
  <c r="AS79" i="4"/>
  <c r="AS75" i="4"/>
  <c r="AS21" i="4"/>
  <c r="AS17" i="4"/>
  <c r="AS45" i="4"/>
  <c r="AS37" i="4"/>
  <c r="AS69" i="4"/>
  <c r="AS65" i="4"/>
  <c r="AS53" i="4"/>
  <c r="AS77" i="4"/>
  <c r="AS24" i="4"/>
  <c r="AS16" i="4"/>
  <c r="AS48" i="4"/>
  <c r="AS40" i="4"/>
  <c r="AS32" i="4"/>
  <c r="AS68" i="4"/>
  <c r="AS23" i="4"/>
  <c r="AS19" i="4"/>
  <c r="AS51" i="4"/>
  <c r="AS47" i="4"/>
  <c r="AS35" i="4"/>
  <c r="AS31" i="4"/>
  <c r="AS26" i="4"/>
  <c r="AS22" i="4"/>
  <c r="AS18" i="4"/>
  <c r="AS14" i="4"/>
  <c r="AS50" i="4"/>
  <c r="AS46" i="4"/>
  <c r="AS42" i="4"/>
  <c r="AS38" i="4"/>
  <c r="AS34" i="4"/>
  <c r="AS30" i="4"/>
  <c r="AS70" i="4"/>
  <c r="AS66" i="4"/>
  <c r="AS62" i="4"/>
  <c r="AS58" i="4"/>
  <c r="AS54" i="4"/>
  <c r="AS78" i="4"/>
  <c r="AS74" i="4"/>
  <c r="AO22" i="4"/>
  <c r="AO18" i="4"/>
  <c r="AO14" i="4"/>
  <c r="AO46" i="4"/>
  <c r="AO38" i="4"/>
  <c r="AO34" i="4"/>
  <c r="AO70" i="4"/>
  <c r="AO66" i="4"/>
  <c r="AO58" i="4"/>
  <c r="AO54" i="4"/>
  <c r="AO29" i="4"/>
  <c r="AO25" i="4"/>
  <c r="AO13" i="4"/>
  <c r="AO49" i="4"/>
  <c r="AO41" i="4"/>
  <c r="AO33" i="4"/>
  <c r="AO69" i="4"/>
  <c r="AO61" i="4"/>
  <c r="AO77" i="4"/>
  <c r="AO28" i="4"/>
  <c r="AO24" i="4"/>
  <c r="AO20" i="4"/>
  <c r="AO16" i="4"/>
  <c r="AO52" i="4"/>
  <c r="AO48" i="4"/>
  <c r="AO44" i="4"/>
  <c r="AO40" i="4"/>
  <c r="AO36" i="4"/>
  <c r="AO32" i="4"/>
  <c r="AO72" i="4"/>
  <c r="AO68" i="4"/>
  <c r="AO64" i="4"/>
  <c r="AO60" i="4"/>
  <c r="AO56" i="4"/>
  <c r="AO80" i="4"/>
  <c r="AO76" i="4"/>
  <c r="AO26" i="4"/>
  <c r="AO50" i="4"/>
  <c r="AO42" i="4"/>
  <c r="AO30" i="4"/>
  <c r="AO62" i="4"/>
  <c r="AO78" i="4"/>
  <c r="AO74" i="4"/>
  <c r="AO21" i="4"/>
  <c r="AO17" i="4"/>
  <c r="AO45" i="4"/>
  <c r="AO37" i="4"/>
  <c r="AO73" i="4"/>
  <c r="AO65" i="4"/>
  <c r="AO57" i="4"/>
  <c r="AO53" i="4"/>
  <c r="AO27" i="4"/>
  <c r="AO23" i="4"/>
  <c r="AO19" i="4"/>
  <c r="AO15" i="4"/>
  <c r="AO51" i="4"/>
  <c r="AO47" i="4"/>
  <c r="AO43" i="4"/>
  <c r="AO39" i="4"/>
  <c r="AO35" i="4"/>
  <c r="AO31" i="4"/>
  <c r="AO71" i="4"/>
  <c r="AO67" i="4"/>
  <c r="AO63" i="4"/>
  <c r="AO59" i="4"/>
  <c r="AO55" i="4"/>
  <c r="AO79" i="4"/>
  <c r="AO75" i="4"/>
  <c r="AN87" i="4"/>
  <c r="AM87" i="4"/>
  <c r="E4" i="4"/>
  <c r="AS4" i="4" s="1"/>
  <c r="D4" i="4" l="1"/>
  <c r="C4" i="4"/>
  <c r="AM84" i="4" l="1"/>
  <c r="AN84" i="4"/>
  <c r="AN83" i="4" l="1"/>
  <c r="AN82" i="4"/>
  <c r="AM83" i="4"/>
  <c r="AM82" i="4"/>
  <c r="AN85" i="4"/>
  <c r="AM81" i="4"/>
  <c r="AN81" i="4"/>
  <c r="AM85" i="4"/>
  <c r="AN88" i="4" l="1"/>
  <c r="AM88" i="4"/>
  <c r="Q88" i="4" l="1"/>
  <c r="R88" i="4"/>
  <c r="S88" i="4"/>
  <c r="T88" i="4"/>
  <c r="U88" i="4"/>
  <c r="C88" i="4"/>
  <c r="E88" i="4"/>
  <c r="AS88" i="4" s="1"/>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W88" i="4" l="1"/>
  <c r="AM4" i="4"/>
  <c r="AM86" i="4" s="1"/>
  <c r="AN4" i="4"/>
  <c r="AN86" i="4" s="1"/>
  <c r="AO4" i="4"/>
  <c r="AO88"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E87" i="4"/>
  <c r="AS87" i="4" s="1"/>
  <c r="R87" i="4"/>
  <c r="W77" i="4"/>
  <c r="W49" i="4"/>
  <c r="W65" i="4"/>
  <c r="W33" i="4"/>
  <c r="W17" i="4"/>
  <c r="W53" i="4"/>
  <c r="W37" i="4"/>
  <c r="W73" i="4"/>
  <c r="W25" i="4"/>
  <c r="W75" i="4"/>
  <c r="W71" i="4"/>
  <c r="W56" i="4"/>
  <c r="W34" i="4"/>
  <c r="W61" i="4"/>
  <c r="W57" i="4"/>
  <c r="W45" i="4"/>
  <c r="W41" i="4"/>
  <c r="W29" i="4"/>
  <c r="W14" i="4"/>
  <c r="W78" i="4"/>
  <c r="W59" i="4"/>
  <c r="W40" i="4"/>
  <c r="W18" i="4"/>
  <c r="W69" i="4"/>
  <c r="W21" i="4"/>
  <c r="W66" i="4"/>
  <c r="W43" i="4"/>
  <c r="W24" i="4"/>
  <c r="W72" i="4"/>
  <c r="W50" i="4"/>
  <c r="W27" i="4"/>
  <c r="W68" i="4"/>
  <c r="W62" i="4"/>
  <c r="W55" i="4"/>
  <c r="W52" i="4"/>
  <c r="W46" i="4"/>
  <c r="W39" i="4"/>
  <c r="W36" i="4"/>
  <c r="W30" i="4"/>
  <c r="W23" i="4"/>
  <c r="W20" i="4"/>
  <c r="W15" i="4"/>
  <c r="W80" i="4"/>
  <c r="W74" i="4"/>
  <c r="W67" i="4"/>
  <c r="W64" i="4"/>
  <c r="W58" i="4"/>
  <c r="W51" i="4"/>
  <c r="W48" i="4"/>
  <c r="W42" i="4"/>
  <c r="W35" i="4"/>
  <c r="W32" i="4"/>
  <c r="W26" i="4"/>
  <c r="W19" i="4"/>
  <c r="W16" i="4"/>
  <c r="W79" i="4"/>
  <c r="W76" i="4"/>
  <c r="W70" i="4"/>
  <c r="W63" i="4"/>
  <c r="W60" i="4"/>
  <c r="W54" i="4"/>
  <c r="W47" i="4"/>
  <c r="W44" i="4"/>
  <c r="W38" i="4"/>
  <c r="W31" i="4"/>
  <c r="W28" i="4"/>
  <c r="W22" i="4"/>
  <c r="W13" i="4"/>
  <c r="W11" i="4"/>
  <c r="W9" i="4"/>
  <c r="W7" i="4"/>
  <c r="W5" i="4"/>
  <c r="W12" i="4"/>
  <c r="W10" i="4"/>
  <c r="W8" i="4"/>
  <c r="W6" i="4"/>
  <c r="W87" i="4" l="1"/>
  <c r="AO86" i="4"/>
  <c r="AO87" i="4"/>
  <c r="U4" i="4"/>
  <c r="U86" i="4" s="1"/>
  <c r="T4" i="4"/>
  <c r="T86" i="4" s="1"/>
  <c r="S4" i="4"/>
  <c r="S86" i="4" s="1"/>
  <c r="R86" i="4"/>
  <c r="Q4" i="4"/>
  <c r="Q86" i="4" s="1"/>
  <c r="E86" i="4"/>
  <c r="AS86" i="4" s="1"/>
  <c r="C86" i="4"/>
  <c r="W86" i="4" l="1"/>
  <c r="D55" i="3"/>
  <c r="W4" i="4" l="1"/>
  <c r="P4" i="4"/>
  <c r="V4" i="4" s="1"/>
  <c r="P10" i="4"/>
  <c r="V10" i="4" s="1"/>
  <c r="P5" i="4"/>
  <c r="V5" i="4" s="1"/>
  <c r="P6" i="4"/>
  <c r="V6" i="4" s="1"/>
  <c r="P7" i="4"/>
  <c r="V7" i="4" s="1"/>
  <c r="P12" i="4"/>
  <c r="V12" i="4" s="1"/>
  <c r="P8" i="4"/>
  <c r="V8" i="4" s="1"/>
  <c r="P18" i="4"/>
  <c r="V18" i="4" s="1"/>
  <c r="P13" i="4"/>
  <c r="V13" i="4" s="1"/>
  <c r="P11" i="4"/>
  <c r="V11" i="4" s="1"/>
  <c r="P15" i="4"/>
  <c r="V15" i="4" s="1"/>
  <c r="P14" i="4"/>
  <c r="V14" i="4" s="1"/>
  <c r="P20" i="4"/>
  <c r="V20" i="4" s="1"/>
  <c r="P21" i="4"/>
  <c r="V21" i="4" s="1"/>
  <c r="P16" i="4"/>
  <c r="V16" i="4" s="1"/>
  <c r="P17" i="4"/>
  <c r="V17" i="4" s="1"/>
  <c r="P19" i="4"/>
  <c r="V19" i="4" s="1"/>
  <c r="P22" i="4"/>
  <c r="V22" i="4" s="1"/>
  <c r="P68" i="4"/>
  <c r="V68" i="4" s="1"/>
  <c r="P24" i="4"/>
  <c r="V24" i="4" s="1"/>
  <c r="P25" i="4"/>
  <c r="V25" i="4" s="1"/>
  <c r="P27" i="4"/>
  <c r="V27" i="4" s="1"/>
  <c r="P23" i="4"/>
  <c r="V23" i="4" s="1"/>
  <c r="P77" i="4"/>
  <c r="V77" i="4" s="1"/>
  <c r="P28" i="4"/>
  <c r="V28" i="4" s="1"/>
  <c r="P30" i="4"/>
  <c r="V30" i="4" s="1"/>
  <c r="P31" i="4"/>
  <c r="V31" i="4" s="1"/>
  <c r="P73" i="4"/>
  <c r="V73" i="4" s="1"/>
  <c r="P34" i="4"/>
  <c r="V34" i="4" s="1"/>
  <c r="P69" i="4"/>
  <c r="V69" i="4" s="1"/>
  <c r="P37" i="4"/>
  <c r="V37" i="4" s="1"/>
  <c r="P41" i="4"/>
  <c r="V41" i="4" s="1"/>
  <c r="P38" i="4"/>
  <c r="V38" i="4" s="1"/>
  <c r="P48" i="4"/>
  <c r="V48" i="4" s="1"/>
  <c r="P39" i="4"/>
  <c r="V39" i="4" s="1"/>
  <c r="P40" i="4"/>
  <c r="V40" i="4" s="1"/>
  <c r="P42" i="4"/>
  <c r="V42" i="4" s="1"/>
  <c r="P43" i="4"/>
  <c r="V43" i="4" s="1"/>
  <c r="P44" i="4"/>
  <c r="V44" i="4" s="1"/>
  <c r="P45" i="4"/>
  <c r="V45" i="4" s="1"/>
  <c r="P46" i="4"/>
  <c r="V46" i="4" s="1"/>
  <c r="P26" i="4"/>
  <c r="V26" i="4" s="1"/>
  <c r="P62" i="4"/>
  <c r="V62" i="4" s="1"/>
  <c r="P54" i="4"/>
  <c r="V54" i="4" s="1"/>
  <c r="P70" i="4"/>
  <c r="V70" i="4" s="1"/>
  <c r="P49" i="4"/>
  <c r="V49" i="4" s="1"/>
  <c r="P32" i="4"/>
  <c r="V32" i="4" s="1"/>
  <c r="P50" i="4"/>
  <c r="V50" i="4" s="1"/>
  <c r="P51" i="4"/>
  <c r="V51" i="4" s="1"/>
  <c r="P53" i="4"/>
  <c r="V53" i="4" s="1"/>
  <c r="P33" i="4"/>
  <c r="V33" i="4" s="1"/>
  <c r="P52" i="4"/>
  <c r="V52" i="4" s="1"/>
  <c r="P55" i="4"/>
  <c r="V55" i="4" s="1"/>
  <c r="P67" i="4"/>
  <c r="V67" i="4" s="1"/>
  <c r="P56" i="4"/>
  <c r="V56" i="4" s="1"/>
  <c r="P29" i="4"/>
  <c r="V29" i="4" s="1"/>
  <c r="P35" i="4"/>
  <c r="V35" i="4" s="1"/>
  <c r="P57" i="4"/>
  <c r="V57" i="4" s="1"/>
  <c r="P36" i="4"/>
  <c r="V36" i="4" s="1"/>
  <c r="P58" i="4"/>
  <c r="V58" i="4" s="1"/>
  <c r="P59" i="4"/>
  <c r="V59" i="4" s="1"/>
  <c r="P60" i="4"/>
  <c r="V60" i="4" s="1"/>
  <c r="P61" i="4"/>
  <c r="V61" i="4" s="1"/>
  <c r="P63" i="4"/>
  <c r="V63" i="4" s="1"/>
  <c r="P64" i="4"/>
  <c r="V64" i="4" s="1"/>
  <c r="P65" i="4"/>
  <c r="V65" i="4" s="1"/>
  <c r="P47" i="4"/>
  <c r="V47" i="4" s="1"/>
  <c r="P66" i="4"/>
  <c r="V66" i="4" s="1"/>
  <c r="P71" i="4"/>
  <c r="V71" i="4" s="1"/>
  <c r="P72" i="4"/>
  <c r="V72" i="4" s="1"/>
  <c r="P74" i="4"/>
  <c r="V74" i="4" s="1"/>
  <c r="P75" i="4"/>
  <c r="V75" i="4" s="1"/>
  <c r="P76" i="4"/>
  <c r="V76" i="4" s="1"/>
  <c r="P78" i="4"/>
  <c r="V78" i="4" s="1"/>
  <c r="P79" i="4"/>
  <c r="V79" i="4" s="1"/>
  <c r="P80" i="4"/>
  <c r="V80" i="4" s="1"/>
  <c r="C16" i="2" l="1"/>
  <c r="C36" i="1"/>
  <c r="C25" i="1"/>
  <c r="C53" i="1"/>
  <c r="C45" i="1"/>
  <c r="C26" i="1"/>
  <c r="C51" i="1"/>
  <c r="C39" i="1"/>
  <c r="C42" i="1"/>
  <c r="C34" i="1"/>
  <c r="C50" i="1"/>
  <c r="C14" i="2"/>
  <c r="C13" i="2"/>
  <c r="C15" i="2"/>
  <c r="C47" i="1"/>
  <c r="C28" i="1"/>
  <c r="C32" i="1"/>
  <c r="C27" i="1"/>
  <c r="P88" i="4"/>
  <c r="V88" i="4" s="1"/>
  <c r="P87" i="4"/>
  <c r="V87" i="4" s="1"/>
  <c r="P9" i="4"/>
  <c r="V9" i="4" s="1"/>
  <c r="A1" i="3"/>
  <c r="A1" i="2"/>
  <c r="A1" i="1"/>
  <c r="P86" i="4" l="1"/>
  <c r="C49" i="1"/>
  <c r="C38" i="1"/>
  <c r="C40" i="1"/>
  <c r="C43" i="1"/>
  <c r="C48" i="1"/>
  <c r="C10" i="2"/>
  <c r="C8" i="2"/>
  <c r="C6" i="2"/>
  <c r="C52" i="1"/>
  <c r="C33" i="1"/>
  <c r="C9" i="2"/>
  <c r="C37" i="1"/>
  <c r="C5" i="1"/>
  <c r="C41" i="1"/>
  <c r="C44" i="1"/>
  <c r="C35" i="1"/>
  <c r="C46" i="1"/>
  <c r="C58" i="1"/>
  <c r="C11" i="2"/>
  <c r="C59" i="1"/>
  <c r="C17" i="2"/>
  <c r="C12" i="2"/>
  <c r="B9" i="5"/>
  <c r="F53" i="1" s="1"/>
  <c r="E14" i="1" l="1"/>
  <c r="E25" i="1" s="1"/>
  <c r="F51" i="1"/>
  <c r="F50" i="1"/>
  <c r="F46" i="1"/>
  <c r="F42" i="1"/>
  <c r="E38" i="1"/>
  <c r="E34" i="1"/>
  <c r="F16" i="1"/>
  <c r="E12" i="1"/>
  <c r="F49" i="1"/>
  <c r="F45" i="1"/>
  <c r="E41" i="1"/>
  <c r="E37" i="1"/>
  <c r="E33" i="1"/>
  <c r="F19" i="1"/>
  <c r="F15" i="1"/>
  <c r="D64" i="3" s="1"/>
  <c r="E11" i="1"/>
  <c r="F48" i="1"/>
  <c r="F44" i="1"/>
  <c r="E40" i="1"/>
  <c r="E36" i="1"/>
  <c r="E32" i="1"/>
  <c r="D67" i="3" s="1"/>
  <c r="F18" i="1"/>
  <c r="E10" i="1"/>
  <c r="F47" i="1"/>
  <c r="F43" i="1"/>
  <c r="D66" i="3" s="1"/>
  <c r="E39" i="1"/>
  <c r="E35" i="1"/>
  <c r="F17" i="1"/>
  <c r="E13" i="1"/>
  <c r="D41" i="3"/>
  <c r="D42" i="3"/>
  <c r="D38" i="3"/>
  <c r="D39" i="3"/>
  <c r="D40" i="3"/>
  <c r="D12" i="3" l="1"/>
  <c r="G22" i="3"/>
  <c r="G14" i="3"/>
  <c r="D22" i="3"/>
  <c r="F52" i="1"/>
  <c r="F54" i="1" s="1"/>
  <c r="F27" i="1"/>
  <c r="G18" i="3"/>
  <c r="D14" i="3"/>
  <c r="D18" i="3"/>
  <c r="G12" i="3"/>
  <c r="E54" i="1"/>
  <c r="J54" i="1" l="1"/>
  <c r="E11" i="2"/>
  <c r="E26" i="1"/>
  <c r="F28" i="1"/>
  <c r="G15" i="2" s="1"/>
  <c r="E12" i="2"/>
  <c r="E17" i="2"/>
  <c r="G9" i="2"/>
  <c r="J18" i="3"/>
  <c r="E9" i="2"/>
  <c r="J14" i="3"/>
  <c r="D26" i="3"/>
  <c r="J12" i="3"/>
  <c r="G26" i="3"/>
  <c r="J22" i="3"/>
  <c r="D43" i="3"/>
  <c r="G13" i="2" l="1"/>
  <c r="G17" i="2"/>
  <c r="G14" i="2"/>
  <c r="G11" i="2"/>
  <c r="E29" i="1"/>
  <c r="E16" i="2"/>
  <c r="E15" i="2"/>
  <c r="I15" i="2" s="1"/>
  <c r="G16" i="2"/>
  <c r="F29" i="1"/>
  <c r="G10" i="2"/>
  <c r="G8" i="2"/>
  <c r="E8" i="2"/>
  <c r="E10" i="2"/>
  <c r="E13" i="2"/>
  <c r="E14" i="2"/>
  <c r="J23" i="3"/>
  <c r="D68" i="3"/>
  <c r="I14" i="2" l="1"/>
  <c r="I13" i="2"/>
  <c r="I16" i="2"/>
  <c r="I10" i="2"/>
  <c r="I11" i="2" l="1"/>
  <c r="I8" i="2"/>
  <c r="I17" i="2"/>
  <c r="E60" i="1"/>
  <c r="I9" i="2"/>
  <c r="F59" i="1"/>
  <c r="G12" i="2" s="1"/>
  <c r="F60" i="1" l="1"/>
  <c r="I12" i="2"/>
  <c r="E18" i="2"/>
  <c r="I18" i="2" l="1"/>
  <c r="G18" i="2"/>
</calcChain>
</file>

<file path=xl/sharedStrings.xml><?xml version="1.0" encoding="utf-8"?>
<sst xmlns="http://schemas.openxmlformats.org/spreadsheetml/2006/main" count="1672" uniqueCount="893">
  <si>
    <t>Debit</t>
  </si>
  <si>
    <t>Credit</t>
  </si>
  <si>
    <t>Entry</t>
  </si>
  <si>
    <t>Notes</t>
  </si>
  <si>
    <t>Totals</t>
  </si>
  <si>
    <t>of Resources</t>
  </si>
  <si>
    <t>Deferred Outflows</t>
  </si>
  <si>
    <t>Deferred Inflows</t>
  </si>
  <si>
    <t xml:space="preserve">Difference between actual and </t>
  </si>
  <si>
    <t>expected experience</t>
  </si>
  <si>
    <t>Net difference between projected and</t>
  </si>
  <si>
    <t xml:space="preserve">Contributions subsequent to the </t>
  </si>
  <si>
    <t>measurement date</t>
  </si>
  <si>
    <t>Total</t>
  </si>
  <si>
    <t>Sub</t>
  </si>
  <si>
    <t>Calculated</t>
  </si>
  <si>
    <t>(f)</t>
  </si>
  <si>
    <t>(b1)</t>
  </si>
  <si>
    <t>(b2)</t>
  </si>
  <si>
    <t>Change in proportion and differences</t>
  </si>
  <si>
    <t>between agency's contributions and</t>
  </si>
  <si>
    <t>proportionate share of contributions</t>
  </si>
  <si>
    <t>Rounding</t>
  </si>
  <si>
    <t>Description</t>
  </si>
  <si>
    <t>Difference between expected/actual experience</t>
  </si>
  <si>
    <t>Change in proportion; contributions during measurement period</t>
  </si>
  <si>
    <t>Difference between projected/actual investment earnings</t>
  </si>
  <si>
    <t>1)</t>
  </si>
  <si>
    <t>2)</t>
  </si>
  <si>
    <t>Year ended June 30:</t>
  </si>
  <si>
    <t>Net Deferred</t>
  </si>
  <si>
    <t>3)</t>
  </si>
  <si>
    <t>Deferred Outflow Amount</t>
  </si>
  <si>
    <t>Agency Num</t>
  </si>
  <si>
    <t>Agency Name</t>
  </si>
  <si>
    <t>Total Contributions</t>
  </si>
  <si>
    <t>N C SCHOOL OF SCIENCE &amp; MATHEMATICS</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</si>
  <si>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</si>
  <si>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</si>
  <si>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</si>
  <si>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</si>
  <si>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</si>
  <si>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</si>
  <si>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</si>
  <si>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</si>
  <si>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</si>
  <si>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</si>
  <si>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</si>
  <si>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 HEALTH CARE SYSTEM</t>
  </si>
  <si>
    <t>WESTERN CAROLINA UNIVERSITY</t>
  </si>
  <si>
    <t>WINSTON-SALEM STATE UNIVERSITY</t>
  </si>
  <si>
    <t>UNIVERSITY OF NORTH CAROLINA AT ASHEVILLE</t>
  </si>
  <si>
    <t>UNIVERSITY OF NORTH CAROLINA AT CHARLOTTE</t>
  </si>
  <si>
    <t>UNIVERSITY OF NORTH CAROLINA AT WILMINGTON</t>
  </si>
  <si>
    <t>ALAMANCE COMMUNITY COLLEGE</t>
  </si>
  <si>
    <t>SOUTH PIEDMONT COMMUNITY COLLEGE</t>
  </si>
  <si>
    <t>BEAUFORT COUNTY COMMUNITY COLLEGE</t>
  </si>
  <si>
    <t>BLADEN COMMUNITY COLLEGE</t>
  </si>
  <si>
    <t>BRUNSWICK COMMUNITY COLLEGE</t>
  </si>
  <si>
    <t>ASHEVILLE-BUNCOMBE TECHNICAL COLLEGE</t>
  </si>
  <si>
    <t>WESTERN PIEDMONT COMM COLLEGE</t>
  </si>
  <si>
    <t>CALDWELL COMMUNITY COLLEGE</t>
  </si>
  <si>
    <t>CARTERET COMMUNITY COLLEGE</t>
  </si>
  <si>
    <t>CATAWBA VALLEY COMMUNITY COLLEGE</t>
  </si>
  <si>
    <t>TRI-COUNTY COMMUNITY COLLEGE</t>
  </si>
  <si>
    <t>CLEVELAND TECHNICAL COLLEGE</t>
  </si>
  <si>
    <t>SOUTHEASTERN COMMUNITY COLLEGE</t>
  </si>
  <si>
    <t>CRAVEN COMMUNITY COLLEGE</t>
  </si>
  <si>
    <t>FAYETTEVILLE TECHNICAL COMMUNITY COLLEGE</t>
  </si>
  <si>
    <t>DAVIDSON COUNTY COMMUNITY COLLEGE</t>
  </si>
  <si>
    <t>JAMES SPRUNT TECHNICAL COLLEGE</t>
  </si>
  <si>
    <t>DURHAM TECHNICAL INSTITUTE</t>
  </si>
  <si>
    <t>EDGECOMBE TECHNICAL COLLEGE</t>
  </si>
  <si>
    <t>FORSYTH TECHNICAL INSTITUTE</t>
  </si>
  <si>
    <t>GASTON COLLEGE</t>
  </si>
  <si>
    <t>GUILFORD TECHNICAL COMMUNITY COLLEGE</t>
  </si>
  <si>
    <t>HALIFAX COMMUNITY COLLEGE</t>
  </si>
  <si>
    <t>HAYWOOD TECHNICAL COLLEGE</t>
  </si>
  <si>
    <t>BLUE RIDGE COMMUNITY COLLEGE</t>
  </si>
  <si>
    <t>ROANOKE-CHOWAN COMMUNITY COLLEGE</t>
  </si>
  <si>
    <t>MITCHELL COMMUNITY COLLEGE</t>
  </si>
  <si>
    <t>SOUTHWESTERN COMMUNITY COLLEGE</t>
  </si>
  <si>
    <t>JOHNSTON TECHNICAL COLLEGE</t>
  </si>
  <si>
    <t>CENTRAL CAROLINA COMMUNITY COLLEGE</t>
  </si>
  <si>
    <t>LENOIR COUNTY COMMUNITY COLLEGE</t>
  </si>
  <si>
    <t>MARTIN COMMUNITY COLLEGE</t>
  </si>
  <si>
    <t>MCDOWELL TECHNICAL COLLEGE</t>
  </si>
  <si>
    <t>CENTRAL PIEDMONT COMMUNITY COLLEGE</t>
  </si>
  <si>
    <t>MAYLAND TECHNICAL COLLEGE</t>
  </si>
  <si>
    <t>MONTGOMERY COMMUNITY COLLEGE</t>
  </si>
  <si>
    <t>SANDHILLS COMMUNITY COLLEGE</t>
  </si>
  <si>
    <t>NASH TECHNICAL COLLEGE</t>
  </si>
  <si>
    <t>CAPE FEAR COMMUNITY COLLEGE</t>
  </si>
  <si>
    <t>COASTAL CAROLINA COMMUNITY COLLEGE</t>
  </si>
  <si>
    <t>PAMLICO COMMUNITY COLLEGE</t>
  </si>
  <si>
    <t>COLLEGE OF THE ALBEMARLE</t>
  </si>
  <si>
    <t>PIEDMONT COMMUNITY COLLEGE</t>
  </si>
  <si>
    <t>PITT COMMUNITY COLLEGE</t>
  </si>
  <si>
    <t>RANDOLPH COMMUNITY COLLEGE</t>
  </si>
  <si>
    <t>RICHMOND TECHNICAL COLLEGE</t>
  </si>
  <si>
    <t>ROBESON COMMUNITY COLLEGE</t>
  </si>
  <si>
    <t>ROCKINGHAM COMMUNITY COLLEGE</t>
  </si>
  <si>
    <t>ROWAN-CABARRUS COMMUNITY COLLEGE</t>
  </si>
  <si>
    <t>ISOTHERMAL COMMUNITY COLLEGE</t>
  </si>
  <si>
    <t>SAMPSON COMMUNITY COLLEGE</t>
  </si>
  <si>
    <t>STANLY COMMUNITY COLLEGE</t>
  </si>
  <si>
    <t>SURRY COMMUNITY COLLEGE</t>
  </si>
  <si>
    <t>VANCE-GRANVILLE COMMUNITY COLLEGE</t>
  </si>
  <si>
    <t>WAKE TECHNICAL COLLEGE</t>
  </si>
  <si>
    <t>WAYNE COMMUNITY COLLEGE</t>
  </si>
  <si>
    <t>WILKES COMMUNITY COLLEGE</t>
  </si>
  <si>
    <t>WILSON COMMUNITY COLLEGE</t>
  </si>
  <si>
    <t>NC HOUSING FINANCE AGENCY</t>
  </si>
  <si>
    <t>Deferred Inflows Of Resources</t>
  </si>
  <si>
    <t>Pension Expense</t>
  </si>
  <si>
    <t>Changes In Proportion And Differences Between Employer Contributions And Proportional Share Of Contributions</t>
  </si>
  <si>
    <t>Differences Between Expected And Actual Experience</t>
  </si>
  <si>
    <t>Net Difference Between Projected And Actual Investment Earnings On Plan Investments</t>
  </si>
  <si>
    <t>Proportional Share Of Pension Expense</t>
  </si>
  <si>
    <t>Net Amortization Of Deferred Amounts From Changes In Proportion And Differences Between Employer Contributions And Proportional Share Of Contributions</t>
  </si>
  <si>
    <t>Total Employer Pension Expense</t>
  </si>
  <si>
    <t>Amortization</t>
  </si>
  <si>
    <t>Amortization Rounding Adjustment</t>
  </si>
  <si>
    <t>4)</t>
  </si>
  <si>
    <t>Additions</t>
  </si>
  <si>
    <t>Liability</t>
  </si>
  <si>
    <t>Changes in Long-term Liabilities (Worksheet 310)</t>
  </si>
  <si>
    <t>Restatement–net position</t>
  </si>
  <si>
    <t>Number</t>
  </si>
  <si>
    <t>Deferred Outflows Of Resources</t>
  </si>
  <si>
    <t>Changes Of Assumptions</t>
  </si>
  <si>
    <t>TOTAL Recognition of Deferred (Inflows)/Outflows</t>
  </si>
  <si>
    <t>Changes of assumptions</t>
  </si>
  <si>
    <t>d25 above</t>
  </si>
  <si>
    <t>Rounded, if necessary</t>
  </si>
  <si>
    <t>(b1) and (b2)</t>
  </si>
  <si>
    <t>Entity</t>
  </si>
  <si>
    <t>CURRENT FISCAL YEAR ENTRIES</t>
  </si>
  <si>
    <t>After Measurement Date (MANUAL ENTRY)</t>
  </si>
  <si>
    <t>investments (see note below)</t>
  </si>
  <si>
    <t>Choose Your Agency:</t>
  </si>
  <si>
    <t>Account Name</t>
  </si>
  <si>
    <t>Debit (Credit)</t>
  </si>
  <si>
    <t>13th Period</t>
  </si>
  <si>
    <r>
      <t>Deletions</t>
    </r>
    <r>
      <rPr>
        <i/>
        <sz val="10"/>
        <rFont val="Arial"/>
        <family val="2"/>
      </rPr>
      <t xml:space="preserve"> (see Note 1)</t>
    </r>
  </si>
  <si>
    <t xml:space="preserve">Recognized in </t>
  </si>
  <si>
    <t>Amount to be</t>
  </si>
  <si>
    <t>Employer Balances of Deferred Outflows of Resources and Deferred Inflows of</t>
  </si>
  <si>
    <t>Schedule of the Net Amount of the Employer's Balances of Deferred Outflows of</t>
  </si>
  <si>
    <t>Resources and Deferred Inflows of Resources That will be Recognized in</t>
  </si>
  <si>
    <t>Amount of the Employer's Balance of Deferred Outflows of Resources That will be</t>
  </si>
  <si>
    <t>Prior year adjustments</t>
  </si>
  <si>
    <r>
      <t xml:space="preserve">Due within one year </t>
    </r>
    <r>
      <rPr>
        <i/>
        <sz val="10"/>
        <rFont val="Arial"/>
        <family val="2"/>
      </rPr>
      <t>(see Note 2)</t>
    </r>
  </si>
  <si>
    <t>Entry, Net</t>
  </si>
  <si>
    <t>Calculated by OSC</t>
  </si>
  <si>
    <t>See entry #1 above</t>
  </si>
  <si>
    <t>Colleague</t>
  </si>
  <si>
    <t>Entity Type:</t>
  </si>
  <si>
    <t>TOTAL UNC SYSTEM</t>
  </si>
  <si>
    <t>TOTAL COMMUNITY COLLEGES</t>
  </si>
  <si>
    <t>TOTAL OTHER COMPONENT UNITS</t>
  </si>
  <si>
    <t>STATE EDUCATION ASSISTANCE AUTHORITY</t>
  </si>
  <si>
    <t>Component Units</t>
  </si>
  <si>
    <t>Employer Number</t>
  </si>
  <si>
    <t>Employer</t>
  </si>
  <si>
    <t>Employer Name</t>
  </si>
  <si>
    <t>OSA's Audit Report</t>
  </si>
  <si>
    <t>STATE HEALTH PLAN</t>
  </si>
  <si>
    <t>NC STATE PORTS AUTHORITY</t>
  </si>
  <si>
    <t>NC GLOBAL TRANSPARK AUTHORITY</t>
  </si>
  <si>
    <t>Present Value Of Future Salary Allocation</t>
  </si>
  <si>
    <t>Net Deferred Outflow</t>
  </si>
  <si>
    <t>Net Deferred Inflow</t>
  </si>
  <si>
    <t>BEGINNING BALANCES (FORMULAS)</t>
  </si>
  <si>
    <t>Miscellaneous expense</t>
  </si>
  <si>
    <t>Miscellaneous income</t>
  </si>
  <si>
    <t>Reversal of beginning deferred outflow balance – per actuary</t>
  </si>
  <si>
    <t>Adjustment for PY Contributions (FORMULAS)</t>
  </si>
  <si>
    <t>Needed for account numbers (NCAS/Colleague). Hidden on Summary Tab (columns Q/R). In Lookup formula, column number on data tab plus 1.</t>
  </si>
  <si>
    <t>&lt;&lt; Click to see a list of agencies (sorted by agency type).</t>
  </si>
  <si>
    <t>(d1), (d2), and (d3)</t>
  </si>
  <si>
    <t>(a1) and (a2)</t>
  </si>
  <si>
    <t>(a1)</t>
  </si>
  <si>
    <t>(a2)</t>
  </si>
  <si>
    <t>(c)</t>
  </si>
  <si>
    <t>(d1)</t>
  </si>
  <si>
    <t>(d2)</t>
  </si>
  <si>
    <t>(d3)</t>
  </si>
  <si>
    <t>(e)</t>
  </si>
  <si>
    <t>See Summary tab, Note 1</t>
  </si>
  <si>
    <t>Note: This template was developed by the NC Office of the State Controller. If you have</t>
  </si>
  <si>
    <t>Not Needed</t>
  </si>
  <si>
    <t>Note:</t>
  </si>
  <si>
    <t>Deferred outflows for OPEB</t>
  </si>
  <si>
    <t>Net OPEB liability</t>
  </si>
  <si>
    <t>Deferred inflows for OPEB</t>
  </si>
  <si>
    <t>Beginning net OPEB liability</t>
  </si>
  <si>
    <t>Deferred outflow for OPEB</t>
  </si>
  <si>
    <t>Change in OPEB Amounts (FORMULAS)</t>
  </si>
  <si>
    <t>OPEB expense</t>
  </si>
  <si>
    <t>Net OPEB liability–noncurrent</t>
  </si>
  <si>
    <t>(To record changes in the net OPEB liability, deferred outflows/inflows of resources</t>
  </si>
  <si>
    <t>for OPEB, OPEB expense, and reversal of deferred outflow in entry 1)</t>
  </si>
  <si>
    <t xml:space="preserve">(To record OPEB contributions after the measurement date) </t>
  </si>
  <si>
    <t>Change in net OPEB liability recognized immediately</t>
  </si>
  <si>
    <t>Change in the net OPEB liability</t>
  </si>
  <si>
    <t>Differences between expected and actual experience with regard to economic and demographic factors in the measurement of the total OPEB liability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</si>
  <si>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Experience gains represent actual experience that increases the total OPEB liability less than projected or decreases the total OPEB liability greater than projected. These amounts result in decreases in OPEB expense and increases in deferred inflows of resources. (Implementation Guide No. 2017-3, page 181)</t>
  </si>
  <si>
    <t>The difference between projected and actual earnings on OPEB plan investments should be included in collective OPEB expense using a systematic and rational method over a closed five-year period, beginning in the current measurement period. The amount not included in collective OPEB expense should be included in collective deferred outflows of resources or deferred inflows of resources related to OPEB.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t>
  </si>
  <si>
    <t>Investment returns that are greater than projected decrease OPEB expense and increase deferred inflows of resources.</t>
  </si>
  <si>
    <t>Changes of assumptions about future economic or demographic factors or of other inputs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</si>
  <si>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If there is a change in the employer’s proportion of the collective net OPEB liability since the prior measurement date, the net effect of that change on the employer’s proportionate shares of the collective net OPEB liability and collective deferred outflows of resources and deferred inflows of resources related to OPEB, determined as of the beginning of the measurement period,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64)</t>
  </si>
  <si>
    <t>If the employer's actual contributions exceed its proportionate share of total contributions, the difference increases OPEB expense and results in a deferred outflow of resources. (Implementation Guide No. 2017-3, page 192)</t>
  </si>
  <si>
    <t>Contributions to the OPEB plan from the employer subsequent to the measurement date of the collective net OPEB liability and before the end of the employer’s reporting period should be reported as a deferred outflow of resources related to OPEB. (GASB 75, paragraph 68)</t>
  </si>
  <si>
    <t>Components of collective OPEB expense include—service cost, interest on the total OPEB liability, effect of changes in benefit terms, projected investment income, employee contributions, expensed portions of deferred outflows/inflows of resources related to OPEB, plan administrative expense, and other changes in fiduciary net position. Contributions from employers or nonemployer contributing entities should not be included in OPEB expense. (GASB 75, paragraph 86)</t>
  </si>
  <si>
    <t>For contributions to the OPEB plan other than those to separately finance specific liabilities of an individual employer or nonemployer contributing entity to the OPEB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65)</t>
  </si>
  <si>
    <t>Resources Related to OPEB by Classification:</t>
  </si>
  <si>
    <t>OPEB Expense</t>
  </si>
  <si>
    <t>actual earnings on OPEB plan</t>
  </si>
  <si>
    <r>
      <rPr>
        <i/>
        <u/>
        <sz val="10"/>
        <rFont val="Arial"/>
        <family val="2"/>
      </rPr>
      <t>Note</t>
    </r>
    <r>
      <rPr>
        <i/>
        <sz val="10"/>
        <rFont val="Arial"/>
        <family val="2"/>
      </rPr>
      <t>: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 and 96h(3))</t>
    </r>
  </si>
  <si>
    <t>Source: GASB 75, paragraph 96h(1) thru (5)</t>
  </si>
  <si>
    <t>OPEB Expense:</t>
  </si>
  <si>
    <t>Note: negative amounts indicate amortization of OPEB deferrals that will decrease</t>
  </si>
  <si>
    <t>OPEB expense.</t>
  </si>
  <si>
    <t>Source: GASB 75, paragraph 96i(1)</t>
  </si>
  <si>
    <t>Included as a Reduction of the Net OPEB Liability in the Fiscal Year Ended</t>
  </si>
  <si>
    <t>Source: GASB 75, paragraph 96i(2)</t>
  </si>
  <si>
    <t>Net OPEB</t>
  </si>
  <si>
    <r>
      <rPr>
        <i/>
        <u/>
        <sz val="10"/>
        <rFont val="Arial"/>
        <family val="2"/>
      </rPr>
      <t>Note 1</t>
    </r>
    <r>
      <rPr>
        <i/>
        <sz val="10"/>
        <rFont val="Arial"/>
        <family val="2"/>
      </rPr>
      <t>: Employers should disclose the net change amount (instead of both additions and deletions) and reference that more information on the net OPEB liability is available in the separate note on OPEB plans. Since the amount reported is the employer’s proportionate share of the collective net OPEB liability, additions and deletions are not relevant for this disclosure. The collective net OPEB liability equals the total OPEB liability for the OPEB plan, net of the plan’s fiduciary net position.</t>
    </r>
  </si>
  <si>
    <r>
      <rPr>
        <i/>
        <u/>
        <sz val="10"/>
        <rFont val="Arial"/>
        <family val="2"/>
      </rPr>
      <t>Note 2</t>
    </r>
    <r>
      <rPr>
        <i/>
        <sz val="10"/>
        <rFont val="Arial"/>
        <family val="2"/>
      </rPr>
      <t>: If the employer reports a net OPEB liability under Statement 75, the amount of the net OPEB liability that is “due” within one year is the amount of benefit payments expected to be paid within one year, net of the OPEB plan’s fiduciary net position available to pay that amount. Therefore, there would be no amount that is “due” within one year unless the OPEB plan’s fiduciary net position is less than the amount of benefit payments expected to be paid within one year. (Comprehensive Implementation Guide, 7.22.6)</t>
    </r>
  </si>
  <si>
    <t>GASB 75 Template – RHBF</t>
  </si>
  <si>
    <t>RHBF Number:</t>
  </si>
  <si>
    <t>GASB 75 Journal Entries – RHBF</t>
  </si>
  <si>
    <t>RHBF contributions</t>
  </si>
  <si>
    <t xml:space="preserve">Calculated by multiplying the covered payroll for RHBF (on an accrual basis) </t>
  </si>
  <si>
    <t>GASB 75 Disclosures – RHBF</t>
  </si>
  <si>
    <t>Changes of Assumptions</t>
  </si>
  <si>
    <t>Net OPEB Liability</t>
  </si>
  <si>
    <t>NOPEBL Rounding Adjustment</t>
  </si>
  <si>
    <t>Total Employer OPEB Expense</t>
  </si>
  <si>
    <t>Proportional Share Of OPEB Expense</t>
  </si>
  <si>
    <t>NORTH CAROLINA BOARD OF OPTICIANS</t>
  </si>
  <si>
    <t>THE NORTH CAROLINA LEADERSHIP ACADEMY</t>
  </si>
  <si>
    <t>At the beginning of the period in which the provisions of Statement 75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OPEB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OPEB should be recognized. (GASB 71, paragraph 3)</t>
  </si>
  <si>
    <t>**check asset/liability account depending on whether it's an asset or liability</t>
  </si>
  <si>
    <t>NORTH CAROLINA EDUCATION LOTTERY</t>
  </si>
  <si>
    <t>DEPARTMENT OF JUSTICE</t>
  </si>
  <si>
    <t>DEPARTMENT OF NATURAL AND CULTURAL RESOURCES</t>
  </si>
  <si>
    <t>ADMINISTRATIVE OFFICE OF THE COURTS</t>
  </si>
  <si>
    <t>DEPARTMENT OF ADMINISTRATION</t>
  </si>
  <si>
    <t>WILDLIFE RESOURCES COMMISSION</t>
  </si>
  <si>
    <t>STATE BOARD OF ELECTIONS</t>
  </si>
  <si>
    <t>GENERAL ASSEMBLY</t>
  </si>
  <si>
    <t>DEPARTMENT OF COMMERCE</t>
  </si>
  <si>
    <t>DEPARTMENT OF PUBLIC SAFETY</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</si>
  <si>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</si>
  <si>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</si>
  <si>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</si>
  <si>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</si>
  <si>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</si>
  <si>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</si>
  <si>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</si>
  <si>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</si>
  <si>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</si>
  <si>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</si>
  <si>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</si>
  <si>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</si>
  <si>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GRANDFATHER ACADEMY</t>
  </si>
  <si>
    <t>BEAUFORT COUNTY SCHOOLS</t>
  </si>
  <si>
    <t>BERTIE COUNTY SCHOOLS</t>
  </si>
  <si>
    <t>BLADEN COUNTY SCHOOLS</t>
  </si>
  <si>
    <t>BRUNSWICK COUNTY SCHOOLS</t>
  </si>
  <si>
    <t>BUNCOMBE COUNTY SCHOOLS</t>
  </si>
  <si>
    <t>EVERGREEN COMMUNITY CHARTER SCHOOL</t>
  </si>
  <si>
    <t>ASHEVILLE CITY SCHOOLS</t>
  </si>
  <si>
    <t>BURKE COUNTY SCHOOLS</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</si>
  <si>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</si>
  <si>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</si>
  <si>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</si>
  <si>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</si>
  <si>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</si>
  <si>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</si>
  <si>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</si>
  <si>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</si>
  <si>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</si>
  <si>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</si>
  <si>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</si>
  <si>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</si>
  <si>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</si>
  <si>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</si>
  <si>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</si>
  <si>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COLUMBUS COUNTY SCHOOLS</t>
  </si>
  <si>
    <t>WHITEVILLE CITY SCHOOLS</t>
  </si>
  <si>
    <t>CUMBERLAND COUNTY SCHOOLS</t>
  </si>
  <si>
    <t>CURRITUCK COUNTY SCHOOLS</t>
  </si>
  <si>
    <t>DARE COUNTY SCHOOLS</t>
  </si>
  <si>
    <t>DAVIDSON COUNTY SCHOOLS</t>
  </si>
  <si>
    <t>LEXINGTON CITY SCHOOLS</t>
  </si>
  <si>
    <t>THOMASVILLE CITY SCHOOLS</t>
  </si>
  <si>
    <t>DAVIE COUNTY SCHOOLS</t>
  </si>
  <si>
    <t>CORNERSTONE ACADEMY</t>
  </si>
  <si>
    <t>DUPLIN COUNTY SCHOOLS</t>
  </si>
  <si>
    <t>DURHAM PUBLIC SCHOOLS</t>
  </si>
  <si>
    <t>HEALTHY START ACADEMY</t>
  </si>
  <si>
    <t>VOYAGER ACADEMY</t>
  </si>
  <si>
    <t>BEAR GRASS CHARTER SCHOOL</t>
  </si>
  <si>
    <t>INVEST COLLEGIATE CHARTER (BUNCOMBE)</t>
  </si>
  <si>
    <t>PIONEER SPRINGS COMMUNITY CHARTER</t>
  </si>
  <si>
    <t>EDGECOMBE COUNTY SCHOOLS</t>
  </si>
  <si>
    <t>WINSTON-SALEM-FORSYTH COUNTY SCHOOLS</t>
  </si>
  <si>
    <t>ARTS BASED ELEMENTARY CHARTER</t>
  </si>
  <si>
    <t>FRANKLIN COUNTY SCHOOLS</t>
  </si>
  <si>
    <t>A CHILDS GARDEN CHARTER (AKA CROSS CREEK CHARTER)</t>
  </si>
  <si>
    <t>GASTON COUNTY SCHOOLS</t>
  </si>
  <si>
    <t>GATES COUNTY SCHOOLS</t>
  </si>
  <si>
    <t>GRAHAM COUNTY SCHOOLS</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</si>
  <si>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</si>
  <si>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</si>
  <si>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</si>
  <si>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</si>
  <si>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</si>
  <si>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</si>
  <si>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</si>
  <si>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</si>
  <si>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</si>
  <si>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</si>
  <si>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</si>
  <si>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</si>
  <si>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SUCCESS INSTITUTE</t>
  </si>
  <si>
    <t>MOORESVILLE CITY SCHOOLS</t>
  </si>
  <si>
    <t>JACKSON COUNTY SCHOOLS</t>
  </si>
  <si>
    <t>JOHNSTON COUNTY SCHOOLS</t>
  </si>
  <si>
    <t>NEUSE CHARTER SCHOOL</t>
  </si>
  <si>
    <t>JONES COUNTY SCHOOLS</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</si>
  <si>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</si>
  <si>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</si>
  <si>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</si>
  <si>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</si>
  <si>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</si>
  <si>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</si>
  <si>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</si>
  <si>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</si>
  <si>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SCHOOL OF DAVIDSON</t>
  </si>
  <si>
    <t>LAKE NORMAN CHARTER SCHOOL</t>
  </si>
  <si>
    <t>SOCRATES ACADEMY</t>
  </si>
  <si>
    <t>PINE LAKE PREP CHARTER</t>
  </si>
  <si>
    <t>CHARLOTTE SECONDARY CHARTER</t>
  </si>
  <si>
    <t>MITCHELL COUNTY SCHOOLS</t>
  </si>
  <si>
    <t>KIPP CHARLOTTE CHARTER</t>
  </si>
  <si>
    <t>MONTGOMERY COUNTY SCHOOLS</t>
  </si>
  <si>
    <t>MOORE COUNTY SCHOOLS</t>
  </si>
  <si>
    <t>ACADEMY OF MOORE COUNTY</t>
  </si>
  <si>
    <t>STARS CHARTER SCHOOL</t>
  </si>
  <si>
    <t>NASH-ROCKY MOUNT SCHOOLS</t>
  </si>
  <si>
    <t>NEW HANOVER COUNTY SCHOOLS</t>
  </si>
  <si>
    <t>WILMINGTON PREP ACADEMY</t>
  </si>
  <si>
    <t>NORTHAMPTON COUNTY SCHOOLS</t>
  </si>
  <si>
    <t>GASTON COLLEGE PREPARATORY CHARTER</t>
  </si>
  <si>
    <t>ONSLOW COUNTY SCHOOLS</t>
  </si>
  <si>
    <t>ZECA SCHOOL OF THE ARTS AND TECHNOLOGY</t>
  </si>
  <si>
    <t>ORANGE COUNTY SCHOOLS</t>
  </si>
  <si>
    <t>ORANGE CHARTER SCHOOL</t>
  </si>
  <si>
    <t>PAMLICO COUNTY SCHOOLS</t>
  </si>
  <si>
    <t>ARAPAHOE CHARTER SCHOOL</t>
  </si>
  <si>
    <t>ELIZABETH CITY AND PASQUOTANK COUNTY SCHOOLS</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</si>
  <si>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</si>
  <si>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</si>
  <si>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</si>
  <si>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</si>
  <si>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</si>
  <si>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</si>
  <si>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</si>
  <si>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</si>
  <si>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</si>
  <si>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</si>
  <si>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</si>
  <si>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</si>
  <si>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</si>
  <si>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</si>
  <si>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</si>
  <si>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</si>
  <si>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</si>
  <si>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</si>
  <si>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</si>
  <si>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</si>
  <si>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</si>
  <si>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</si>
  <si>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</si>
  <si>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BRIDGES CHARTER SCHOOLS</t>
  </si>
  <si>
    <t>MILLENNIUM CHARTER ACADEMY</t>
  </si>
  <si>
    <t>MOUNT AIRY CITY SCHOOLS</t>
  </si>
  <si>
    <t>ELKIN CITY SCHOOLS</t>
  </si>
  <si>
    <t>SWAIN COUNTY SCHOOLS</t>
  </si>
  <si>
    <t>TRANSYLVANIA COUNTY SCHOOLS</t>
  </si>
  <si>
    <t>BREVARD ACADEMY CHARTER SCHOOL</t>
  </si>
  <si>
    <t>TYRRELL COUNTY SCHOOLS</t>
  </si>
  <si>
    <t>UNION COUNTY SCHOOLS</t>
  </si>
  <si>
    <t>VANCE COUNTY SCHOOLS</t>
  </si>
  <si>
    <t>VANCE CHARTER SCHOOL</t>
  </si>
  <si>
    <t>ENDEAVOR CHARTER SCHOOL</t>
  </si>
  <si>
    <t>SOUTHERN WAKE ACADEMY</t>
  </si>
  <si>
    <t>CASA ESPERANZA MONTESSORI</t>
  </si>
  <si>
    <t>WARREN COUNTY SCHOOLS</t>
  </si>
  <si>
    <t>HALIWA-SAPONI TRIBAL CHARTER</t>
  </si>
  <si>
    <t>WASHINGTON COUNTY SCHOOLS</t>
  </si>
  <si>
    <t>HENDERSON COLLEGIATE CHARTER SCHOOL</t>
  </si>
  <si>
    <t>WATAUGA COUNTY SCHOOLS</t>
  </si>
  <si>
    <t>WAYNE COUNTY SCHOOLS</t>
  </si>
  <si>
    <t>WILKES COUNTY SCHOOLS</t>
  </si>
  <si>
    <t>PINNACLE CLASSICAL ACADEMY</t>
  </si>
  <si>
    <t>WILSON COUNTY SCHOOLS</t>
  </si>
  <si>
    <t>YADKIN COUNTY SCHOOLS</t>
  </si>
  <si>
    <t>CONSOLIDATED JUDICIAL RETIREMENT SYSTEM</t>
  </si>
  <si>
    <t>BLADEN COUNTY</t>
  </si>
  <si>
    <t>TOWN OF SUNSET BEACH</t>
  </si>
  <si>
    <t>TOWN OF BILTMORE FOREST</t>
  </si>
  <si>
    <t>TOWN OF BLACK MOUNTAIN</t>
  </si>
  <si>
    <t>RUTHERFORD COUNTY</t>
  </si>
  <si>
    <t>TOWN OF FOREST CITY</t>
  </si>
  <si>
    <t>TOWN OF LAKE LURE</t>
  </si>
  <si>
    <t>WASHINGTON COUNTY</t>
  </si>
  <si>
    <t>TOWN OF BLOWING ROCK</t>
  </si>
  <si>
    <t>TOWN OF BLACK CREEK</t>
  </si>
  <si>
    <t>Reporting year 2025</t>
  </si>
  <si>
    <t>INVEST COLLEGIATE CHARTER (DAVIDSON)</t>
  </si>
  <si>
    <t>NORTH CAROLINA INNOVATIVE SCHOOL DISTRICT</t>
  </si>
  <si>
    <t>UNC-SO ONLY</t>
  </si>
  <si>
    <t>OFFICE OF STATE AUDITOR</t>
  </si>
  <si>
    <t>OFFICE OF ADMINISTRATIVE HEARINGS</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</si>
  <si>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</si>
  <si>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</si>
  <si>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</si>
  <si>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</si>
  <si>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</si>
  <si>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</si>
  <si>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</si>
  <si>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</si>
  <si>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</si>
  <si>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</si>
  <si>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</si>
  <si>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</si>
  <si>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</si>
  <si>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(State Health Plan Only)</t>
  </si>
  <si>
    <t>DEPARTMENT OF AGRICULTURE AND CONSUMER SERVICES</t>
  </si>
  <si>
    <t>STATE BOARD OF BARBER EXAMINERS</t>
  </si>
  <si>
    <t>NC REAL ESTATE COMMISSION</t>
  </si>
  <si>
    <t>NC AUCTIONEERS LICENSING BOARD</t>
  </si>
  <si>
    <t>NC STATE BOARD OF EXAMINERS OF PRACTICING PSYCHOLOGISTS</t>
  </si>
  <si>
    <t>COMMUNITY COLLEGE SYSTEM OFFICE</t>
  </si>
  <si>
    <t>NORTH CAROLINA SCHOOL OF THE ARTS</t>
  </si>
  <si>
    <t>NORTH CAROLINA A&amp;T UNIVERSITY</t>
  </si>
  <si>
    <t>NORTH CAROLINA CENTRAL UNIVERSITY</t>
  </si>
  <si>
    <t>UNIVERSITY OF NORTH CAROLINA AT PEMBROKE</t>
  </si>
  <si>
    <t>NC STATE UNIVERSITY</t>
  </si>
  <si>
    <t>FRANCINE DELANY NEW SCHOOL FOR CHILDREN</t>
  </si>
  <si>
    <t>WESTERN PIEDMONT COMMUNITY COLLEGE</t>
  </si>
  <si>
    <t>NEW BERN/CRAVEN COUNTY BOARD OF EDUCATION</t>
  </si>
  <si>
    <t>NORTHEAST REGIONAL SCHOOL FOR BIOTECHNOLOGY</t>
  </si>
  <si>
    <t>CENTRAL PARK SCHOOL FOR CHILDREN</t>
  </si>
  <si>
    <t>KIPP HALIFAX COLLEGE PREP CHARTER</t>
  </si>
  <si>
    <t>GRANVILLE COUNTY SCHOOLS AND OXFORD ORPHANAGE</t>
  </si>
  <si>
    <t>IREDELL COUNTY SCHOOLS</t>
  </si>
  <si>
    <t>AMERICAN RENAISSANCE MIDDLE SCHOOL</t>
  </si>
  <si>
    <t>SANFORD-LEE COUNTY BOARD OF EDUCATION</t>
  </si>
  <si>
    <t>COMMUNITY CHARTER SCHOOL</t>
  </si>
  <si>
    <t>KENNEDY CHARTER</t>
  </si>
  <si>
    <t>CORVIAN COMMUNITY SCHOOL</t>
  </si>
  <si>
    <t>CAPE FEAR CENTER FOR INQUIRY</t>
  </si>
  <si>
    <t>CHAPEL HILL - CARBORO CITY SCHOOLS</t>
  </si>
  <si>
    <t>N.E. ACADEMY OF AEROSPACE &amp; ADVANCED TECHNOLOGY</t>
  </si>
  <si>
    <t>MOUNTAIN DISCOVERY CHARTER</t>
  </si>
  <si>
    <t>WAKE COUNTY SCHOOLS</t>
  </si>
  <si>
    <t>EAST WAKE ACADEMY</t>
  </si>
  <si>
    <t>TWO RIVERS COMMUNITY SCHOOL</t>
  </si>
  <si>
    <t>HIGHWAY - ADMINISTRATIVE (w/o Global Transpark or Ports Authority)</t>
  </si>
  <si>
    <t>HIGHWAY - ADMINISTRATIVE (Global Transpark Only)</t>
  </si>
  <si>
    <t>LEGISLATIVE RETIREMENT SYSTEM</t>
  </si>
  <si>
    <t>RUTHERFORD POLK MCDOWELL DIST BOARD OF HEALTH</t>
  </si>
  <si>
    <t>Reporting year 2026</t>
  </si>
  <si>
    <t>DISCOVERY CHARTER</t>
  </si>
  <si>
    <t>Noncapital contributions</t>
  </si>
  <si>
    <t>Noncapital contr allocaion (SHP trsf to RHBF)</t>
  </si>
  <si>
    <t>(g)</t>
  </si>
  <si>
    <t>Nonemployer contribution from SHP to RHBF</t>
  </si>
  <si>
    <t>Miscellaneous expense (1)</t>
  </si>
  <si>
    <t>Miscellaneous income (1)</t>
  </si>
  <si>
    <t>Noncapital contribution (2)</t>
  </si>
  <si>
    <t>differences due to how the extra contr amounts were allocated between the UNC SO and SEAA but net between the two agencies</t>
  </si>
  <si>
    <r>
      <rPr>
        <b/>
        <sz val="10"/>
        <rFont val="Arial"/>
        <family val="2"/>
      </rPr>
      <t>(2)  Nonemployer Contribution</t>
    </r>
    <r>
      <rPr>
        <sz val="10"/>
        <rFont val="Arial"/>
        <family val="2"/>
      </rPr>
      <t xml:space="preserve"> - In FY2021, the SHP transferred $187 million to the RHBF as a result of cost savings to the SHP.  Per GASB 92, paragraph 6.a. the transfer of capital or financial assets between a nonemployer contribution entity and a defined benefit OPEB plan within the same financial reporting entity , any diference between the amount paid and carrying value of the assets transferred should be reported as a nonemployer contributing entity contribution to the plan in accordance with requirements of GASB 75.  Per GASB 75, paragraph 69, revenue should be recognized in an amount equal to (a) the change in the collective liability arising from contributions to the plan from nonemployer contributing entites and (b) the employer's proportionate share of the change in the collective liability arising from contributions to the plan.   The SHP has authority to move funds pursuant to G.S. 135-48.5.  </t>
    </r>
  </si>
  <si>
    <t>OFFICE OF STATE CONTROLLER</t>
  </si>
  <si>
    <t>UNC-CHAPEL HILL CB1260</t>
  </si>
  <si>
    <t>ALAMANCE COMMUNITY SCHOOL</t>
  </si>
  <si>
    <t>FERNLEAF COMMUNITY CHARTER</t>
  </si>
  <si>
    <t>Reporting year 2027</t>
  </si>
  <si>
    <t>rounding</t>
  </si>
  <si>
    <t xml:space="preserve">In FY2021, the SHP transferred $187 million to the RHBF as a result of cost savings to the SHP over a span of six years.  Per GASB 92, paragraph 6.a. the transfer of capital or financial assets between a nonemployer contribution entity and a defined benefit OPEB plan within the same financial reporting entity , any diference between the amount paid and carrying value of the assets transferred should be reported as a nonemployer contributing entity contribution to the plan in accordance with requirements of GASB 75.  Per GASB 75, paragraph 69, revenue should be recognized in an amount equal to (a) the change in the collective liability arising from contributions to the plan from nonemployer contributing entites and (b) the employer's proportionate share of the change in the collective liability arising from contributions to the plan.   The SHP has authority to move funds pursuant to G.S. 135-48.5.  </t>
  </si>
  <si>
    <t>6/30/2022 Net OPEB Liability</t>
  </si>
  <si>
    <t>6/30/2022 Deferred Outflows of Resources</t>
  </si>
  <si>
    <t>6/30/2022 Deferred Inflows of Resources</t>
  </si>
  <si>
    <t>Difference in FY2022 contributions per employer/actuary</t>
  </si>
  <si>
    <t>(To adjust for difference in FY2022 contributions per employer/actuary)</t>
  </si>
  <si>
    <t>FY2023 employer contributions – per agency/institution</t>
  </si>
  <si>
    <t>Reporting year 2028</t>
  </si>
  <si>
    <t>STATE AUDITOR</t>
  </si>
  <si>
    <t>OFFICE OF ADMINISTRATIVE HEARING</t>
  </si>
  <si>
    <t>OFFICE OF STATE BUDGET &amp; MANAGEMENT</t>
  </si>
  <si>
    <t>INFORMATION TECHNOLOGY SERVICES</t>
  </si>
  <si>
    <t>NC DEPARTMENT OF MILITARY &amp; VETERANS AFFAIRS</t>
  </si>
  <si>
    <t>NC DEPT OF ENVIRONMENTAL QUALITY</t>
  </si>
  <si>
    <t>GOVERNOR'S OFFICE</t>
  </si>
  <si>
    <t>LT GOVERNOR'S OFFICE</t>
  </si>
  <si>
    <t>HEALTH AND HUMAN SVCS</t>
  </si>
  <si>
    <t>INSURANCE DEPARTMENT</t>
  </si>
  <si>
    <t>LABOR DEPARTMENT</t>
  </si>
  <si>
    <t>REVENUE DEPARTMENT</t>
  </si>
  <si>
    <t>SECRETARY OF STATE</t>
  </si>
  <si>
    <t>STATE TREASURER</t>
  </si>
  <si>
    <t>DEPT OF AGRICULTURE &amp; CONSUMER SVCS.</t>
  </si>
  <si>
    <t>BARBER EXAMINERS, STATE BOARD OF</t>
  </si>
  <si>
    <t>N C AUCTIONEERS LICENSING BOARD</t>
  </si>
  <si>
    <t>NC BRD OF EXAMINERS OF PRACTICING PSYCOLOGISTS</t>
  </si>
  <si>
    <t>COMMUNITY COLLEGES ADMINISTRATION</t>
  </si>
  <si>
    <t>UNC-SYSTEM OFFICE</t>
  </si>
  <si>
    <t>F DELANY NEW SCHOOL FOR CHILDREN</t>
  </si>
  <si>
    <t>CLEVELAND COMMUNITY COLLEGE</t>
  </si>
  <si>
    <t>NEW BERN CRAVEN COUNTY BOARD OF EDUCATION</t>
  </si>
  <si>
    <t>DAVIDSON-DAVIE COMMUNITY COLLEGE</t>
  </si>
  <si>
    <t>N.E. REGIONAL SCHOOL FOR BIOTECHNOLOGY</t>
  </si>
  <si>
    <t>CENTRAL PARK SCH FOR CHILDREN</t>
  </si>
  <si>
    <t>FORSYTH TECHNICAL COMMUNIITY COLLEGE</t>
  </si>
  <si>
    <t>GRANVILLE COUNTY PUBLIC SCHOOLS</t>
  </si>
  <si>
    <t>IREDELL-STATESVILLE SCHOOLS</t>
  </si>
  <si>
    <t>AMERICAN RENAISSANCE MID SCHOOL</t>
  </si>
  <si>
    <t>LEE COUNTY BOARD OF EDUCATION</t>
  </si>
  <si>
    <t>CORVIAN COMMUNITY CHARTER SCHOOL</t>
  </si>
  <si>
    <t>NASH COUNTY PUBLIC SCHOOLS</t>
  </si>
  <si>
    <t>NASH COMMUNITY COLLEGE</t>
  </si>
  <si>
    <t>CAPE FEAR CTR FOR INQUIRY</t>
  </si>
  <si>
    <t>CHAPEL HILL - CARRBORO CITY SCHOOLS</t>
  </si>
  <si>
    <t>N.E. ACADEMY OF AEROSPACE &amp; ADV.TECH</t>
  </si>
  <si>
    <t>MTN DISCOVERY CHARTER</t>
  </si>
  <si>
    <t>WAKE COUNTY PUBLIC SCHOOLS SYSTEM</t>
  </si>
  <si>
    <t>EAST WAKE FIRST ACADEMY</t>
  </si>
  <si>
    <t>TWO RIVERS COMM SCHOOL</t>
  </si>
  <si>
    <t>LEGISLATIVE RETIREMENT SYSTEM OF N C</t>
  </si>
  <si>
    <t>FOOTHILLS HEALTH DISTRICT</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</si>
  <si>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</si>
  <si>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</si>
  <si>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</si>
  <si>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</si>
  <si>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</si>
  <si>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</si>
  <si>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</si>
  <si>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</si>
  <si>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</si>
  <si>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</si>
  <si>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</si>
  <si>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North Carolina Department of Military &amp; Veteran Affairs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</si>
  <si>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</si>
  <si>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</si>
  <si>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</si>
  <si>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</si>
  <si>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</si>
  <si>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</si>
  <si>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</si>
  <si>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</si>
  <si>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</si>
  <si>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</si>
  <si>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</si>
  <si>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</si>
  <si>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</si>
  <si>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</si>
  <si>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</si>
  <si>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</si>
  <si>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</si>
  <si>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North Carolina Board of Opticians</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</si>
  <si>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</si>
  <si>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</si>
  <si>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</si>
  <si>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</si>
  <si>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</si>
  <si>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</si>
  <si>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</si>
  <si>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</si>
  <si>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</si>
  <si>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</si>
  <si>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</si>
  <si>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</si>
  <si>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</si>
  <si>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</si>
  <si>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</si>
  <si>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</si>
  <si>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State Education Assistance Authority (subset of UNC Gen. Adm.)</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</si>
  <si>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</si>
  <si>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</si>
  <si>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</si>
  <si>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</si>
  <si>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</si>
  <si>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</si>
  <si>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</si>
  <si>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</si>
  <si>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</si>
  <si>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</si>
  <si>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</si>
  <si>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</si>
  <si>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</si>
  <si>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</si>
  <si>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</si>
  <si>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</si>
  <si>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</si>
  <si>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</si>
  <si>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</si>
  <si>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</si>
  <si>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</si>
  <si>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</si>
  <si>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</si>
  <si>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</si>
  <si>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</si>
  <si>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</si>
  <si>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</si>
  <si>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</si>
  <si>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</si>
  <si>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</si>
  <si>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</si>
  <si>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</si>
  <si>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</si>
  <si>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</si>
  <si>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</si>
  <si>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</si>
  <si>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</si>
  <si>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</si>
  <si>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</si>
  <si>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</si>
  <si>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</si>
  <si>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</si>
  <si>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</si>
  <si>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</si>
  <si>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</si>
  <si>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</si>
  <si>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</si>
  <si>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</si>
  <si>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</si>
  <si>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</si>
  <si>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</si>
  <si>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</si>
  <si>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</si>
  <si>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</si>
  <si>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</si>
  <si>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</si>
  <si>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</si>
  <si>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</si>
  <si>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</si>
  <si>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</si>
  <si>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</si>
  <si>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</si>
  <si>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</si>
  <si>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</si>
  <si>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</si>
  <si>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</si>
  <si>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Discovery Charter</t>
  </si>
  <si>
    <t>Davidson County Community College</t>
  </si>
  <si>
    <t>Lexington City Schools</t>
  </si>
  <si>
    <t>Alamance Community School</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</si>
  <si>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</si>
  <si>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</si>
  <si>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</si>
  <si>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</si>
  <si>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</si>
  <si>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</si>
  <si>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</si>
  <si>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</si>
  <si>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</si>
  <si>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</si>
  <si>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</si>
  <si>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</si>
  <si>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</si>
  <si>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</si>
  <si>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</si>
  <si>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</si>
  <si>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</si>
  <si>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</si>
  <si>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</si>
  <si>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</si>
  <si>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</si>
  <si>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</si>
  <si>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</si>
  <si>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</si>
  <si>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</si>
  <si>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</si>
  <si>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</si>
  <si>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</si>
  <si>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</si>
  <si>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</si>
  <si>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</si>
  <si>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</si>
  <si>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</si>
  <si>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</si>
  <si>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</si>
  <si>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</si>
  <si>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</si>
  <si>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</si>
  <si>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</si>
  <si>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</si>
  <si>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</si>
  <si>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</si>
  <si>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</si>
  <si>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</si>
  <si>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</si>
  <si>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</si>
  <si>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</si>
  <si>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</si>
  <si>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</si>
  <si>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</si>
  <si>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</si>
  <si>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</si>
  <si>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</si>
  <si>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</si>
  <si>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</si>
  <si>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</si>
  <si>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</si>
  <si>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</si>
  <si>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</si>
  <si>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</si>
  <si>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</si>
  <si>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</si>
  <si>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</si>
  <si>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</si>
  <si>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</si>
  <si>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</si>
  <si>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</si>
  <si>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</si>
  <si>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</si>
  <si>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</si>
  <si>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</si>
  <si>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</si>
  <si>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</si>
  <si>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</si>
  <si>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</si>
  <si>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</si>
  <si>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</si>
  <si>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</si>
  <si>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</si>
  <si>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</si>
  <si>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</si>
  <si>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</si>
  <si>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</si>
  <si>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</si>
  <si>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</si>
  <si>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North Carolina Leadership Academy</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</si>
  <si>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</si>
  <si>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</si>
  <si>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</si>
  <si>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</si>
  <si>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</si>
  <si>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</si>
  <si>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</si>
  <si>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</si>
  <si>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</si>
  <si>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</si>
  <si>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</si>
  <si>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</si>
  <si>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</si>
  <si>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</si>
  <si>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</si>
  <si>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</si>
  <si>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</si>
  <si>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</si>
  <si>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</si>
  <si>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</si>
  <si>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Northeast Academy for Aerospace and Advanced Technologies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</si>
  <si>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</si>
  <si>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</si>
  <si>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</si>
  <si>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</si>
  <si>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</si>
  <si>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</si>
  <si>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</si>
  <si>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</si>
  <si>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</si>
  <si>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</si>
  <si>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</si>
  <si>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</si>
  <si>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</si>
  <si>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</si>
  <si>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</si>
  <si>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</si>
  <si>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</si>
  <si>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</si>
  <si>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</si>
  <si>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</si>
  <si>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</si>
  <si>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</si>
  <si>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</si>
  <si>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</si>
  <si>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</si>
  <si>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</si>
  <si>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</si>
  <si>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</si>
  <si>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</si>
  <si>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</si>
  <si>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</si>
  <si>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</si>
  <si>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</si>
  <si>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</si>
  <si>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</si>
  <si>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</si>
  <si>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</si>
  <si>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</si>
  <si>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</si>
  <si>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</si>
  <si>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</si>
  <si>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</si>
  <si>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</si>
  <si>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</si>
  <si>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</si>
  <si>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</si>
  <si>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</si>
  <si>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</si>
  <si>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</si>
  <si>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</si>
  <si>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</si>
  <si>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</si>
  <si>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</si>
  <si>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</si>
  <si>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</si>
  <si>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</si>
  <si>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</si>
  <si>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</si>
  <si>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</si>
  <si>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</si>
  <si>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</si>
  <si>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</si>
  <si>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</si>
  <si>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</si>
  <si>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</si>
  <si>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</si>
  <si>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</si>
  <si>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</si>
  <si>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</si>
  <si>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</si>
  <si>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</si>
  <si>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</si>
  <si>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</si>
  <si>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</si>
  <si>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</si>
  <si>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</si>
  <si>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</si>
  <si>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</si>
  <si>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</si>
  <si>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</si>
  <si>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</si>
  <si>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</si>
  <si>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</si>
  <si>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</si>
  <si>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</si>
  <si>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DEPARTMENT OF STATE TREASURER (W/O STATE HEALTH PLAN)</t>
  </si>
  <si>
    <t>DEPARTMENT OF STATE TREASURER (STATE HEALTH PLAN ONLY)</t>
  </si>
  <si>
    <t>ALAMANCE COMMUNITY SCHOOLS</t>
  </si>
  <si>
    <t>HIGHWAY - ADMINISTRATIVE (Ports Authority Only)</t>
  </si>
  <si>
    <t>A</t>
  </si>
  <si>
    <t>B</t>
  </si>
  <si>
    <t>Fiscal Year Ended June 30, 2024</t>
  </si>
  <si>
    <t>GoTo "Detail" Tab — Enter Employer Contributions (FY2023 &amp; FY2024).</t>
  </si>
  <si>
    <t>OPEB (Including Retiree Health Benefit Fund )– Financial Audit of Schedules</t>
  </si>
  <si>
    <t>https://files.nc.gov/nc-auditor/documents/2024-03/FIN-2023-3400-OPEB.pdf?VersionId=0zyYx_S_fmDpAWMEa7Hrd9JvwMWSxPQO</t>
  </si>
  <si>
    <t>any questions about this template, please contact Elizabeth John at (919) 707-0690 or</t>
  </si>
  <si>
    <t>elizabeth.john@ncosc.gov</t>
  </si>
  <si>
    <t>Last Year's MANUAL ENTRY - FY2023 Employer Contributions</t>
  </si>
  <si>
    <t>FY2023 employer contributions – per actuary</t>
  </si>
  <si>
    <t>Deferred outflows for OPEB (FY2024 Employer Contributions)</t>
  </si>
  <si>
    <t>FY2024 employer contributions – per agency/institution</t>
  </si>
  <si>
    <r>
      <rPr>
        <b/>
        <sz val="10"/>
        <rFont val="Arial"/>
        <family val="2"/>
      </rPr>
      <t>(1)  Difference in Contributions Between Employer/Actuary</t>
    </r>
    <r>
      <rPr>
        <sz val="10"/>
        <rFont val="Arial"/>
        <family val="2"/>
      </rPr>
      <t xml:space="preserve"> – The difference between what your entity reported last year as your FY 2023 employer contributions (i.e., as a deferred outflow for OPEB)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</si>
  <si>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June 30, 2025:</t>
  </si>
  <si>
    <t>Balance July 1, 2023</t>
  </si>
  <si>
    <t>Balance, June 30, 2024</t>
  </si>
  <si>
    <t>6/30/2023 Deferred Outflows of Resources</t>
  </si>
  <si>
    <t>6/30/2023 Deferred Inflows of Resources</t>
  </si>
  <si>
    <t>6/30/2023 Net OPEB Liability</t>
  </si>
  <si>
    <t>2023 Allocation Percentage</t>
  </si>
  <si>
    <t>Allocation percentages and contribution amounts for FY2023</t>
  </si>
  <si>
    <t>Reporting year 2029</t>
  </si>
  <si>
    <t>DEPARTMENT OF ADULT CORRECTION</t>
  </si>
  <si>
    <t>UNC-GENERAL ADMINISTRATION (w/o SEAA)</t>
  </si>
  <si>
    <t>UNC-GENERAL ADMINISTRATION (SEAA Only)</t>
  </si>
  <si>
    <t>Department of Adult Corrections</t>
  </si>
  <si>
    <t>SHP</t>
  </si>
  <si>
    <t>DEPARTMENT OF ADULT CORRECTIONS</t>
  </si>
  <si>
    <t>UNIVERSITY OF NORTH CAROLINA  AT GREENSBORO</t>
  </si>
  <si>
    <t>CHK NUMBER</t>
  </si>
  <si>
    <t>chk figure</t>
  </si>
  <si>
    <t>difference</t>
  </si>
  <si>
    <t>by 7.14% (the 2023-24 employer contribution rate for RHBF)</t>
  </si>
  <si>
    <t>NCFS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</si>
</sst>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00000"/>
    <numFmt numFmtId="173" formatCode="0.0"/>
    <numFmt numFmtId="174" formatCode="#,##0.0000_);\(#,##0.0000\)"/>
    <numFmt numFmtId="175" formatCode="_(* #,##0.0_);_(* \(#,##0.0\);_(* &quot;-&quot;??_);_(@_)"/>
    <numFmt numFmtId="176" formatCode="_(&quot;$&quot;* #,##0_);_(&quot;$&quot;* \(#,##0\);_(&quot;$&quot;* &quot;-&quot;??_);_(@_)"/>
    <numFmt numFmtId="177" formatCode="0.000000%"/>
  </numFmts>
  <fonts count="49">
    <font>
      <sz val="10"/>
      <name val="Arial"/>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b/>
      <sz val="11"/>
      <name val="Times New Roman"/>
      <family val="1"/>
    </font>
    <font>
      <sz val="12"/>
      <color theme="1"/>
      <name val="Times New Roman"/>
      <family val="1"/>
    </font>
    <font>
      <sz val="11"/>
      <name val="Calibri"/>
      <family val="2"/>
      <scheme val="minor"/>
    </font>
    <font>
      <sz val="10"/>
      <color theme="1"/>
      <name val="Arial"/>
      <family val="2"/>
    </font>
    <font>
      <sz val="11"/>
      <name val="Arial"/>
      <family val="2"/>
    </font>
    <font>
      <sz val="11"/>
      <color theme="1"/>
      <name val="Arial"/>
      <family val="2"/>
    </font>
    <font>
      <sz val="10"/>
      <name val="Arial"/>
      <family val="2"/>
    </font>
    <font>
      <sz val="11"/>
      <name val="Aptos"/>
      <family val="2"/>
    </font>
  </fonts>
  <fills count="2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7FFD8"/>
        <bgColor indexed="64"/>
      </patternFill>
    </fill>
    <fill>
      <patternFill patternType="solid">
        <fgColor indexed="4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21">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7">
    <xf numFmtId="0" fontId="0" fillId="0" borderId="0"/>
    <xf numFmtId="0" fontId="11" fillId="0" borderId="0"/>
    <xf numFmtId="43" fontId="22" fillId="0" borderId="0" applyFont="0" applyFill="0" applyBorder="0" applyAlignment="0" applyProtection="0"/>
    <xf numFmtId="9" fontId="22"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39" fontId="14" fillId="0" borderId="0"/>
    <xf numFmtId="9" fontId="1" fillId="0" borderId="0" applyFont="0" applyFill="0" applyBorder="0" applyAlignment="0" applyProtection="0"/>
    <xf numFmtId="0" fontId="1" fillId="0" borderId="0"/>
    <xf numFmtId="0" fontId="10" fillId="0" borderId="0" applyFill="0" applyBorder="0" applyAlignment="0" applyProtection="0">
      <alignment horizontal="left"/>
    </xf>
    <xf numFmtId="0" fontId="41" fillId="9" borderId="16" applyNumberFormat="0" applyBorder="0">
      <alignment horizontal="center"/>
    </xf>
    <xf numFmtId="39" fontId="14" fillId="0" borderId="0"/>
    <xf numFmtId="43" fontId="44" fillId="0" borderId="0" applyFont="0" applyFill="0" applyBorder="0" applyAlignment="0" applyProtection="0"/>
    <xf numFmtId="0" fontId="10" fillId="0" borderId="0" applyFill="0" applyBorder="0" applyAlignment="0" applyProtection="0">
      <alignment horizontal="left"/>
    </xf>
    <xf numFmtId="43" fontId="44" fillId="0" borderId="0" applyFont="0" applyFill="0" applyBorder="0" applyAlignment="0" applyProtection="0"/>
    <xf numFmtId="9" fontId="44" fillId="0" borderId="0" applyFont="0" applyFill="0" applyBorder="0" applyAlignment="0" applyProtection="0"/>
    <xf numFmtId="44" fontId="47" fillId="0" borderId="0" applyFont="0" applyFill="0" applyBorder="0" applyAlignment="0" applyProtection="0"/>
  </cellStyleXfs>
  <cellXfs count="325">
    <xf numFmtId="0" fontId="0" fillId="0" borderId="0" xfId="0"/>
    <xf numFmtId="0" fontId="12" fillId="0" borderId="0" xfId="0" applyFont="1"/>
    <xf numFmtId="0" fontId="14" fillId="0" borderId="0" xfId="0" applyFont="1"/>
    <xf numFmtId="166" fontId="12" fillId="0" borderId="0" xfId="0" applyNumberFormat="1" applyFont="1" applyAlignment="1">
      <alignment horizontal="center"/>
    </xf>
    <xf numFmtId="0" fontId="14" fillId="0" borderId="0" xfId="0" applyFont="1" applyAlignment="1">
      <alignment horizontal="center"/>
    </xf>
    <xf numFmtId="0" fontId="0" fillId="0" borderId="0" xfId="0" applyAlignment="1">
      <alignment horizontal="center"/>
    </xf>
    <xf numFmtId="37" fontId="0" fillId="0" borderId="0" xfId="0" applyNumberFormat="1"/>
    <xf numFmtId="170" fontId="0" fillId="0" borderId="0" xfId="0" applyNumberFormat="1"/>
    <xf numFmtId="0" fontId="0" fillId="0" borderId="1" xfId="0" applyBorder="1" applyAlignment="1">
      <alignment horizontal="center"/>
    </xf>
    <xf numFmtId="3" fontId="0" fillId="0" borderId="0" xfId="0" applyNumberFormat="1"/>
    <xf numFmtId="0" fontId="14" fillId="0" borderId="3" xfId="0" applyFont="1" applyBorder="1" applyAlignment="1">
      <alignment horizontal="center" wrapText="1"/>
    </xf>
    <xf numFmtId="0" fontId="0" fillId="0" borderId="3" xfId="0" applyBorder="1" applyAlignment="1">
      <alignment horizontal="center" wrapText="1"/>
    </xf>
    <xf numFmtId="0" fontId="14" fillId="0" borderId="3" xfId="0" quotePrefix="1" applyFont="1" applyBorder="1" applyAlignment="1">
      <alignment horizontal="center" wrapText="1"/>
    </xf>
    <xf numFmtId="0" fontId="0" fillId="0" borderId="3" xfId="0" applyBorder="1" applyAlignment="1">
      <alignment horizontal="center"/>
    </xf>
    <xf numFmtId="0" fontId="14" fillId="0" borderId="3" xfId="0" applyFont="1" applyBorder="1" applyAlignment="1">
      <alignment horizontal="center"/>
    </xf>
    <xf numFmtId="168" fontId="0" fillId="0" borderId="0" xfId="0" applyNumberFormat="1"/>
    <xf numFmtId="169" fontId="0" fillId="0" borderId="0" xfId="0" applyNumberFormat="1"/>
    <xf numFmtId="0" fontId="5" fillId="3" borderId="0" xfId="0" applyFont="1" applyFill="1" applyAlignment="1">
      <alignment horizontal="center"/>
    </xf>
    <xf numFmtId="0" fontId="0" fillId="4" borderId="0" xfId="0" applyFill="1"/>
    <xf numFmtId="0" fontId="3" fillId="4" borderId="0" xfId="0" applyFont="1" applyFill="1" applyAlignment="1">
      <alignment horizontal="center"/>
    </xf>
    <xf numFmtId="0" fontId="4" fillId="4" borderId="0" xfId="0" applyFont="1" applyFill="1" applyAlignment="1">
      <alignment horizontal="center"/>
    </xf>
    <xf numFmtId="0" fontId="5" fillId="4" borderId="0" xfId="0" applyFont="1" applyFill="1" applyAlignment="1">
      <alignment horizontal="center"/>
    </xf>
    <xf numFmtId="0" fontId="6" fillId="4" borderId="0" xfId="0" applyFont="1" applyFill="1" applyAlignment="1">
      <alignment horizontal="center"/>
    </xf>
    <xf numFmtId="0" fontId="10" fillId="4" borderId="0" xfId="1" applyFont="1" applyFill="1" applyAlignment="1">
      <alignment horizontal="left"/>
    </xf>
    <xf numFmtId="0" fontId="10" fillId="4" borderId="0" xfId="1" applyFont="1" applyFill="1"/>
    <xf numFmtId="0" fontId="0" fillId="4" borderId="0" xfId="0" applyFill="1" applyAlignment="1">
      <alignment wrapText="1"/>
    </xf>
    <xf numFmtId="0" fontId="10" fillId="4" borderId="0" xfId="1" applyFont="1" applyFill="1" applyAlignment="1">
      <alignment horizontal="left" wrapText="1"/>
    </xf>
    <xf numFmtId="0" fontId="10" fillId="4" borderId="0" xfId="1" applyFont="1" applyFill="1" applyAlignment="1">
      <alignment wrapText="1"/>
    </xf>
    <xf numFmtId="0" fontId="7" fillId="4" borderId="0" xfId="0" applyFont="1" applyFill="1" applyAlignment="1">
      <alignment horizontal="center"/>
    </xf>
    <xf numFmtId="0" fontId="0" fillId="2" borderId="0" xfId="0" applyFill="1"/>
    <xf numFmtId="0" fontId="3" fillId="2" borderId="0" xfId="0" applyFont="1" applyFill="1" applyAlignment="1">
      <alignment horizontal="center"/>
    </xf>
    <xf numFmtId="164" fontId="3" fillId="2" borderId="0" xfId="0" applyNumberFormat="1" applyFont="1" applyFill="1" applyAlignment="1">
      <alignment horizontal="center"/>
    </xf>
    <xf numFmtId="0" fontId="2" fillId="2" borderId="0" xfId="0" applyFont="1" applyFill="1" applyAlignment="1">
      <alignment horizontal="center"/>
    </xf>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xf>
    <xf numFmtId="0" fontId="16" fillId="2" borderId="0" xfId="0" applyFont="1" applyFill="1" applyAlignment="1">
      <alignment horizontal="center"/>
    </xf>
    <xf numFmtId="165" fontId="17" fillId="2" borderId="0" xfId="0" applyNumberFormat="1" applyFont="1" applyFill="1" applyAlignment="1">
      <alignment horizontal="center"/>
    </xf>
    <xf numFmtId="167" fontId="4" fillId="2" borderId="0" xfId="0" applyNumberFormat="1" applyFont="1" applyFill="1"/>
    <xf numFmtId="0" fontId="4" fillId="2" borderId="0" xfId="0" applyFont="1" applyFill="1" applyAlignment="1">
      <alignment horizontal="left" indent="2"/>
    </xf>
    <xf numFmtId="0" fontId="6" fillId="2" borderId="0" xfId="0" applyFont="1" applyFill="1"/>
    <xf numFmtId="167" fontId="6" fillId="2" borderId="0" xfId="0" applyNumberFormat="1" applyFont="1" applyFill="1" applyAlignment="1">
      <alignment horizontal="center"/>
    </xf>
    <xf numFmtId="0" fontId="14" fillId="2" borderId="0" xfId="0" applyFont="1" applyFill="1"/>
    <xf numFmtId="0" fontId="15" fillId="2" borderId="0" xfId="0" applyFont="1" applyFill="1" applyAlignment="1">
      <alignment horizontal="center"/>
    </xf>
    <xf numFmtId="167" fontId="4" fillId="2" borderId="0" xfId="0" applyNumberFormat="1" applyFont="1" applyFill="1" applyProtection="1">
      <protection locked="0"/>
    </xf>
    <xf numFmtId="167" fontId="4" fillId="2" borderId="1" xfId="0" applyNumberFormat="1" applyFont="1" applyFill="1" applyBorder="1"/>
    <xf numFmtId="168" fontId="14" fillId="2" borderId="0" xfId="0" applyNumberFormat="1" applyFont="1" applyFill="1"/>
    <xf numFmtId="169" fontId="14" fillId="2" borderId="0" xfId="0" applyNumberFormat="1" applyFont="1" applyFill="1"/>
    <xf numFmtId="170" fontId="24" fillId="0" borderId="0" xfId="3" applyNumberFormat="1" applyFont="1" applyFill="1" applyBorder="1" applyAlignment="1">
      <alignment horizontal="center" wrapText="1"/>
    </xf>
    <xf numFmtId="0" fontId="25" fillId="0" borderId="0" xfId="0" applyFont="1" applyAlignment="1">
      <alignment horizontal="center" wrapText="1"/>
    </xf>
    <xf numFmtId="169" fontId="14" fillId="4" borderId="0" xfId="0" applyNumberFormat="1" applyFont="1" applyFill="1"/>
    <xf numFmtId="0" fontId="27" fillId="2" borderId="0" xfId="0" applyFont="1" applyFill="1" applyAlignment="1">
      <alignment horizontal="center"/>
    </xf>
    <xf numFmtId="42" fontId="0" fillId="4" borderId="0" xfId="0" applyNumberFormat="1" applyFill="1"/>
    <xf numFmtId="0" fontId="12" fillId="4" borderId="0" xfId="0" applyFont="1" applyFill="1"/>
    <xf numFmtId="0" fontId="12" fillId="4" borderId="0" xfId="0" quotePrefix="1" applyFont="1" applyFill="1"/>
    <xf numFmtId="0" fontId="31" fillId="4" borderId="0" xfId="0" applyFont="1" applyFill="1"/>
    <xf numFmtId="0" fontId="31" fillId="4" borderId="0" xfId="0" applyFont="1" applyFill="1" applyAlignment="1">
      <alignment horizontal="center"/>
    </xf>
    <xf numFmtId="0" fontId="12" fillId="4" borderId="0" xfId="0" applyFont="1" applyFill="1" applyAlignment="1">
      <alignment horizontal="left"/>
    </xf>
    <xf numFmtId="0" fontId="30" fillId="4" borderId="0" xfId="0" applyFont="1" applyFill="1" applyAlignment="1">
      <alignment horizontal="left" indent="3"/>
    </xf>
    <xf numFmtId="0" fontId="29" fillId="4" borderId="0" xfId="0" applyFont="1" applyFill="1" applyAlignment="1">
      <alignment horizontal="left" indent="4"/>
    </xf>
    <xf numFmtId="165" fontId="17" fillId="4" borderId="0" xfId="0" applyNumberFormat="1" applyFont="1" applyFill="1" applyAlignment="1">
      <alignment horizontal="center"/>
    </xf>
    <xf numFmtId="0" fontId="8" fillId="4" borderId="0" xfId="0" applyFont="1" applyFill="1"/>
    <xf numFmtId="166" fontId="4" fillId="4" borderId="0" xfId="0" applyNumberFormat="1" applyFont="1" applyFill="1"/>
    <xf numFmtId="0" fontId="4" fillId="4" borderId="0" xfId="0" applyFont="1" applyFill="1" applyAlignment="1">
      <alignment horizontal="center" vertical="top"/>
    </xf>
    <xf numFmtId="0" fontId="0" fillId="4" borderId="0" xfId="0" applyFill="1" applyAlignment="1">
      <alignment vertical="top"/>
    </xf>
    <xf numFmtId="0" fontId="4" fillId="4" borderId="0" xfId="0" applyFont="1" applyFill="1"/>
    <xf numFmtId="0" fontId="4" fillId="4" borderId="0" xfId="0" applyFont="1" applyFill="1" applyAlignment="1">
      <alignment horizontal="left" vertical="top"/>
    </xf>
    <xf numFmtId="0" fontId="4" fillId="4" borderId="0" xfId="0" applyFont="1" applyFill="1" applyAlignment="1">
      <alignment vertical="top"/>
    </xf>
    <xf numFmtId="0" fontId="4" fillId="4" borderId="0" xfId="0" applyFont="1" applyFill="1" applyAlignment="1">
      <alignment vertical="top" wrapText="1"/>
    </xf>
    <xf numFmtId="0" fontId="0" fillId="4" borderId="0" xfId="0" applyFill="1" applyAlignment="1">
      <alignment vertical="top" wrapText="1"/>
    </xf>
    <xf numFmtId="49" fontId="4" fillId="4" borderId="0" xfId="0" quotePrefix="1" applyNumberFormat="1" applyFont="1" applyFill="1" applyAlignment="1">
      <alignment horizontal="center" vertical="top"/>
    </xf>
    <xf numFmtId="0" fontId="4" fillId="4" borderId="0" xfId="0" applyFont="1" applyFill="1" applyAlignment="1">
      <alignment horizontal="left" vertical="top" wrapText="1"/>
    </xf>
    <xf numFmtId="0" fontId="12" fillId="2" borderId="0" xfId="0" quotePrefix="1" applyFont="1" applyFill="1" applyAlignment="1">
      <alignment horizontal="center"/>
    </xf>
    <xf numFmtId="0" fontId="12" fillId="2" borderId="3" xfId="0" quotePrefix="1" applyFont="1" applyFill="1" applyBorder="1" applyAlignment="1">
      <alignment horizontal="center"/>
    </xf>
    <xf numFmtId="169" fontId="14" fillId="2" borderId="3" xfId="0" applyNumberFormat="1" applyFont="1" applyFill="1" applyBorder="1"/>
    <xf numFmtId="0" fontId="12" fillId="4" borderId="0" xfId="0" applyFont="1" applyFill="1" applyAlignment="1">
      <alignment horizontal="center"/>
    </xf>
    <xf numFmtId="166" fontId="12" fillId="4" borderId="3" xfId="0" applyNumberFormat="1" applyFont="1" applyFill="1" applyBorder="1" applyAlignment="1">
      <alignment horizontal="center"/>
    </xf>
    <xf numFmtId="166" fontId="18" fillId="4" borderId="0" xfId="0" applyNumberFormat="1" applyFont="1" applyFill="1" applyAlignment="1">
      <alignment horizontal="center"/>
    </xf>
    <xf numFmtId="166" fontId="12" fillId="4" borderId="0" xfId="0" applyNumberFormat="1" applyFont="1" applyFill="1" applyAlignment="1">
      <alignment horizontal="center"/>
    </xf>
    <xf numFmtId="0" fontId="14" fillId="4" borderId="0" xfId="1" applyFont="1" applyFill="1"/>
    <xf numFmtId="1" fontId="14" fillId="4" borderId="0" xfId="0" applyNumberFormat="1" applyFont="1" applyFill="1" applyAlignment="1">
      <alignment horizontal="center"/>
    </xf>
    <xf numFmtId="168" fontId="14" fillId="4" borderId="0" xfId="0" applyNumberFormat="1" applyFont="1" applyFill="1"/>
    <xf numFmtId="167" fontId="14" fillId="4" borderId="0" xfId="0" applyNumberFormat="1" applyFont="1" applyFill="1"/>
    <xf numFmtId="169" fontId="14" fillId="4" borderId="3" xfId="0" applyNumberFormat="1" applyFont="1" applyFill="1" applyBorder="1"/>
    <xf numFmtId="0" fontId="14" fillId="4" borderId="0" xfId="1" applyFont="1" applyFill="1" applyAlignment="1">
      <alignment horizontal="left" indent="1"/>
    </xf>
    <xf numFmtId="0" fontId="14" fillId="4" borderId="0" xfId="0" applyFont="1" applyFill="1" applyAlignment="1">
      <alignment horizontal="center"/>
    </xf>
    <xf numFmtId="168" fontId="14" fillId="4" borderId="2" xfId="0" applyNumberFormat="1" applyFont="1" applyFill="1" applyBorder="1"/>
    <xf numFmtId="0" fontId="32" fillId="4" borderId="0" xfId="0" applyFont="1" applyFill="1"/>
    <xf numFmtId="0" fontId="21" fillId="4" borderId="12" xfId="0" applyFont="1" applyFill="1" applyBorder="1" applyAlignment="1" applyProtection="1">
      <alignment horizontal="center"/>
      <protection locked="0"/>
    </xf>
    <xf numFmtId="0" fontId="12" fillId="0" borderId="3" xfId="0" applyFont="1" applyBorder="1"/>
    <xf numFmtId="0" fontId="12" fillId="4" borderId="3" xfId="0" applyFont="1" applyFill="1" applyBorder="1" applyAlignment="1">
      <alignment horizontal="center"/>
    </xf>
    <xf numFmtId="0" fontId="14" fillId="4" borderId="0" xfId="0" applyFont="1" applyFill="1"/>
    <xf numFmtId="0" fontId="14" fillId="4" borderId="5" xfId="0" applyFont="1" applyFill="1" applyBorder="1"/>
    <xf numFmtId="0" fontId="0" fillId="4" borderId="6" xfId="0" applyFill="1" applyBorder="1"/>
    <xf numFmtId="0" fontId="0" fillId="4" borderId="7" xfId="0" applyFill="1" applyBorder="1"/>
    <xf numFmtId="0" fontId="14" fillId="4" borderId="8" xfId="0" applyFont="1" applyFill="1" applyBorder="1"/>
    <xf numFmtId="0" fontId="0" fillId="4" borderId="9" xfId="0" applyFill="1" applyBorder="1"/>
    <xf numFmtId="15" fontId="12" fillId="4" borderId="8" xfId="0" quotePrefix="1" applyNumberFormat="1" applyFont="1" applyFill="1" applyBorder="1"/>
    <xf numFmtId="0" fontId="0" fillId="4" borderId="8" xfId="0" applyFill="1" applyBorder="1"/>
    <xf numFmtId="0" fontId="19" fillId="4" borderId="0" xfId="0" applyFont="1" applyFill="1" applyAlignment="1">
      <alignment horizontal="center"/>
    </xf>
    <xf numFmtId="0" fontId="14" fillId="4" borderId="3" xfId="0" applyFont="1" applyFill="1" applyBorder="1" applyAlignment="1">
      <alignment horizontal="center"/>
    </xf>
    <xf numFmtId="0" fontId="0" fillId="4" borderId="0" xfId="0" applyFill="1" applyAlignment="1">
      <alignment horizontal="center"/>
    </xf>
    <xf numFmtId="42" fontId="14" fillId="4" borderId="0" xfId="0" applyNumberFormat="1" applyFont="1" applyFill="1"/>
    <xf numFmtId="41" fontId="14" fillId="4" borderId="0" xfId="0" applyNumberFormat="1" applyFont="1" applyFill="1"/>
    <xf numFmtId="41" fontId="0" fillId="4" borderId="0" xfId="0" applyNumberFormat="1" applyFill="1"/>
    <xf numFmtId="0" fontId="14" fillId="4" borderId="8" xfId="0" applyFont="1" applyFill="1" applyBorder="1" applyAlignment="1">
      <alignment horizontal="left" indent="2"/>
    </xf>
    <xf numFmtId="42" fontId="0" fillId="4" borderId="2" xfId="0" applyNumberFormat="1" applyFill="1" applyBorder="1"/>
    <xf numFmtId="15" fontId="20"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169" fontId="0" fillId="4" borderId="3" xfId="0" applyNumberFormat="1" applyFill="1" applyBorder="1"/>
    <xf numFmtId="0" fontId="14" fillId="4" borderId="8" xfId="0" applyFont="1" applyFill="1" applyBorder="1" applyAlignment="1">
      <alignment horizontal="left" indent="3"/>
    </xf>
    <xf numFmtId="168" fontId="0" fillId="4" borderId="2" xfId="0" applyNumberFormat="1" applyFill="1" applyBorder="1"/>
    <xf numFmtId="0" fontId="20" fillId="4" borderId="8" xfId="0" applyFont="1" applyFill="1" applyBorder="1"/>
    <xf numFmtId="0" fontId="14" fillId="4" borderId="11" xfId="0" applyFont="1" applyFill="1" applyBorder="1"/>
    <xf numFmtId="0" fontId="14" fillId="4" borderId="8" xfId="0" quotePrefix="1" applyFont="1" applyFill="1" applyBorder="1"/>
    <xf numFmtId="168" fontId="14" fillId="4" borderId="4" xfId="0" applyNumberFormat="1" applyFont="1" applyFill="1" applyBorder="1"/>
    <xf numFmtId="0" fontId="0" fillId="4" borderId="5" xfId="0" applyFill="1" applyBorder="1"/>
    <xf numFmtId="0" fontId="0" fillId="4" borderId="8" xfId="0" applyFill="1" applyBorder="1" applyAlignment="1">
      <alignment horizontal="center"/>
    </xf>
    <xf numFmtId="0" fontId="0" fillId="4" borderId="3" xfId="0" applyFill="1" applyBorder="1" applyAlignment="1">
      <alignment horizontal="center"/>
    </xf>
    <xf numFmtId="168" fontId="0" fillId="4" borderId="0" xfId="0" applyNumberFormat="1" applyFill="1"/>
    <xf numFmtId="168" fontId="0" fillId="4" borderId="3" xfId="0" applyNumberFormat="1" applyFill="1" applyBorder="1"/>
    <xf numFmtId="0" fontId="34" fillId="2" borderId="0" xfId="0" applyFont="1" applyFill="1"/>
    <xf numFmtId="0" fontId="12" fillId="4" borderId="0" xfId="0" quotePrefix="1" applyFont="1" applyFill="1" applyAlignment="1">
      <alignment horizontal="center"/>
    </xf>
    <xf numFmtId="0" fontId="35" fillId="0" borderId="0" xfId="0" applyFont="1"/>
    <xf numFmtId="0" fontId="4" fillId="0" borderId="0" xfId="0" applyFont="1"/>
    <xf numFmtId="167" fontId="4" fillId="4" borderId="0" xfId="0" applyNumberFormat="1" applyFont="1" applyFill="1" applyProtection="1">
      <protection locked="0"/>
    </xf>
    <xf numFmtId="0" fontId="23" fillId="0" borderId="13" xfId="0" applyFont="1" applyBorder="1" applyAlignment="1">
      <alignment horizontal="centerContinuous"/>
    </xf>
    <xf numFmtId="0" fontId="23" fillId="0" borderId="1" xfId="0" applyFont="1" applyBorder="1" applyAlignment="1">
      <alignment horizontal="centerContinuous"/>
    </xf>
    <xf numFmtId="0" fontId="23" fillId="0" borderId="14" xfId="0" applyFont="1" applyBorder="1" applyAlignment="1">
      <alignment horizontal="centerContinuous"/>
    </xf>
    <xf numFmtId="0" fontId="12" fillId="0" borderId="0" xfId="0" applyFont="1" applyAlignment="1">
      <alignment horizontal="center"/>
    </xf>
    <xf numFmtId="0" fontId="18" fillId="4" borderId="0" xfId="0" applyFont="1" applyFill="1"/>
    <xf numFmtId="0" fontId="36" fillId="4" borderId="0" xfId="0" applyFont="1" applyFill="1"/>
    <xf numFmtId="0" fontId="26" fillId="0" borderId="1" xfId="0" applyFont="1" applyBorder="1" applyAlignment="1">
      <alignment horizontal="center" wrapText="1"/>
    </xf>
    <xf numFmtId="0" fontId="14" fillId="6" borderId="0" xfId="0" applyFont="1" applyFill="1"/>
    <xf numFmtId="0" fontId="0" fillId="6" borderId="0" xfId="0" applyFill="1"/>
    <xf numFmtId="37" fontId="0" fillId="6" borderId="0" xfId="0" applyNumberFormat="1" applyFill="1"/>
    <xf numFmtId="3" fontId="0" fillId="6" borderId="0" xfId="0" applyNumberFormat="1" applyFill="1"/>
    <xf numFmtId="170" fontId="0" fillId="6" borderId="0" xfId="0" applyNumberFormat="1" applyFill="1"/>
    <xf numFmtId="0" fontId="0" fillId="7" borderId="0" xfId="0" applyFill="1"/>
    <xf numFmtId="37" fontId="0" fillId="7" borderId="0" xfId="0" applyNumberFormat="1" applyFill="1"/>
    <xf numFmtId="0" fontId="14" fillId="7" borderId="0" xfId="0" applyFont="1" applyFill="1"/>
    <xf numFmtId="0" fontId="0" fillId="0" borderId="0" xfId="0" applyAlignment="1">
      <alignment horizontal="center" wrapText="1"/>
    </xf>
    <xf numFmtId="0" fontId="0" fillId="6" borderId="15" xfId="0" applyFill="1" applyBorder="1" applyAlignment="1">
      <alignment horizontal="center"/>
    </xf>
    <xf numFmtId="167" fontId="4" fillId="2" borderId="3" xfId="0" applyNumberFormat="1" applyFont="1" applyFill="1" applyBorder="1"/>
    <xf numFmtId="0" fontId="35" fillId="4" borderId="0" xfId="0" applyFont="1" applyFill="1"/>
    <xf numFmtId="0" fontId="37" fillId="7" borderId="0" xfId="0" applyFont="1" applyFill="1"/>
    <xf numFmtId="0" fontId="39" fillId="4" borderId="0" xfId="0" applyFont="1" applyFill="1" applyAlignment="1">
      <alignment horizontal="left"/>
    </xf>
    <xf numFmtId="0" fontId="40" fillId="4" borderId="0" xfId="0" applyFont="1" applyFill="1" applyAlignment="1">
      <alignment horizontal="left" indent="1"/>
    </xf>
    <xf numFmtId="0" fontId="40" fillId="0" borderId="0" xfId="0" applyFont="1" applyAlignment="1">
      <alignment horizontal="left" indent="1"/>
    </xf>
    <xf numFmtId="1" fontId="14" fillId="0" borderId="0" xfId="0" applyNumberFormat="1" applyFont="1" applyAlignment="1">
      <alignment horizontal="center"/>
    </xf>
    <xf numFmtId="0" fontId="18" fillId="4" borderId="0" xfId="1" applyFont="1" applyFill="1"/>
    <xf numFmtId="0" fontId="20" fillId="4" borderId="0" xfId="1" applyFont="1" applyFill="1" applyAlignment="1">
      <alignment horizontal="left"/>
    </xf>
    <xf numFmtId="166" fontId="13" fillId="2" borderId="0" xfId="0" applyNumberFormat="1" applyFont="1" applyFill="1"/>
    <xf numFmtId="166" fontId="37" fillId="2" borderId="0" xfId="0" applyNumberFormat="1" applyFont="1" applyFill="1"/>
    <xf numFmtId="0" fontId="13" fillId="2" borderId="0" xfId="0" applyFont="1" applyFill="1"/>
    <xf numFmtId="166" fontId="13" fillId="2" borderId="0" xfId="0" quotePrefix="1" applyNumberFormat="1" applyFont="1" applyFill="1"/>
    <xf numFmtId="166" fontId="4" fillId="2" borderId="0" xfId="0" applyNumberFormat="1" applyFont="1" applyFill="1"/>
    <xf numFmtId="10" fontId="0" fillId="6" borderId="0" xfId="0" applyNumberFormat="1" applyFill="1"/>
    <xf numFmtId="3" fontId="0" fillId="7" borderId="0" xfId="0" applyNumberFormat="1" applyFill="1"/>
    <xf numFmtId="41" fontId="0" fillId="0" borderId="0" xfId="0" applyNumberFormat="1"/>
    <xf numFmtId="0" fontId="0" fillId="0" borderId="8" xfId="0" applyBorder="1"/>
    <xf numFmtId="0" fontId="5" fillId="2" borderId="0" xfId="0" applyFont="1" applyFill="1"/>
    <xf numFmtId="15" fontId="14" fillId="4" borderId="0" xfId="0" quotePrefix="1" applyNumberFormat="1" applyFont="1" applyFill="1" applyAlignment="1">
      <alignment horizontal="center"/>
    </xf>
    <xf numFmtId="0" fontId="0" fillId="6" borderId="13" xfId="0" applyFill="1" applyBorder="1"/>
    <xf numFmtId="0" fontId="0" fillId="6" borderId="1" xfId="0" applyFill="1" applyBorder="1"/>
    <xf numFmtId="0" fontId="0" fillId="6" borderId="14" xfId="0" applyFill="1" applyBorder="1"/>
    <xf numFmtId="0" fontId="15" fillId="4" borderId="0" xfId="0" applyFont="1" applyFill="1" applyAlignment="1">
      <alignment horizontal="left" vertical="center"/>
    </xf>
    <xf numFmtId="0" fontId="14" fillId="0" borderId="0" xfId="0" applyFont="1" applyAlignment="1">
      <alignment horizontal="center" wrapText="1"/>
    </xf>
    <xf numFmtId="0" fontId="38" fillId="0" borderId="0" xfId="0" applyFont="1"/>
    <xf numFmtId="0" fontId="38" fillId="4" borderId="0" xfId="0" applyFont="1" applyFill="1" applyAlignment="1">
      <alignment horizontal="left"/>
    </xf>
    <xf numFmtId="0" fontId="17" fillId="0" borderId="0" xfId="0" applyFont="1"/>
    <xf numFmtId="38" fontId="10" fillId="0" borderId="0" xfId="9" applyNumberFormat="1" applyFill="1" applyBorder="1" applyAlignment="1">
      <alignment wrapText="1"/>
    </xf>
    <xf numFmtId="170" fontId="42" fillId="0" borderId="0" xfId="3" applyNumberFormat="1" applyFont="1" applyFill="1" applyBorder="1" applyAlignment="1"/>
    <xf numFmtId="37" fontId="0" fillId="0" borderId="0" xfId="0" applyNumberFormat="1" applyAlignment="1">
      <alignment horizontal="center"/>
    </xf>
    <xf numFmtId="37" fontId="12" fillId="0" borderId="0" xfId="0" applyNumberFormat="1" applyFont="1" applyAlignment="1">
      <alignment horizontal="center"/>
    </xf>
    <xf numFmtId="37" fontId="0" fillId="0" borderId="0" xfId="2" applyNumberFormat="1" applyFont="1"/>
    <xf numFmtId="0" fontId="12" fillId="0" borderId="0" xfId="0" applyFont="1" applyAlignment="1">
      <alignment horizontal="center" wrapText="1"/>
    </xf>
    <xf numFmtId="0" fontId="10" fillId="0" borderId="0" xfId="2" applyNumberFormat="1" applyFont="1" applyFill="1" applyBorder="1" applyAlignment="1">
      <alignment horizontal="center"/>
    </xf>
    <xf numFmtId="0" fontId="37" fillId="7" borderId="0" xfId="0" applyFont="1" applyFill="1" applyAlignment="1">
      <alignment horizontal="left"/>
    </xf>
    <xf numFmtId="37" fontId="14" fillId="6" borderId="15" xfId="0" applyNumberFormat="1" applyFont="1" applyFill="1" applyBorder="1" applyAlignment="1">
      <alignment horizontal="center"/>
    </xf>
    <xf numFmtId="37" fontId="0" fillId="0" borderId="0" xfId="0" applyNumberFormat="1" applyAlignment="1">
      <alignment horizontal="center" wrapText="1"/>
    </xf>
    <xf numFmtId="167" fontId="0" fillId="4" borderId="0" xfId="0" applyNumberFormat="1" applyFill="1"/>
    <xf numFmtId="0" fontId="14" fillId="0" borderId="8" xfId="0" applyFont="1" applyBorder="1"/>
    <xf numFmtId="167" fontId="4" fillId="2" borderId="12" xfId="0" applyNumberFormat="1" applyFont="1" applyFill="1" applyBorder="1" applyProtection="1">
      <protection locked="0"/>
    </xf>
    <xf numFmtId="168" fontId="12" fillId="0" borderId="0" xfId="0" applyNumberFormat="1" applyFont="1"/>
    <xf numFmtId="169" fontId="12" fillId="0" borderId="0" xfId="0" applyNumberFormat="1" applyFont="1"/>
    <xf numFmtId="37" fontId="14" fillId="7" borderId="0" xfId="0" applyNumberFormat="1" applyFont="1" applyFill="1"/>
    <xf numFmtId="37" fontId="14" fillId="0" borderId="0" xfId="0" applyNumberFormat="1" applyFont="1"/>
    <xf numFmtId="0" fontId="0" fillId="0" borderId="3" xfId="0" applyBorder="1"/>
    <xf numFmtId="174" fontId="0" fillId="0" borderId="0" xfId="2" applyNumberFormat="1" applyFont="1"/>
    <xf numFmtId="0" fontId="0" fillId="0" borderId="0" xfId="0" applyAlignment="1">
      <alignment wrapText="1"/>
    </xf>
    <xf numFmtId="167" fontId="0" fillId="2" borderId="0" xfId="0" applyNumberFormat="1" applyFill="1"/>
    <xf numFmtId="168" fontId="14" fillId="0" borderId="2" xfId="0" applyNumberFormat="1" applyFont="1" applyBorder="1"/>
    <xf numFmtId="37" fontId="0" fillId="10" borderId="0" xfId="0" applyNumberFormat="1" applyFill="1"/>
    <xf numFmtId="167" fontId="0" fillId="0" borderId="0" xfId="0" applyNumberFormat="1"/>
    <xf numFmtId="0" fontId="4" fillId="11" borderId="0" xfId="0" applyFont="1" applyFill="1" applyAlignment="1">
      <alignment horizontal="left" indent="2"/>
    </xf>
    <xf numFmtId="0" fontId="4" fillId="11" borderId="0" xfId="0" applyFont="1" applyFill="1" applyAlignment="1">
      <alignment horizontal="center"/>
    </xf>
    <xf numFmtId="167" fontId="4" fillId="11" borderId="0" xfId="0" applyNumberFormat="1" applyFont="1" applyFill="1" applyProtection="1">
      <protection locked="0"/>
    </xf>
    <xf numFmtId="167" fontId="4" fillId="11" borderId="0" xfId="0" applyNumberFormat="1" applyFont="1" applyFill="1"/>
    <xf numFmtId="0" fontId="14" fillId="11" borderId="0" xfId="1" applyFont="1" applyFill="1"/>
    <xf numFmtId="1" fontId="14" fillId="11" borderId="0" xfId="0" applyNumberFormat="1" applyFont="1" applyFill="1" applyAlignment="1">
      <alignment horizontal="center"/>
    </xf>
    <xf numFmtId="169" fontId="14" fillId="11" borderId="0" xfId="0" applyNumberFormat="1" applyFont="1" applyFill="1"/>
    <xf numFmtId="167" fontId="14" fillId="11" borderId="0" xfId="0" applyNumberFormat="1" applyFont="1" applyFill="1"/>
    <xf numFmtId="0" fontId="14" fillId="11" borderId="3" xfId="0" applyFont="1" applyFill="1" applyBorder="1" applyAlignment="1">
      <alignment horizontal="center" wrapText="1"/>
    </xf>
    <xf numFmtId="37" fontId="0" fillId="11" borderId="0" xfId="0" applyNumberFormat="1" applyFill="1"/>
    <xf numFmtId="169" fontId="14" fillId="12" borderId="0" xfId="0" applyNumberFormat="1" applyFont="1" applyFill="1"/>
    <xf numFmtId="0" fontId="4" fillId="12" borderId="0" xfId="0" applyFont="1" applyFill="1" applyAlignment="1">
      <alignment horizontal="center"/>
    </xf>
    <xf numFmtId="175" fontId="12" fillId="0" borderId="17" xfId="12" applyNumberFormat="1" applyFont="1" applyFill="1" applyBorder="1" applyAlignment="1">
      <alignment horizontal="center" wrapText="1"/>
    </xf>
    <xf numFmtId="0" fontId="12" fillId="0" borderId="17" xfId="10" applyFont="1" applyFill="1" applyBorder="1">
      <alignment horizontal="center"/>
    </xf>
    <xf numFmtId="168" fontId="0" fillId="8" borderId="2" xfId="0" applyNumberFormat="1" applyFill="1" applyBorder="1"/>
    <xf numFmtId="0" fontId="48" fillId="0" borderId="0" xfId="0" applyFont="1" applyAlignment="1">
      <alignment vertical="center"/>
    </xf>
    <xf numFmtId="0" fontId="33" fillId="0" borderId="0" xfId="4" applyAlignment="1">
      <alignment vertical="center"/>
    </xf>
    <xf numFmtId="1" fontId="45" fillId="8" borderId="18" xfId="14" applyNumberFormat="1" applyFont="1" applyFill="1" applyBorder="1" applyAlignment="1">
      <alignment horizontal="center" vertical="center"/>
    </xf>
    <xf numFmtId="1" fontId="45" fillId="13" borderId="18" xfId="14" applyNumberFormat="1" applyFont="1" applyFill="1" applyBorder="1" applyAlignment="1">
      <alignment horizontal="center" vertical="center"/>
    </xf>
    <xf numFmtId="1" fontId="45" fillId="0" borderId="18" xfId="14" applyNumberFormat="1" applyFont="1" applyBorder="1" applyAlignment="1">
      <alignment horizontal="center" vertical="center"/>
    </xf>
    <xf numFmtId="173" fontId="45" fillId="8" borderId="18" xfId="14" applyNumberFormat="1" applyFont="1" applyFill="1" applyBorder="1" applyAlignment="1">
      <alignment horizontal="center" vertical="center"/>
    </xf>
    <xf numFmtId="0" fontId="45" fillId="8" borderId="18" xfId="14" applyNumberFormat="1" applyFont="1" applyFill="1" applyBorder="1" applyAlignment="1">
      <alignment horizontal="center" vertical="center"/>
    </xf>
    <xf numFmtId="0" fontId="45" fillId="13" borderId="18" xfId="14" applyNumberFormat="1" applyFont="1" applyFill="1" applyBorder="1" applyAlignment="1">
      <alignment horizontal="center" vertical="center"/>
    </xf>
    <xf numFmtId="0" fontId="45" fillId="0" borderId="18" xfId="14" applyNumberFormat="1" applyFont="1" applyBorder="1" applyAlignment="1">
      <alignment horizontal="center" vertical="center"/>
    </xf>
    <xf numFmtId="0" fontId="10" fillId="13" borderId="18" xfId="12" applyNumberFormat="1" applyFont="1" applyFill="1" applyBorder="1" applyAlignment="1">
      <alignment horizontal="center"/>
    </xf>
    <xf numFmtId="0" fontId="10" fillId="0" borderId="18" xfId="12" applyNumberFormat="1" applyFont="1" applyBorder="1" applyAlignment="1">
      <alignment horizontal="center"/>
    </xf>
    <xf numFmtId="39" fontId="45" fillId="8" borderId="19" xfId="11" applyFont="1" applyFill="1" applyBorder="1"/>
    <xf numFmtId="39" fontId="45" fillId="13" borderId="19" xfId="11" applyFont="1" applyFill="1" applyBorder="1"/>
    <xf numFmtId="39" fontId="45" fillId="0" borderId="19" xfId="11" applyFont="1" applyBorder="1"/>
    <xf numFmtId="38" fontId="10" fillId="13" borderId="19" xfId="9" applyNumberFormat="1" applyFill="1" applyBorder="1" applyAlignment="1"/>
    <xf numFmtId="0" fontId="0" fillId="0" borderId="19" xfId="0" applyBorder="1"/>
    <xf numFmtId="38" fontId="43" fillId="14" borderId="19" xfId="9" applyNumberFormat="1" applyFont="1" applyFill="1" applyBorder="1" applyAlignment="1"/>
    <xf numFmtId="38" fontId="43" fillId="7" borderId="19" xfId="9" applyNumberFormat="1" applyFont="1" applyFill="1" applyBorder="1" applyAlignment="1"/>
    <xf numFmtId="38" fontId="43" fillId="15" borderId="19" xfId="9" applyNumberFormat="1" applyFont="1" applyFill="1" applyBorder="1" applyAlignment="1"/>
    <xf numFmtId="38" fontId="43" fillId="16" borderId="19" xfId="9" applyNumberFormat="1" applyFont="1" applyFill="1" applyBorder="1" applyAlignment="1"/>
    <xf numFmtId="38" fontId="43" fillId="13" borderId="19" xfId="9" applyNumberFormat="1" applyFont="1" applyFill="1" applyBorder="1" applyAlignment="1"/>
    <xf numFmtId="38" fontId="43" fillId="0" borderId="19" xfId="9" applyNumberFormat="1" applyFont="1" applyBorder="1" applyAlignment="1"/>
    <xf numFmtId="0" fontId="0" fillId="17" borderId="19" xfId="0" applyFill="1" applyBorder="1"/>
    <xf numFmtId="0" fontId="0" fillId="13" borderId="19" xfId="0" applyFill="1" applyBorder="1"/>
    <xf numFmtId="37" fontId="44" fillId="14" borderId="19" xfId="0" applyNumberFormat="1" applyFont="1" applyFill="1" applyBorder="1"/>
    <xf numFmtId="37" fontId="44" fillId="7" borderId="19" xfId="0" applyNumberFormat="1" applyFont="1" applyFill="1" applyBorder="1"/>
    <xf numFmtId="37" fontId="44" fillId="16" borderId="19" xfId="0" applyNumberFormat="1" applyFont="1" applyFill="1" applyBorder="1"/>
    <xf numFmtId="37" fontId="44" fillId="13" borderId="19" xfId="0" applyNumberFormat="1" applyFont="1" applyFill="1" applyBorder="1"/>
    <xf numFmtId="37" fontId="44" fillId="0" borderId="19" xfId="0" applyNumberFormat="1" applyFont="1" applyBorder="1"/>
    <xf numFmtId="37" fontId="44" fillId="15" borderId="19" xfId="0" applyNumberFormat="1" applyFont="1" applyFill="1" applyBorder="1"/>
    <xf numFmtId="37" fontId="44" fillId="17" borderId="19" xfId="0" applyNumberFormat="1" applyFont="1" applyFill="1" applyBorder="1"/>
    <xf numFmtId="0" fontId="0" fillId="13" borderId="18" xfId="0" applyFill="1" applyBorder="1"/>
    <xf numFmtId="0" fontId="0" fillId="0" borderId="18" xfId="0" applyBorder="1"/>
    <xf numFmtId="0" fontId="0" fillId="18" borderId="18" xfId="0" applyFill="1" applyBorder="1"/>
    <xf numFmtId="0" fontId="0" fillId="18" borderId="19" xfId="0" applyFill="1" applyBorder="1"/>
    <xf numFmtId="176" fontId="0" fillId="13" borderId="19" xfId="16" applyNumberFormat="1" applyFont="1" applyFill="1" applyBorder="1"/>
    <xf numFmtId="176" fontId="0" fillId="0" borderId="19" xfId="16" applyNumberFormat="1" applyFont="1" applyBorder="1"/>
    <xf numFmtId="176" fontId="0" fillId="18" borderId="19" xfId="16" applyNumberFormat="1" applyFont="1" applyFill="1" applyBorder="1"/>
    <xf numFmtId="176" fontId="0" fillId="0" borderId="20" xfId="16" applyNumberFormat="1" applyFont="1" applyBorder="1"/>
    <xf numFmtId="44" fontId="0" fillId="0" borderId="0" xfId="16" applyFont="1"/>
    <xf numFmtId="176" fontId="0" fillId="0" borderId="0" xfId="16" applyNumberFormat="1" applyFont="1"/>
    <xf numFmtId="176" fontId="0" fillId="19" borderId="0" xfId="0" applyNumberFormat="1" applyFill="1"/>
    <xf numFmtId="0" fontId="0" fillId="6" borderId="18" xfId="0" applyFill="1" applyBorder="1"/>
    <xf numFmtId="177" fontId="0" fillId="13" borderId="19" xfId="3" applyNumberFormat="1" applyFont="1" applyFill="1" applyBorder="1"/>
    <xf numFmtId="176" fontId="0" fillId="13" borderId="20" xfId="16" applyNumberFormat="1" applyFont="1" applyFill="1" applyBorder="1"/>
    <xf numFmtId="177" fontId="0" fillId="0" borderId="19" xfId="3" applyNumberFormat="1" applyFont="1" applyBorder="1"/>
    <xf numFmtId="176" fontId="0" fillId="7" borderId="20" xfId="16" applyNumberFormat="1" applyFont="1" applyFill="1" applyBorder="1"/>
    <xf numFmtId="0" fontId="46" fillId="0" borderId="19" xfId="0" applyFont="1" applyBorder="1" applyAlignment="1">
      <alignment vertical="center"/>
    </xf>
    <xf numFmtId="172" fontId="45" fillId="8" borderId="19" xfId="14" applyNumberFormat="1" applyFont="1" applyFill="1" applyBorder="1" applyAlignment="1">
      <alignment horizontal="left" vertical="center"/>
    </xf>
    <xf numFmtId="0" fontId="46" fillId="13" borderId="19" xfId="0" applyFont="1" applyFill="1" applyBorder="1"/>
    <xf numFmtId="177" fontId="0" fillId="0" borderId="0" xfId="3" applyNumberFormat="1" applyFont="1"/>
    <xf numFmtId="176" fontId="0" fillId="20" borderId="0" xfId="16" applyNumberFormat="1" applyFont="1" applyFill="1"/>
    <xf numFmtId="0" fontId="45" fillId="8" borderId="0" xfId="0" applyFont="1" applyFill="1" applyAlignment="1">
      <alignment horizontal="center"/>
    </xf>
    <xf numFmtId="172" fontId="45" fillId="0" borderId="0" xfId="12" applyNumberFormat="1" applyFont="1" applyFill="1" applyBorder="1" applyAlignment="1">
      <alignment horizontal="center"/>
    </xf>
    <xf numFmtId="0" fontId="45" fillId="8" borderId="0" xfId="0" applyFont="1" applyFill="1" applyAlignment="1">
      <alignment horizontal="left"/>
    </xf>
    <xf numFmtId="0" fontId="46" fillId="0" borderId="0" xfId="0" applyFont="1"/>
    <xf numFmtId="0" fontId="46" fillId="0" borderId="0" xfId="0" applyFont="1" applyAlignment="1">
      <alignment vertical="center"/>
    </xf>
    <xf numFmtId="171" fontId="45" fillId="8" borderId="0" xfId="2" applyNumberFormat="1" applyFont="1" applyFill="1" applyAlignment="1">
      <alignment horizontal="center"/>
    </xf>
    <xf numFmtId="38" fontId="46" fillId="0" borderId="0" xfId="9" applyNumberFormat="1" applyFont="1" applyFill="1" applyBorder="1" applyAlignment="1"/>
    <xf numFmtId="171" fontId="45" fillId="0" borderId="0" xfId="2" applyNumberFormat="1" applyFont="1" applyFill="1" applyAlignment="1">
      <alignment horizontal="center"/>
    </xf>
    <xf numFmtId="171" fontId="45" fillId="8" borderId="3" xfId="2" applyNumberFormat="1" applyFont="1" applyFill="1" applyBorder="1" applyAlignment="1">
      <alignment horizontal="center"/>
    </xf>
    <xf numFmtId="43" fontId="0" fillId="0" borderId="0" xfId="2" applyFont="1"/>
    <xf numFmtId="43" fontId="45" fillId="8" borderId="0" xfId="2" applyFont="1" applyFill="1" applyAlignment="1">
      <alignment horizontal="left"/>
    </xf>
    <xf numFmtId="43" fontId="12" fillId="0" borderId="0" xfId="2" applyFont="1"/>
    <xf numFmtId="171" fontId="45" fillId="8" borderId="0" xfId="2" applyNumberFormat="1" applyFont="1" applyFill="1" applyBorder="1" applyAlignment="1">
      <alignment horizontal="center"/>
    </xf>
    <xf numFmtId="43" fontId="12" fillId="0" borderId="2" xfId="2" applyFont="1" applyBorder="1"/>
    <xf numFmtId="37" fontId="46" fillId="0" borderId="0" xfId="9" applyNumberFormat="1" applyFont="1" applyFill="1" applyBorder="1" applyAlignment="1"/>
    <xf numFmtId="171" fontId="0" fillId="19" borderId="0" xfId="0" applyNumberFormat="1" applyFill="1"/>
    <xf numFmtId="0" fontId="0" fillId="21" borderId="0" xfId="0" applyFill="1" applyAlignment="1">
      <alignment horizontal="center"/>
    </xf>
    <xf numFmtId="0" fontId="0" fillId="21" borderId="15" xfId="0" applyFill="1" applyBorder="1" applyAlignment="1">
      <alignment horizontal="center"/>
    </xf>
    <xf numFmtId="0" fontId="0" fillId="21" borderId="0" xfId="0" applyFill="1" applyAlignment="1">
      <alignment horizontal="center" wrapText="1"/>
    </xf>
    <xf numFmtId="37" fontId="0" fillId="21" borderId="0" xfId="0" applyNumberFormat="1" applyFill="1"/>
    <xf numFmtId="0" fontId="34" fillId="20" borderId="0" xfId="0" applyFont="1" applyFill="1"/>
    <xf numFmtId="0" fontId="0" fillId="22" borderId="0" xfId="0" applyFill="1"/>
    <xf numFmtId="0" fontId="33" fillId="0" borderId="0" xfId="4"/>
    <xf numFmtId="0" fontId="0" fillId="0" borderId="0" xfId="0"/>
    <xf numFmtId="0" fontId="20" fillId="4" borderId="0" xfId="0" applyFont="1" applyFill="1" applyAlignment="1">
      <alignment horizontal="left"/>
    </xf>
    <xf numFmtId="0" fontId="38" fillId="7" borderId="0" xfId="0" applyFont="1" applyFill="1" applyAlignment="1">
      <alignment horizontal="center"/>
    </xf>
    <xf numFmtId="0" fontId="4" fillId="4" borderId="0" xfId="0" applyFont="1" applyFill="1" applyAlignment="1">
      <alignment horizontal="left" vertical="top" wrapText="1"/>
    </xf>
    <xf numFmtId="0" fontId="0" fillId="4" borderId="0" xfId="0" applyFill="1" applyAlignment="1">
      <alignment vertical="top" wrapText="1"/>
    </xf>
    <xf numFmtId="0" fontId="4" fillId="4" borderId="0" xfId="0" applyFont="1" applyFill="1" applyAlignment="1">
      <alignment vertical="top" wrapText="1"/>
    </xf>
    <xf numFmtId="0" fontId="15" fillId="4" borderId="0" xfId="0" applyFont="1" applyFill="1" applyAlignment="1">
      <alignment horizontal="left" vertical="center"/>
    </xf>
    <xf numFmtId="0" fontId="0" fillId="4" borderId="0" xfId="0" applyFill="1" applyAlignment="1">
      <alignment vertical="center"/>
    </xf>
    <xf numFmtId="0" fontId="0" fillId="4" borderId="0" xfId="0" applyFill="1" applyAlignment="1">
      <alignment vertical="top"/>
    </xf>
    <xf numFmtId="0" fontId="12" fillId="4" borderId="0" xfId="0" quotePrefix="1" applyFont="1" applyFill="1" applyAlignment="1">
      <alignment horizontal="center"/>
    </xf>
    <xf numFmtId="0" fontId="12" fillId="0" borderId="0" xfId="0" applyFont="1" applyAlignment="1">
      <alignment horizontal="center"/>
    </xf>
    <xf numFmtId="0" fontId="14" fillId="4" borderId="0" xfId="1" applyFont="1" applyFill="1" applyAlignment="1">
      <alignment horizontal="left" wrapText="1"/>
    </xf>
    <xf numFmtId="0" fontId="0" fillId="0" borderId="0" xfId="0" applyAlignment="1">
      <alignment horizontal="left" wrapText="1"/>
    </xf>
    <xf numFmtId="0" fontId="14" fillId="4" borderId="0" xfId="0" applyFont="1" applyFill="1" applyAlignment="1">
      <alignment horizontal="left" vertical="top" wrapText="1"/>
    </xf>
    <xf numFmtId="0" fontId="0" fillId="0" borderId="0" xfId="0" applyAlignment="1">
      <alignment horizontal="center"/>
    </xf>
    <xf numFmtId="0" fontId="20" fillId="4" borderId="0" xfId="0" applyFont="1" applyFill="1"/>
    <xf numFmtId="0" fontId="20" fillId="7" borderId="8" xfId="0" quotePrefix="1" applyFont="1" applyFill="1" applyBorder="1" applyAlignment="1">
      <alignment horizontal="left" wrapText="1"/>
    </xf>
    <xf numFmtId="0" fontId="20" fillId="7" borderId="0" xfId="0" applyFont="1" applyFill="1"/>
    <xf numFmtId="0" fontId="20" fillId="7" borderId="9" xfId="0" applyFont="1" applyFill="1" applyBorder="1"/>
    <xf numFmtId="0" fontId="20" fillId="4" borderId="8" xfId="0" applyFont="1" applyFill="1" applyBorder="1" applyAlignment="1">
      <alignment wrapText="1"/>
    </xf>
    <xf numFmtId="0" fontId="20" fillId="4" borderId="0" xfId="0" applyFont="1" applyFill="1" applyAlignment="1">
      <alignment wrapText="1"/>
    </xf>
    <xf numFmtId="0" fontId="20" fillId="4" borderId="9" xfId="0" applyFont="1" applyFill="1" applyBorder="1" applyAlignment="1">
      <alignment wrapText="1"/>
    </xf>
    <xf numFmtId="0" fontId="20" fillId="4" borderId="8" xfId="0" applyFont="1" applyFill="1" applyBorder="1" applyAlignment="1">
      <alignment vertical="top" wrapText="1"/>
    </xf>
    <xf numFmtId="0" fontId="0" fillId="4" borderId="9" xfId="0" applyFill="1" applyBorder="1" applyAlignment="1">
      <alignment vertical="top" wrapText="1"/>
    </xf>
    <xf numFmtId="0" fontId="14" fillId="0" borderId="0" xfId="0" applyFont="1" applyAlignment="1">
      <alignment horizontal="center"/>
    </xf>
    <xf numFmtId="0" fontId="0" fillId="0" borderId="0" xfId="0" applyAlignment="1">
      <alignment vertical="top"/>
    </xf>
    <xf numFmtId="0" fontId="0" fillId="0" borderId="0" xfId="0" applyAlignment="1">
      <alignment wrapText="1"/>
    </xf>
    <xf numFmtId="0" fontId="4" fillId="11" borderId="0" xfId="0" applyFont="1" applyFill="1" applyAlignment="1">
      <alignment horizontal="left" vertical="top" wrapText="1"/>
    </xf>
    <xf numFmtId="0" fontId="0" fillId="11" borderId="0" xfId="0" applyFill="1" applyAlignment="1">
      <alignment vertical="top" wrapText="1"/>
    </xf>
    <xf numFmtId="0" fontId="14" fillId="5" borderId="13" xfId="0" applyFont="1" applyFill="1" applyBorder="1" applyAlignment="1">
      <alignment horizontal="center"/>
    </xf>
    <xf numFmtId="0" fontId="14" fillId="5" borderId="1" xfId="0" applyFont="1" applyFill="1" applyBorder="1" applyAlignment="1">
      <alignment horizontal="center"/>
    </xf>
    <xf numFmtId="0" fontId="14" fillId="5" borderId="14" xfId="0" applyFont="1"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14" fillId="10" borderId="0" xfId="0" applyFont="1" applyFill="1" applyAlignment="1">
      <alignment horizontal="center" wrapText="1"/>
    </xf>
    <xf numFmtId="0" fontId="0" fillId="10" borderId="0" xfId="0" applyFill="1" applyAlignment="1">
      <alignment horizontal="center" wrapText="1"/>
    </xf>
  </cellXfs>
  <cellStyles count="17">
    <cellStyle name="columnheader1" xfId="10" xr:uid="{00000000-0005-0000-0000-000000000000}"/>
    <cellStyle name="Comma" xfId="2" builtinId="3"/>
    <cellStyle name="Comma 2" xfId="12" xr:uid="{EAA45A2C-2F6D-4359-A60A-07BBC5A98FC4}"/>
    <cellStyle name="Comma 2 3" xfId="14" xr:uid="{DC5802DA-666C-4DDD-96B0-21D7E205F314}"/>
    <cellStyle name="Comma 3" xfId="5" xr:uid="{00000000-0005-0000-0000-000002000000}"/>
    <cellStyle name="Currency" xfId="16" builtinId="4"/>
    <cellStyle name="Hyperlink" xfId="4" builtinId="8"/>
    <cellStyle name="Normal" xfId="0" builtinId="0"/>
    <cellStyle name="Normal 2" xfId="9" xr:uid="{00000000-0005-0000-0000-000005000000}"/>
    <cellStyle name="Normal 2 4" xfId="13" xr:uid="{B504E79E-1E7A-4028-AC15-3DFC3D4C8C8B}"/>
    <cellStyle name="Normal 3" xfId="6" xr:uid="{00000000-0005-0000-0000-000006000000}"/>
    <cellStyle name="Normal 5" xfId="8" xr:uid="{00000000-0005-0000-0000-000007000000}"/>
    <cellStyle name="Normal 5 4" xfId="11" xr:uid="{51F4B9CE-ECEC-4E12-9F04-35E7DE60F5DA}"/>
    <cellStyle name="Normal_2006gfa x" xfId="1" xr:uid="{00000000-0005-0000-0000-000008000000}"/>
    <cellStyle name="Percent" xfId="3" builtinId="5"/>
    <cellStyle name="Percent 2 3" xfId="15" xr:uid="{2052AE4A-1C94-44EF-910B-DC306832A225}"/>
    <cellStyle name="Percent 3" xfId="7" xr:uid="{00000000-0005-0000-0000-00000A00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75 journal entries (13th period) and certain note disclosures (see below) for the following component units that participate in the Retiree Health Benefit Fund (RHBF):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75, paragraphs 96h(1) thru (5), 96i(1), and 96i(2). It also provides information needed to complete CAFR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OPEB data in this template was obtained from the Department of State Treasurer. The Office of the State Auditor (OSA) has completed a financial audit of the </a:t>
          </a:r>
          <a:r>
            <a:rPr lang="en-US" sz="950" baseline="0">
              <a:solidFill>
                <a:sysClr val="windowText" lastClr="000000"/>
              </a:solidFill>
              <a:latin typeface="Arial" panose="020B0604020202020204" pitchFamily="34" charset="0"/>
              <a:cs typeface="Arial" panose="020B0604020202020204" pitchFamily="34" charset="0"/>
            </a:rPr>
            <a:t>RHBF</a:t>
          </a:r>
          <a:r>
            <a:rPr lang="en-US" sz="950" baseline="0">
              <a:latin typeface="Arial" panose="020B0604020202020204" pitchFamily="34" charset="0"/>
              <a:cs typeface="Arial" panose="020B0604020202020204" pitchFamily="34" charset="0"/>
            </a:rPr>
            <a:t> Schedule of Employer Allocations and the </a:t>
          </a:r>
          <a:r>
            <a:rPr lang="en-US" sz="950" baseline="0">
              <a:solidFill>
                <a:sysClr val="windowText" lastClr="000000"/>
              </a:solidFill>
              <a:latin typeface="Arial" panose="020B0604020202020204" pitchFamily="34" charset="0"/>
              <a:cs typeface="Arial" panose="020B0604020202020204" pitchFamily="34" charset="0"/>
            </a:rPr>
            <a:t>RHBF</a:t>
          </a:r>
          <a:r>
            <a:rPr lang="en-US" sz="950" baseline="0">
              <a:latin typeface="Arial" panose="020B0604020202020204" pitchFamily="34" charset="0"/>
              <a:cs typeface="Arial" panose="020B0604020202020204" pitchFamily="34" charset="0"/>
            </a:rPr>
            <a:t> Schedule of OPEB Amounts by Employer for the year ended June 30, 2023. Component units will report the FY2023 OPEB allocations for DIPNC in their FY2024 financial statements. </a:t>
          </a:r>
          <a:r>
            <a:rPr lang="en-US" sz="950" b="1" u="sng" baseline="0">
              <a:latin typeface="Arial" panose="020B0604020202020204" pitchFamily="34" charset="0"/>
              <a:cs typeface="Arial" panose="020B0604020202020204" pitchFamily="34" charset="0"/>
            </a:rPr>
            <a:t>Each component unit should verify that the OPEB amounts provided by this template agree with the OPEB schedules in OSA's audit report (see link below)</a:t>
          </a:r>
          <a:r>
            <a:rPr lang="en-US" sz="950" b="1" baseline="0">
              <a:latin typeface="Arial" panose="020B0604020202020204" pitchFamily="34" charset="0"/>
              <a:cs typeface="Arial" panose="020B0604020202020204" pitchFamily="34" charset="0"/>
            </a:rPr>
            <a:t>.</a:t>
          </a:r>
        </a:p>
        <a:p>
          <a:endParaRPr lang="en-US" sz="1000"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nc.gov/nc-auditor/documents/2024-03/FIN-2023-3400-OPEB.pdf?VersionId=0zyYx_S_fmDpAWMEa7Hrd9JvwMWSxPQO" TargetMode="External"/><Relationship Id="rId1" Type="http://schemas.openxmlformats.org/officeDocument/2006/relationships/hyperlink" Target="mailto:elizabeth.joh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zoomScaleNormal="100" workbookViewId="0">
      <selection activeCell="B5" sqref="B5"/>
    </sheetView>
  </sheetViews>
  <sheetFormatPr defaultRowHeight="13.2"/>
  <cols>
    <col min="1" max="1" width="24.77734375" customWidth="1"/>
    <col min="2" max="2" width="53.77734375" customWidth="1"/>
    <col min="3" max="3" width="46.77734375" customWidth="1"/>
  </cols>
  <sheetData>
    <row r="1" spans="1:4">
      <c r="A1" s="54" t="s">
        <v>230</v>
      </c>
      <c r="B1" s="18"/>
      <c r="C1" s="18"/>
      <c r="D1" s="2"/>
    </row>
    <row r="2" spans="1:4">
      <c r="A2" s="54" t="s">
        <v>162</v>
      </c>
      <c r="B2" s="18"/>
    </row>
    <row r="3" spans="1:4">
      <c r="A3" s="53" t="s">
        <v>861</v>
      </c>
      <c r="B3" s="18"/>
      <c r="C3" s="18"/>
    </row>
    <row r="4" spans="1:4" ht="14.1" customHeight="1">
      <c r="A4" s="53"/>
      <c r="B4" s="18"/>
      <c r="C4" s="56"/>
    </row>
    <row r="5" spans="1:4" ht="13.8">
      <c r="A5" s="57" t="s">
        <v>140</v>
      </c>
      <c r="B5" s="88" t="s">
        <v>112</v>
      </c>
      <c r="C5" s="151" t="s">
        <v>179</v>
      </c>
    </row>
    <row r="6" spans="1:4" ht="12.75" customHeight="1">
      <c r="A6" s="18"/>
      <c r="B6" s="18"/>
      <c r="C6" s="58"/>
    </row>
    <row r="7" spans="1:4" ht="12.75" customHeight="1">
      <c r="A7" s="291" t="s">
        <v>862</v>
      </c>
      <c r="B7" s="291"/>
      <c r="C7" s="152"/>
    </row>
    <row r="8" spans="1:4" ht="12.75" customHeight="1">
      <c r="A8" s="18"/>
      <c r="B8" s="18"/>
      <c r="C8" s="58"/>
    </row>
    <row r="9" spans="1:4">
      <c r="A9" s="91" t="s">
        <v>231</v>
      </c>
      <c r="B9" s="18">
        <f>VLOOKUP(B5,Data!A:B,2,FALSE)</f>
        <v>11310</v>
      </c>
      <c r="C9" s="59"/>
    </row>
    <row r="10" spans="1:4" ht="13.8" hidden="1">
      <c r="A10" s="91" t="s">
        <v>157</v>
      </c>
      <c r="B10" s="18">
        <f>VLOOKUP(B5,Data!A:X,24,FALSE)</f>
        <v>3</v>
      </c>
      <c r="C10" s="150" t="s">
        <v>178</v>
      </c>
    </row>
    <row r="11" spans="1:4">
      <c r="A11" s="18"/>
      <c r="B11" s="18"/>
      <c r="C11" s="148"/>
    </row>
    <row r="12" spans="1:4">
      <c r="A12" s="18"/>
      <c r="B12" s="18"/>
      <c r="C12" s="18"/>
    </row>
    <row r="13" spans="1:4">
      <c r="A13" s="18"/>
      <c r="B13" s="18"/>
      <c r="C13" s="18"/>
    </row>
    <row r="14" spans="1:4">
      <c r="A14" s="18"/>
      <c r="B14" s="18"/>
      <c r="C14" s="18"/>
    </row>
    <row r="15" spans="1:4">
      <c r="A15" s="18"/>
      <c r="B15" s="18"/>
      <c r="C15" s="18"/>
    </row>
    <row r="16" spans="1:4">
      <c r="A16" s="18"/>
      <c r="B16" s="18"/>
      <c r="C16" s="18"/>
    </row>
    <row r="17" spans="1:3">
      <c r="A17" s="18"/>
      <c r="B17" s="18"/>
      <c r="C17" s="18"/>
    </row>
    <row r="18" spans="1:3">
      <c r="A18" s="18"/>
      <c r="B18" s="18"/>
      <c r="C18" s="18"/>
    </row>
    <row r="19" spans="1:3">
      <c r="A19" s="18"/>
      <c r="B19" s="18"/>
      <c r="C19" s="18"/>
    </row>
    <row r="20" spans="1:3">
      <c r="A20" s="18"/>
      <c r="B20" s="18"/>
      <c r="C20" s="18"/>
    </row>
    <row r="21" spans="1:3">
      <c r="A21" s="18"/>
      <c r="B21" s="18"/>
      <c r="C21" s="18"/>
    </row>
    <row r="22" spans="1:3">
      <c r="A22" s="18"/>
      <c r="B22" s="18"/>
      <c r="C22" s="18"/>
    </row>
    <row r="23" spans="1:3">
      <c r="A23" s="18"/>
      <c r="B23" s="18"/>
      <c r="C23" s="18"/>
    </row>
    <row r="24" spans="1:3">
      <c r="A24" s="18"/>
      <c r="B24" s="18"/>
      <c r="C24" s="18"/>
    </row>
    <row r="25" spans="1:3">
      <c r="A25" s="18"/>
      <c r="B25" s="18"/>
      <c r="C25" s="18"/>
    </row>
    <row r="26" spans="1:3">
      <c r="A26" s="18"/>
      <c r="B26" s="18"/>
      <c r="C26" s="18"/>
    </row>
    <row r="27" spans="1:3">
      <c r="A27" s="18"/>
      <c r="B27" s="18"/>
      <c r="C27" s="18"/>
    </row>
    <row r="28" spans="1:3">
      <c r="A28" s="18"/>
      <c r="B28" s="18"/>
      <c r="C28" s="18"/>
    </row>
    <row r="29" spans="1:3">
      <c r="A29" s="18"/>
      <c r="B29" s="18"/>
      <c r="C29" s="18"/>
    </row>
    <row r="30" spans="1:3">
      <c r="A30" s="18"/>
      <c r="B30" s="18"/>
      <c r="C30" s="18"/>
    </row>
    <row r="31" spans="1:3">
      <c r="A31" s="18"/>
      <c r="B31" s="18"/>
      <c r="C31" s="18"/>
    </row>
    <row r="32" spans="1:3" ht="12.75" customHeight="1">
      <c r="A32" s="134" t="s">
        <v>166</v>
      </c>
      <c r="B32" s="18"/>
      <c r="C32" s="18"/>
    </row>
    <row r="33" spans="1:3" ht="14.1" customHeight="1">
      <c r="A33" s="135" t="s">
        <v>863</v>
      </c>
      <c r="B33" s="18"/>
      <c r="C33" s="172"/>
    </row>
    <row r="34" spans="1:3" ht="12.75" customHeight="1">
      <c r="A34" s="214"/>
      <c r="C34" s="127"/>
    </row>
    <row r="35" spans="1:3" ht="15.75" customHeight="1">
      <c r="A35" s="215" t="s">
        <v>864</v>
      </c>
      <c r="B35" s="18"/>
      <c r="C35" s="18"/>
    </row>
    <row r="36" spans="1:3" ht="12" customHeight="1">
      <c r="A36" s="215"/>
      <c r="B36" s="18"/>
      <c r="C36" s="18"/>
    </row>
    <row r="37" spans="1:3" ht="12" customHeight="1">
      <c r="A37" s="290" t="s">
        <v>190</v>
      </c>
      <c r="B37" s="290"/>
      <c r="C37" s="18"/>
    </row>
    <row r="38" spans="1:3" ht="12" customHeight="1">
      <c r="A38" s="290" t="s">
        <v>865</v>
      </c>
      <c r="B38" s="290"/>
      <c r="C38" s="18"/>
    </row>
    <row r="39" spans="1:3">
      <c r="A39" s="288" t="s">
        <v>866</v>
      </c>
      <c r="B39" s="289"/>
      <c r="C39" s="18"/>
    </row>
  </sheetData>
  <mergeCells count="4">
    <mergeCell ref="A39:B39"/>
    <mergeCell ref="A37:B37"/>
    <mergeCell ref="A38:B38"/>
    <mergeCell ref="A7:B7"/>
  </mergeCells>
  <hyperlinks>
    <hyperlink ref="A39" r:id="rId1" xr:uid="{2144EC28-C36E-44F7-BB0F-42EBE3A78DFC}"/>
    <hyperlink ref="A35" r:id="rId2" xr:uid="{8CE4FFD2-1C0C-4B52-B4DB-04DC3C349EF1}"/>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4"/>
  <sheetViews>
    <sheetView showGridLines="0" topLeftCell="A32" zoomScaleNormal="100" workbookViewId="0">
      <selection activeCell="B62" sqref="B62"/>
    </sheetView>
  </sheetViews>
  <sheetFormatPr defaultColWidth="9.21875" defaultRowHeight="13.2"/>
  <cols>
    <col min="1" max="1" width="4.44140625" style="18" customWidth="1"/>
    <col min="2" max="2" width="50.77734375" style="18" customWidth="1"/>
    <col min="3" max="3" width="7.77734375" style="18" customWidth="1"/>
    <col min="4" max="4" width="3.77734375" style="18" hidden="1" customWidth="1"/>
    <col min="5" max="6" width="10.5546875" style="18" bestFit="1" customWidth="1"/>
    <col min="7" max="7" width="40.77734375" style="18" customWidth="1"/>
    <col min="8" max="8" width="16.21875" style="18" customWidth="1"/>
    <col min="9" max="9" width="14" style="18" customWidth="1"/>
    <col min="10" max="10" width="88.21875" style="18" customWidth="1"/>
    <col min="11" max="16384" width="9.21875" style="18"/>
  </cols>
  <sheetData>
    <row r="1" spans="1:9">
      <c r="A1" s="53" t="str">
        <f>Info!B5</f>
        <v>NC HOUSING FINANCE AGENCY</v>
      </c>
    </row>
    <row r="2" spans="1:9">
      <c r="A2" s="53" t="s">
        <v>232</v>
      </c>
    </row>
    <row r="3" spans="1:9">
      <c r="A3" s="53" t="s">
        <v>861</v>
      </c>
    </row>
    <row r="4" spans="1:9" ht="10.050000000000001" customHeight="1">
      <c r="A4" s="53"/>
      <c r="G4" s="56"/>
    </row>
    <row r="5" spans="1:9" ht="12" customHeight="1">
      <c r="A5" s="29"/>
      <c r="B5" s="29"/>
      <c r="C5" s="35" t="str">
        <f>IF(Info!B$10=2,"Colleague","NCAS")</f>
        <v>NCAS</v>
      </c>
      <c r="D5" s="29"/>
      <c r="E5" s="29"/>
      <c r="F5" s="29"/>
      <c r="G5" s="29"/>
      <c r="H5" s="29"/>
      <c r="I5" s="29"/>
    </row>
    <row r="6" spans="1:9" ht="12" customHeight="1">
      <c r="A6" s="30" t="s">
        <v>2</v>
      </c>
      <c r="B6" s="30" t="s">
        <v>141</v>
      </c>
      <c r="C6" s="31" t="s">
        <v>128</v>
      </c>
      <c r="D6" s="31" t="s">
        <v>14</v>
      </c>
      <c r="E6" s="31" t="s">
        <v>0</v>
      </c>
      <c r="F6" s="31" t="s">
        <v>1</v>
      </c>
      <c r="G6" s="31" t="s">
        <v>23</v>
      </c>
      <c r="H6" s="31" t="s">
        <v>3</v>
      </c>
      <c r="I6" s="31" t="s">
        <v>22</v>
      </c>
    </row>
    <row r="7" spans="1:9" ht="3" customHeight="1">
      <c r="A7" s="32"/>
      <c r="B7" s="33"/>
      <c r="C7" s="34"/>
      <c r="D7" s="34"/>
      <c r="E7" s="31"/>
      <c r="F7" s="31"/>
      <c r="G7" s="29"/>
      <c r="H7" s="29"/>
      <c r="I7" s="29"/>
    </row>
    <row r="8" spans="1:9" ht="13.8">
      <c r="A8" s="29"/>
      <c r="B8" s="17" t="s">
        <v>173</v>
      </c>
      <c r="C8" s="34"/>
      <c r="D8" s="34"/>
      <c r="E8" s="35"/>
      <c r="F8" s="35"/>
      <c r="G8" s="33"/>
      <c r="H8" s="33"/>
      <c r="I8" s="29"/>
    </row>
    <row r="9" spans="1:9" ht="4.05" customHeight="1">
      <c r="A9" s="29"/>
      <c r="B9" s="36"/>
      <c r="C9" s="34"/>
      <c r="D9" s="34"/>
      <c r="E9" s="35"/>
      <c r="F9" s="35"/>
      <c r="G9" s="33"/>
      <c r="H9" s="33"/>
      <c r="I9" s="29"/>
    </row>
    <row r="10" spans="1:9" ht="12.6" customHeight="1">
      <c r="A10" s="29"/>
      <c r="B10" s="33" t="s">
        <v>193</v>
      </c>
      <c r="C10" s="34"/>
      <c r="D10" s="34">
        <v>4</v>
      </c>
      <c r="E10" s="38">
        <f>VLOOKUP(Info!B9,Data!B:AU,32,FALSE)</f>
        <v>1437735</v>
      </c>
      <c r="F10" s="35"/>
      <c r="G10" s="156" t="s">
        <v>25</v>
      </c>
      <c r="H10" s="33"/>
      <c r="I10" s="29"/>
    </row>
    <row r="11" spans="1:9" ht="12.6" customHeight="1">
      <c r="A11" s="29"/>
      <c r="B11" s="33" t="s">
        <v>193</v>
      </c>
      <c r="C11" s="34"/>
      <c r="D11" s="34">
        <v>2</v>
      </c>
      <c r="E11" s="38">
        <f>VLOOKUP(Info!B9,Data!B:AU,31,FALSE)</f>
        <v>978528</v>
      </c>
      <c r="F11" s="35"/>
      <c r="G11" s="156" t="s">
        <v>132</v>
      </c>
      <c r="H11" s="33"/>
      <c r="I11" s="29"/>
    </row>
    <row r="12" spans="1:9" ht="12.6" customHeight="1">
      <c r="A12" s="29"/>
      <c r="B12" s="33" t="s">
        <v>193</v>
      </c>
      <c r="C12" s="34"/>
      <c r="D12" s="34">
        <v>3</v>
      </c>
      <c r="E12" s="38">
        <f>VLOOKUP(Info!B9,Data!B:AU,30,FALSE)</f>
        <v>105837</v>
      </c>
      <c r="F12" s="35"/>
      <c r="G12" s="156" t="s">
        <v>26</v>
      </c>
      <c r="H12" s="33"/>
      <c r="I12" s="29"/>
    </row>
    <row r="13" spans="1:9" ht="12.6" customHeight="1">
      <c r="A13" s="37"/>
      <c r="B13" s="33" t="s">
        <v>193</v>
      </c>
      <c r="C13" s="34"/>
      <c r="D13" s="34">
        <v>1</v>
      </c>
      <c r="E13" s="38">
        <f>VLOOKUP(Info!B9,Data!B:AU,29,FALSE)</f>
        <v>118659</v>
      </c>
      <c r="F13" s="38"/>
      <c r="G13" s="156" t="s">
        <v>24</v>
      </c>
      <c r="H13" s="156"/>
      <c r="I13" s="156"/>
    </row>
    <row r="14" spans="1:9" ht="12.6" customHeight="1">
      <c r="A14" s="37"/>
      <c r="B14" s="33" t="s">
        <v>193</v>
      </c>
      <c r="C14" s="34"/>
      <c r="D14" s="34"/>
      <c r="E14" s="38">
        <f>VLOOKUP(Info!B9,Data!B:AU,2,FALSE)+VLOOKUP(Info!B9,Data!B:AU,21,FALSE)</f>
        <v>766943</v>
      </c>
      <c r="F14" s="38"/>
      <c r="G14" s="157" t="s">
        <v>868</v>
      </c>
      <c r="H14" s="156"/>
      <c r="I14" s="156" t="s">
        <v>134</v>
      </c>
    </row>
    <row r="15" spans="1:9" ht="13.8">
      <c r="A15" s="37"/>
      <c r="B15" s="39" t="s">
        <v>194</v>
      </c>
      <c r="C15" s="34"/>
      <c r="D15" s="34"/>
      <c r="E15" s="38"/>
      <c r="F15" s="38">
        <f>VLOOKUP(Info!B9,Data!B:AU,28,FALSE)</f>
        <v>12221975</v>
      </c>
      <c r="G15" s="156" t="s">
        <v>196</v>
      </c>
      <c r="H15" s="156"/>
      <c r="I15" s="156"/>
    </row>
    <row r="16" spans="1:9" ht="13.8">
      <c r="A16" s="37"/>
      <c r="B16" s="39" t="s">
        <v>195</v>
      </c>
      <c r="C16" s="34"/>
      <c r="D16" s="34">
        <v>6</v>
      </c>
      <c r="E16" s="38"/>
      <c r="F16" s="38">
        <f>VLOOKUP(Info!B9,Data!B:AU,33,FALSE)</f>
        <v>33819</v>
      </c>
      <c r="G16" s="156" t="s">
        <v>24</v>
      </c>
      <c r="H16" s="156"/>
      <c r="I16" s="156"/>
    </row>
    <row r="17" spans="1:9" ht="13.8">
      <c r="A17" s="37"/>
      <c r="B17" s="39" t="s">
        <v>195</v>
      </c>
      <c r="C17" s="34"/>
      <c r="D17" s="34">
        <v>8</v>
      </c>
      <c r="E17" s="38"/>
      <c r="F17" s="38">
        <f>VLOOKUP(Info!B9,Data!B:AU,34,FALSE)</f>
        <v>0</v>
      </c>
      <c r="G17" s="156" t="s">
        <v>26</v>
      </c>
      <c r="H17" s="156"/>
      <c r="I17" s="156"/>
    </row>
    <row r="18" spans="1:9" ht="13.8">
      <c r="A18" s="37"/>
      <c r="B18" s="39" t="s">
        <v>195</v>
      </c>
      <c r="C18" s="34"/>
      <c r="D18" s="34">
        <v>7</v>
      </c>
      <c r="E18" s="38"/>
      <c r="F18" s="38">
        <f>VLOOKUP(Info!B9,Data!B:AU,35,FALSE)</f>
        <v>5562509</v>
      </c>
      <c r="G18" s="156" t="s">
        <v>132</v>
      </c>
      <c r="H18" s="156"/>
      <c r="I18" s="156"/>
    </row>
    <row r="19" spans="1:9" ht="13.8">
      <c r="A19" s="37"/>
      <c r="B19" s="39" t="s">
        <v>195</v>
      </c>
      <c r="C19" s="34"/>
      <c r="D19" s="34">
        <v>9</v>
      </c>
      <c r="E19" s="38"/>
      <c r="F19" s="38">
        <f>VLOOKUP(Info!B9,Data!B:AU,36,FALSE)</f>
        <v>0</v>
      </c>
      <c r="G19" s="156" t="s">
        <v>25</v>
      </c>
      <c r="H19" s="156"/>
      <c r="I19" s="156"/>
    </row>
    <row r="20" spans="1:9" ht="5.0999999999999996" customHeight="1">
      <c r="A20" s="37"/>
      <c r="B20" s="40"/>
      <c r="C20" s="35"/>
      <c r="D20" s="35"/>
      <c r="E20" s="38"/>
      <c r="F20" s="38"/>
      <c r="G20" s="156"/>
      <c r="H20" s="29"/>
      <c r="I20" s="29"/>
    </row>
    <row r="21" spans="1:9" ht="12.6" customHeight="1">
      <c r="A21" s="37"/>
      <c r="B21" s="182" t="s">
        <v>867</v>
      </c>
      <c r="C21" s="35"/>
      <c r="D21" s="35"/>
      <c r="E21" s="187">
        <v>0</v>
      </c>
      <c r="F21" s="38"/>
      <c r="G21" s="157" t="s">
        <v>501</v>
      </c>
      <c r="H21" s="29"/>
      <c r="I21" s="29"/>
    </row>
    <row r="22" spans="1:9" ht="13.8">
      <c r="A22" s="37"/>
      <c r="B22" s="17" t="s">
        <v>137</v>
      </c>
      <c r="C22" s="29"/>
      <c r="D22" s="29"/>
      <c r="E22" s="41"/>
      <c r="F22" s="41"/>
      <c r="G22" s="156"/>
      <c r="H22" s="156"/>
      <c r="I22" s="29"/>
    </row>
    <row r="23" spans="1:9" ht="3" customHeight="1">
      <c r="A23" s="37"/>
      <c r="B23" s="33"/>
      <c r="C23" s="34"/>
      <c r="D23" s="34"/>
      <c r="E23" s="38"/>
      <c r="F23" s="38"/>
      <c r="G23" s="29"/>
      <c r="H23" s="29"/>
      <c r="I23" s="29"/>
    </row>
    <row r="24" spans="1:9" ht="13.8">
      <c r="A24" s="42"/>
      <c r="B24" s="43" t="s">
        <v>177</v>
      </c>
      <c r="C24" s="30"/>
      <c r="D24" s="30"/>
      <c r="E24" s="38"/>
      <c r="F24" s="38"/>
      <c r="G24" s="29"/>
      <c r="H24" s="29"/>
      <c r="I24" s="29"/>
    </row>
    <row r="25" spans="1:9" ht="13.5" customHeight="1">
      <c r="A25" s="37">
        <v>1</v>
      </c>
      <c r="B25" s="33" t="s">
        <v>197</v>
      </c>
      <c r="C25" s="34">
        <f>IF(Info!B$10=2,Summary!R9,Summary!Q9)</f>
        <v>61100009</v>
      </c>
      <c r="D25" s="30"/>
      <c r="E25" s="38">
        <f>IF(E21=0,0,IF(E21&lt;E14,E14-E21,0))</f>
        <v>0</v>
      </c>
      <c r="F25" s="38"/>
      <c r="G25" s="156" t="s">
        <v>499</v>
      </c>
      <c r="H25" s="156"/>
      <c r="I25" s="156"/>
    </row>
    <row r="26" spans="1:9" ht="13.5" customHeight="1">
      <c r="A26" s="42"/>
      <c r="B26" s="33" t="s">
        <v>174</v>
      </c>
      <c r="C26" s="34">
        <f>IF(Info!B$10=2,Summary!R14,Summary!Q14)</f>
        <v>55900000</v>
      </c>
      <c r="D26" s="30"/>
      <c r="E26" s="38">
        <f>F27</f>
        <v>0</v>
      </c>
      <c r="F26" s="38"/>
      <c r="G26" s="156" t="s">
        <v>15</v>
      </c>
      <c r="H26" s="156" t="s">
        <v>189</v>
      </c>
      <c r="I26" s="29"/>
    </row>
    <row r="27" spans="1:9" ht="13.5" customHeight="1">
      <c r="A27" s="42"/>
      <c r="B27" s="39" t="s">
        <v>197</v>
      </c>
      <c r="C27" s="34">
        <f>IF(Info!B$10=2,Summary!R9,Summary!Q9)</f>
        <v>61100009</v>
      </c>
      <c r="D27" s="30"/>
      <c r="E27" s="38"/>
      <c r="F27" s="38">
        <f>IF(E21=0,0,IF(E21&gt;E14,E21-E14,0))</f>
        <v>0</v>
      </c>
      <c r="G27" s="156" t="s">
        <v>499</v>
      </c>
      <c r="H27" s="156"/>
      <c r="I27" s="29"/>
    </row>
    <row r="28" spans="1:9" ht="13.5" customHeight="1">
      <c r="A28" s="42"/>
      <c r="B28" s="39" t="s">
        <v>175</v>
      </c>
      <c r="C28" s="34">
        <f>IF(Info!B$10=2,Summary!R15,Summary!Q15)</f>
        <v>47995000</v>
      </c>
      <c r="D28" s="30"/>
      <c r="E28" s="147"/>
      <c r="F28" s="147">
        <f>E25</f>
        <v>0</v>
      </c>
      <c r="G28" s="156" t="s">
        <v>15</v>
      </c>
      <c r="H28" s="156" t="s">
        <v>189</v>
      </c>
      <c r="I28" s="29"/>
    </row>
    <row r="29" spans="1:9" ht="13.8">
      <c r="A29" s="42"/>
      <c r="B29" s="39" t="s">
        <v>500</v>
      </c>
      <c r="C29" s="30"/>
      <c r="D29" s="30"/>
      <c r="E29" s="45">
        <f>SUM(E25:E28)</f>
        <v>0</v>
      </c>
      <c r="F29" s="45">
        <f>SUM(F25:F28)</f>
        <v>0</v>
      </c>
      <c r="G29" s="29"/>
      <c r="H29" s="29"/>
      <c r="I29" s="29"/>
    </row>
    <row r="30" spans="1:9" ht="3" customHeight="1">
      <c r="A30" s="42"/>
      <c r="B30" s="43"/>
      <c r="C30" s="30"/>
      <c r="D30" s="30"/>
      <c r="E30" s="38"/>
      <c r="F30" s="38"/>
      <c r="G30" s="29"/>
      <c r="H30" s="29"/>
      <c r="I30" s="29"/>
    </row>
    <row r="31" spans="1:9" ht="13.8">
      <c r="A31" s="42"/>
      <c r="B31" s="43" t="s">
        <v>198</v>
      </c>
      <c r="C31" s="30"/>
      <c r="D31" s="30"/>
      <c r="E31" s="38"/>
      <c r="F31" s="38"/>
      <c r="G31" s="29"/>
      <c r="H31" s="29"/>
      <c r="I31" s="29"/>
    </row>
    <row r="32" spans="1:9" ht="13.8">
      <c r="A32" s="37"/>
      <c r="B32" s="33" t="s">
        <v>200</v>
      </c>
      <c r="C32" s="34">
        <f>IF(Info!B$10=2,Summary!R8,Summary!Q8)</f>
        <v>22916000</v>
      </c>
      <c r="D32" s="34"/>
      <c r="E32" s="38">
        <f>IF(VLOOKUP(Info!B9,Data!B:AU,44,FALSE)&lt;0, -VLOOKUP(Info!B9,Data!B:AU,44,FALSE),0)</f>
        <v>0</v>
      </c>
      <c r="F32" s="38"/>
      <c r="G32" s="156" t="s">
        <v>205</v>
      </c>
      <c r="H32" s="156" t="s">
        <v>154</v>
      </c>
      <c r="I32" s="158"/>
    </row>
    <row r="33" spans="1:10" ht="13.8">
      <c r="A33" s="37"/>
      <c r="B33" s="33" t="s">
        <v>193</v>
      </c>
      <c r="C33" s="34">
        <f>IF(Info!B$10=2,Summary!R9,Summary!Q9)</f>
        <v>61100009</v>
      </c>
      <c r="D33" s="34">
        <v>1</v>
      </c>
      <c r="E33" s="38">
        <f>IF(VLOOKUP(Info!B9,Data!B:AU,40,FALSE)&gt;0, VLOOKUP(Info!B9,Data!B:AU,40,FALSE),0)</f>
        <v>28375</v>
      </c>
      <c r="F33" s="38"/>
      <c r="G33" s="156" t="s">
        <v>24</v>
      </c>
      <c r="H33" s="156" t="s">
        <v>135</v>
      </c>
      <c r="I33" s="156"/>
    </row>
    <row r="34" spans="1:10" ht="13.8">
      <c r="A34" s="37">
        <v>2</v>
      </c>
      <c r="B34" s="33" t="s">
        <v>195</v>
      </c>
      <c r="C34" s="34">
        <f>IF(Info!B$10=2,Summary!R10,Summary!Q10)</f>
        <v>71100011</v>
      </c>
      <c r="D34" s="34">
        <v>6</v>
      </c>
      <c r="E34" s="38">
        <f>IF(VLOOKUP(Info!B9,Data!B:AU,41,FALSE)&lt;0, -VLOOKUP(Info!B9,Data!B:AU,41,FALSE),0)</f>
        <v>20736</v>
      </c>
      <c r="F34" s="38"/>
      <c r="G34" s="156" t="s">
        <v>24</v>
      </c>
      <c r="H34" s="156" t="s">
        <v>135</v>
      </c>
      <c r="I34" s="156"/>
    </row>
    <row r="35" spans="1:10" ht="13.8">
      <c r="A35" s="29"/>
      <c r="B35" s="33" t="s">
        <v>193</v>
      </c>
      <c r="C35" s="34">
        <f>IF(Info!B$10=2,Summary!R9,Summary!Q9)</f>
        <v>61100009</v>
      </c>
      <c r="D35" s="34">
        <v>2</v>
      </c>
      <c r="E35" s="38">
        <f>IF(VLOOKUP(Info!B9,Data!B:AU,42,FALSE)&gt;0, VLOOKUP(Info!B9,Data!B:AU,42,FALSE),0)</f>
        <v>467927</v>
      </c>
      <c r="F35" s="29"/>
      <c r="G35" s="156" t="s">
        <v>132</v>
      </c>
      <c r="H35" s="156" t="s">
        <v>184</v>
      </c>
      <c r="I35" s="158"/>
    </row>
    <row r="36" spans="1:10" ht="13.8">
      <c r="A36" s="29"/>
      <c r="B36" s="33" t="s">
        <v>195</v>
      </c>
      <c r="C36" s="34">
        <f>IF(Info!B$10=2,Summary!R10,Summary!Q10)</f>
        <v>71100011</v>
      </c>
      <c r="D36" s="34">
        <v>7</v>
      </c>
      <c r="E36" s="38">
        <f>IF(VLOOKUP(Info!B9,Data!B:AU,43,FALSE)&lt;0, -VLOOKUP(Info!B9,Data!B:AU,43,FALSE),0)</f>
        <v>2000236</v>
      </c>
      <c r="F36" s="29"/>
      <c r="G36" s="156" t="s">
        <v>132</v>
      </c>
      <c r="H36" s="156" t="s">
        <v>184</v>
      </c>
      <c r="I36" s="158"/>
    </row>
    <row r="37" spans="1:10" ht="13.8">
      <c r="A37" s="37"/>
      <c r="B37" s="33" t="s">
        <v>193</v>
      </c>
      <c r="C37" s="34">
        <f>IF(Info!B$10=2,Summary!R9,Summary!Q9)</f>
        <v>61100009</v>
      </c>
      <c r="D37" s="34">
        <v>4</v>
      </c>
      <c r="E37" s="38">
        <f>IF(VLOOKUP(Info!B9,Data!B:AU,38,FALSE)&gt;0, VLOOKUP(Info!B9,Data!B:AU,38,FALSE),0)</f>
        <v>0</v>
      </c>
      <c r="F37" s="38"/>
      <c r="G37" s="156" t="s">
        <v>25</v>
      </c>
      <c r="H37" s="156" t="s">
        <v>180</v>
      </c>
      <c r="I37" s="158"/>
    </row>
    <row r="38" spans="1:10" ht="13.8">
      <c r="A38" s="37"/>
      <c r="B38" s="33" t="s">
        <v>195</v>
      </c>
      <c r="C38" s="34">
        <f>IF(Info!B$10=2,Summary!R10,Summary!Q10)</f>
        <v>71100011</v>
      </c>
      <c r="D38" s="34">
        <v>9</v>
      </c>
      <c r="E38" s="38">
        <f>IF(VLOOKUP(Info!B9,Data!B:AU,39,FALSE)&lt;0, -VLOOKUP(Info!B9,Data!B:AU,39,FALSE),0)</f>
        <v>0</v>
      </c>
      <c r="F38" s="38"/>
      <c r="G38" s="156" t="s">
        <v>25</v>
      </c>
      <c r="H38" s="156" t="s">
        <v>180</v>
      </c>
      <c r="I38" s="158"/>
      <c r="J38" s="185"/>
    </row>
    <row r="39" spans="1:10" ht="13.8">
      <c r="A39" s="37"/>
      <c r="B39" s="33" t="s">
        <v>193</v>
      </c>
      <c r="C39" s="34">
        <f>IF(Info!B$10=2,Summary!R9,Summary!Q9)</f>
        <v>61100009</v>
      </c>
      <c r="D39" s="34">
        <v>3</v>
      </c>
      <c r="E39" s="38">
        <f>IF(VLOOKUP(Info!B9,Data!B:AU,45,FALSE)&gt;0, VLOOKUP(Info!B9,Data!B:AU,45,FALSE),0)</f>
        <v>828</v>
      </c>
      <c r="F39" s="29"/>
      <c r="G39" s="156" t="s">
        <v>26</v>
      </c>
      <c r="H39" s="156" t="s">
        <v>135</v>
      </c>
      <c r="I39" s="158"/>
    </row>
    <row r="40" spans="1:10" ht="13.8">
      <c r="A40" s="37"/>
      <c r="B40" s="33" t="s">
        <v>195</v>
      </c>
      <c r="C40" s="34">
        <f>IF(Info!B$10=2,Summary!R10,Summary!Q10)</f>
        <v>71100011</v>
      </c>
      <c r="D40" s="34">
        <v>8</v>
      </c>
      <c r="E40" s="38">
        <f>IF(VLOOKUP(Info!B9,Data!B:AU,46,FALSE)&lt;0, -VLOOKUP(Info!B9,Data!B:AU,46,FALSE),0)</f>
        <v>0</v>
      </c>
      <c r="F40" s="38"/>
      <c r="G40" s="156" t="s">
        <v>26</v>
      </c>
      <c r="H40" s="156" t="s">
        <v>135</v>
      </c>
      <c r="I40" s="158"/>
    </row>
    <row r="41" spans="1:10" ht="13.8">
      <c r="A41" s="37"/>
      <c r="B41" s="33" t="s">
        <v>199</v>
      </c>
      <c r="C41" s="34">
        <f>IF(Info!B$10=2,Summary!R11,Summary!Q11)</f>
        <v>51598000</v>
      </c>
      <c r="D41" s="34"/>
      <c r="E41" s="38">
        <f>IF(VLOOKUP(Info!B9,Data!B:AU,15,FALSE)&gt;0, VLOOKUP(Info!B9,Data!B:AU,15,FALSE),0)</f>
        <v>248600</v>
      </c>
      <c r="F41" s="38"/>
      <c r="G41" s="156" t="s">
        <v>204</v>
      </c>
      <c r="H41" s="159" t="s">
        <v>16</v>
      </c>
      <c r="I41" s="156"/>
    </row>
    <row r="42" spans="1:10" ht="13.8">
      <c r="A42" s="37"/>
      <c r="B42" s="33" t="s">
        <v>199</v>
      </c>
      <c r="C42" s="34">
        <f>IF(Info!B$10=2,Summary!R11,Summary!Q11)</f>
        <v>51598000</v>
      </c>
      <c r="D42" s="34"/>
      <c r="E42" s="38"/>
      <c r="F42" s="38">
        <f>IF(VLOOKUP(Info!B9,Data!B:AU,15,FALSE)&lt;0, -VLOOKUP(Info!B9,Data!B:AU,15,FALSE),0)</f>
        <v>0</v>
      </c>
      <c r="G42" s="156" t="s">
        <v>204</v>
      </c>
      <c r="H42" s="159" t="s">
        <v>16</v>
      </c>
      <c r="I42" s="156"/>
    </row>
    <row r="43" spans="1:10" ht="13.8">
      <c r="A43" s="37"/>
      <c r="B43" s="39" t="s">
        <v>200</v>
      </c>
      <c r="C43" s="34">
        <f>IF(Info!B$10=2,Summary!R8,Summary!Q8)</f>
        <v>22916000</v>
      </c>
      <c r="D43" s="34"/>
      <c r="E43" s="29"/>
      <c r="F43" s="38">
        <f>IF(VLOOKUP(Info!B9,Data!B:AU,44,FALSE)&gt;0, VLOOKUP(Info!B9,Data!B:AU,44,FALSE),0)</f>
        <v>1130278</v>
      </c>
      <c r="G43" s="156" t="s">
        <v>205</v>
      </c>
      <c r="H43" s="156" t="s">
        <v>154</v>
      </c>
      <c r="I43" s="156"/>
    </row>
    <row r="44" spans="1:10" ht="13.8">
      <c r="A44" s="37"/>
      <c r="B44" s="39" t="s">
        <v>195</v>
      </c>
      <c r="C44" s="34">
        <f>IF(Info!B$10=2,Summary!R10,Summary!Q10)</f>
        <v>71100011</v>
      </c>
      <c r="D44" s="34">
        <v>6</v>
      </c>
      <c r="E44" s="44"/>
      <c r="F44" s="38">
        <f>IF(VLOOKUP(Info!B9,Data!B:AU,41,FALSE)&gt;0, VLOOKUP(Info!B9,Data!B:AU,41,FALSE),0)</f>
        <v>0</v>
      </c>
      <c r="G44" s="156" t="s">
        <v>24</v>
      </c>
      <c r="H44" s="156" t="s">
        <v>181</v>
      </c>
      <c r="I44" s="29"/>
    </row>
    <row r="45" spans="1:10" ht="13.8">
      <c r="A45" s="37"/>
      <c r="B45" s="39" t="s">
        <v>193</v>
      </c>
      <c r="C45" s="34">
        <f>IF(Info!B$10=2,Summary!R9,Summary!Q9)</f>
        <v>61100009</v>
      </c>
      <c r="D45" s="34">
        <v>1</v>
      </c>
      <c r="E45" s="44"/>
      <c r="F45" s="38">
        <f>IF(VLOOKUP(Info!B9,Data!B:AU,40,FALSE)&lt;0, -VLOOKUP(Info!B9,Data!B:AU,40,FALSE),0)</f>
        <v>0</v>
      </c>
      <c r="G45" s="156" t="s">
        <v>24</v>
      </c>
      <c r="H45" s="156" t="s">
        <v>181</v>
      </c>
      <c r="I45" s="29"/>
    </row>
    <row r="46" spans="1:10" ht="13.8">
      <c r="A46" s="37"/>
      <c r="B46" s="39" t="s">
        <v>195</v>
      </c>
      <c r="C46" s="34">
        <f>IF(Info!B$10=2,Summary!R10,Summary!Q10)</f>
        <v>71100011</v>
      </c>
      <c r="D46" s="34">
        <v>7</v>
      </c>
      <c r="E46" s="44"/>
      <c r="F46" s="38">
        <f>IF(VLOOKUP(Info!B9,Data!B:AU,43,FALSE)&gt;0, VLOOKUP(Info!B9,Data!B:AU,43,FALSE),0)</f>
        <v>0</v>
      </c>
      <c r="G46" s="156" t="s">
        <v>132</v>
      </c>
      <c r="H46" s="156" t="s">
        <v>184</v>
      </c>
      <c r="I46" s="29"/>
    </row>
    <row r="47" spans="1:10" ht="13.8">
      <c r="A47" s="37"/>
      <c r="B47" s="39" t="s">
        <v>193</v>
      </c>
      <c r="C47" s="34">
        <f>IF(Info!B$10=2,Summary!R9,Summary!Q9)</f>
        <v>61100009</v>
      </c>
      <c r="D47" s="34">
        <v>2</v>
      </c>
      <c r="E47" s="44"/>
      <c r="F47" s="38">
        <f>IF(VLOOKUP(Info!B9,Data!B:AU,42,FALSE)&lt;0, -VLOOKUP(Info!B9,Data!B:AU,42,FALSE),0)</f>
        <v>0</v>
      </c>
      <c r="G47" s="156" t="s">
        <v>132</v>
      </c>
      <c r="H47" s="156" t="s">
        <v>184</v>
      </c>
      <c r="I47" s="29"/>
    </row>
    <row r="48" spans="1:10" ht="13.8">
      <c r="A48" s="37"/>
      <c r="B48" s="39" t="s">
        <v>195</v>
      </c>
      <c r="C48" s="34">
        <f>IF(Info!B$10=2,Summary!R10,Summary!Q10)</f>
        <v>71100011</v>
      </c>
      <c r="D48" s="34">
        <v>9</v>
      </c>
      <c r="E48" s="44"/>
      <c r="F48" s="38">
        <f>IF(VLOOKUP(Info!B9,Data!B:AU,39,FALSE)&gt;0, VLOOKUP(Info!B9,Data!B:AU,39,FALSE),0)</f>
        <v>286760</v>
      </c>
      <c r="G48" s="156" t="s">
        <v>25</v>
      </c>
      <c r="H48" s="156" t="s">
        <v>180</v>
      </c>
      <c r="I48" s="29"/>
    </row>
    <row r="49" spans="1:13" ht="13.8">
      <c r="A49" s="37"/>
      <c r="B49" s="39" t="s">
        <v>193</v>
      </c>
      <c r="C49" s="34">
        <f>IF(Info!B$10=2,Summary!R9,Summary!Q9)</f>
        <v>61100009</v>
      </c>
      <c r="D49" s="34">
        <v>4</v>
      </c>
      <c r="E49" s="44"/>
      <c r="F49" s="38">
        <f>IF(VLOOKUP(Info!B9,Data!B:AU,38,FALSE)&lt;0, -VLOOKUP(Info!B9,Data!B:AU,38,FALSE),0)</f>
        <v>565180</v>
      </c>
      <c r="G49" s="156" t="s">
        <v>25</v>
      </c>
      <c r="H49" s="156" t="s">
        <v>180</v>
      </c>
      <c r="I49" s="29"/>
    </row>
    <row r="50" spans="1:13" ht="13.8">
      <c r="A50" s="37"/>
      <c r="B50" s="39" t="s">
        <v>195</v>
      </c>
      <c r="C50" s="34">
        <f>IF(Info!B$10=2,Summary!R10,Summary!Q10)</f>
        <v>71100011</v>
      </c>
      <c r="D50" s="34">
        <v>8</v>
      </c>
      <c r="E50" s="44"/>
      <c r="F50" s="38">
        <f>IF(VLOOKUP(Info!B9,Data!B:AU,46,FALSE)&gt;0, VLOOKUP(Info!B9,Data!B:AU,46,FALSE),0)</f>
        <v>0</v>
      </c>
      <c r="G50" s="156" t="s">
        <v>26</v>
      </c>
      <c r="H50" s="156" t="s">
        <v>135</v>
      </c>
      <c r="I50" s="29"/>
    </row>
    <row r="51" spans="1:13" ht="13.8">
      <c r="A51" s="37"/>
      <c r="B51" s="39" t="s">
        <v>193</v>
      </c>
      <c r="C51" s="34">
        <f>IF(Info!B$10=2,Summary!R9,Summary!Q9)</f>
        <v>61100009</v>
      </c>
      <c r="D51" s="34">
        <v>3</v>
      </c>
      <c r="E51" s="44"/>
      <c r="F51" s="38">
        <f>IF(VLOOKUP(Info!B9,Data!B:AU,45,FALSE)&lt;0, -VLOOKUP(Info!B9,Data!B:AU,45,FALSE),0)</f>
        <v>0</v>
      </c>
      <c r="G51" s="156" t="s">
        <v>26</v>
      </c>
      <c r="H51" s="156" t="s">
        <v>135</v>
      </c>
      <c r="I51" s="29"/>
    </row>
    <row r="52" spans="1:13" ht="13.8">
      <c r="A52" s="37"/>
      <c r="B52" s="39" t="s">
        <v>193</v>
      </c>
      <c r="C52" s="34">
        <f>IF(Info!B$10=2,Summary!R9,Summary!Q9)</f>
        <v>61100009</v>
      </c>
      <c r="D52" s="34"/>
      <c r="E52" s="44"/>
      <c r="F52" s="38">
        <f>E14</f>
        <v>766943</v>
      </c>
      <c r="G52" s="156" t="s">
        <v>176</v>
      </c>
      <c r="H52" s="156" t="s">
        <v>155</v>
      </c>
      <c r="I52" s="156" t="s">
        <v>134</v>
      </c>
    </row>
    <row r="53" spans="1:13" ht="13.8">
      <c r="A53" s="37"/>
      <c r="B53" s="199" t="s">
        <v>480</v>
      </c>
      <c r="C53" s="210">
        <f>IF(Info!B$10=2,Summary!R16,Summary!Q16)</f>
        <v>46207000</v>
      </c>
      <c r="D53" s="200"/>
      <c r="E53" s="201"/>
      <c r="F53" s="202">
        <f>IF(VLOOKUP(Info!B9,Data!B:AU,25,FALSE)&gt;0, VLOOKUP(Info!B9,Data!B:AU,25,FALSE),0)</f>
        <v>17541</v>
      </c>
      <c r="G53" s="156" t="s">
        <v>483</v>
      </c>
      <c r="H53" s="156" t="s">
        <v>482</v>
      </c>
      <c r="I53" s="156"/>
    </row>
    <row r="54" spans="1:13" ht="13.8">
      <c r="A54" s="37"/>
      <c r="B54" s="33" t="s">
        <v>201</v>
      </c>
      <c r="C54" s="34"/>
      <c r="D54" s="34"/>
      <c r="E54" s="45">
        <f>SUM(E32:E52)</f>
        <v>2766702</v>
      </c>
      <c r="F54" s="45">
        <f>SUM(F32:F53)</f>
        <v>2766702</v>
      </c>
      <c r="G54" s="195"/>
      <c r="H54" s="29"/>
      <c r="I54" s="29"/>
      <c r="J54" s="198">
        <f>SUM(E54-F54)</f>
        <v>0</v>
      </c>
      <c r="K54"/>
      <c r="L54"/>
      <c r="M54"/>
    </row>
    <row r="55" spans="1:13" ht="13.8">
      <c r="A55" s="37"/>
      <c r="B55" s="33" t="s">
        <v>202</v>
      </c>
      <c r="C55" s="34"/>
      <c r="D55" s="34"/>
      <c r="E55" s="38"/>
      <c r="F55" s="44"/>
      <c r="G55" s="29"/>
      <c r="H55" s="29"/>
      <c r="I55" s="29"/>
    </row>
    <row r="56" spans="1:13" ht="3" customHeight="1">
      <c r="A56" s="37"/>
      <c r="B56" s="40"/>
      <c r="C56" s="34"/>
      <c r="D56" s="34"/>
      <c r="E56" s="38"/>
      <c r="F56" s="44"/>
      <c r="G56" s="29"/>
      <c r="H56" s="29"/>
      <c r="I56" s="29"/>
    </row>
    <row r="57" spans="1:13" ht="13.8">
      <c r="A57" s="37"/>
      <c r="B57" s="51" t="s">
        <v>138</v>
      </c>
      <c r="C57" s="35"/>
      <c r="D57" s="35"/>
      <c r="E57" s="38"/>
      <c r="F57" s="38"/>
      <c r="G57" s="29"/>
      <c r="H57" s="29"/>
      <c r="I57" s="29"/>
    </row>
    <row r="58" spans="1:13" ht="13.8">
      <c r="A58" s="37">
        <v>3</v>
      </c>
      <c r="B58" s="149" t="s">
        <v>869</v>
      </c>
      <c r="C58" s="34">
        <f>IF(Info!B$10=2,Summary!R9,Summary!Q9)</f>
        <v>61100009</v>
      </c>
      <c r="D58" s="34">
        <v>5</v>
      </c>
      <c r="E58" s="187">
        <v>0</v>
      </c>
      <c r="F58" s="38"/>
      <c r="G58" s="157" t="s">
        <v>870</v>
      </c>
      <c r="H58" s="158" t="str">
        <f>IF(E58=0,"ERROR – Enter Amount"," ")</f>
        <v>ERROR – Enter Amount</v>
      </c>
      <c r="I58" s="29"/>
    </row>
    <row r="59" spans="1:13" ht="13.8">
      <c r="A59" s="37"/>
      <c r="B59" s="39" t="s">
        <v>233</v>
      </c>
      <c r="C59" s="34">
        <f>IF(Info!B$10=2,Summary!R12,Summary!Q12)</f>
        <v>51520000</v>
      </c>
      <c r="D59" s="34"/>
      <c r="E59" s="38"/>
      <c r="F59" s="38">
        <f>E58</f>
        <v>0</v>
      </c>
      <c r="G59" s="156" t="s">
        <v>15</v>
      </c>
      <c r="H59" s="156" t="s">
        <v>188</v>
      </c>
      <c r="I59" s="29"/>
    </row>
    <row r="60" spans="1:13" ht="13.8">
      <c r="A60" s="37"/>
      <c r="B60" s="33" t="s">
        <v>203</v>
      </c>
      <c r="C60" s="34"/>
      <c r="D60" s="34"/>
      <c r="E60" s="45">
        <f>SUM(E58:E59)</f>
        <v>0</v>
      </c>
      <c r="F60" s="45">
        <f>SUM(F58:F59)</f>
        <v>0</v>
      </c>
      <c r="G60" s="29"/>
      <c r="H60" s="29"/>
      <c r="I60" s="29"/>
    </row>
    <row r="61" spans="1:13" ht="12.6" customHeight="1">
      <c r="A61" s="37"/>
      <c r="B61" s="125" t="s">
        <v>234</v>
      </c>
      <c r="C61" s="34"/>
      <c r="D61" s="34"/>
      <c r="E61" s="38"/>
      <c r="F61" s="38"/>
      <c r="G61" s="29"/>
      <c r="H61" s="29"/>
      <c r="I61" s="29"/>
    </row>
    <row r="62" spans="1:13" ht="12.6" customHeight="1">
      <c r="A62" s="37"/>
      <c r="B62" s="286" t="s">
        <v>891</v>
      </c>
      <c r="C62" s="34"/>
      <c r="D62" s="34"/>
      <c r="E62" s="38"/>
      <c r="F62" s="38"/>
      <c r="G62" s="29"/>
      <c r="H62" s="29"/>
      <c r="I62" s="29"/>
    </row>
    <row r="63" spans="1:13" ht="13.8">
      <c r="A63" s="37"/>
      <c r="B63" s="165"/>
      <c r="C63" s="34"/>
      <c r="D63" s="34"/>
      <c r="E63" s="160"/>
      <c r="F63" s="160"/>
      <c r="G63" s="29"/>
      <c r="H63" s="29"/>
      <c r="I63" s="29"/>
    </row>
    <row r="64" spans="1:13" ht="13.8">
      <c r="A64" s="60"/>
      <c r="B64" s="61"/>
      <c r="C64" s="20"/>
      <c r="D64" s="20"/>
      <c r="E64" s="62"/>
      <c r="F64" s="62"/>
    </row>
    <row r="65" spans="1:13" ht="16.05" customHeight="1">
      <c r="A65" s="295" t="s">
        <v>3</v>
      </c>
      <c r="B65" s="296"/>
      <c r="C65" s="20"/>
      <c r="D65" s="20"/>
      <c r="E65" s="62"/>
      <c r="F65" s="62"/>
    </row>
    <row r="66" spans="1:13" ht="54.75" customHeight="1">
      <c r="A66" s="170"/>
      <c r="B66" s="294" t="s">
        <v>243</v>
      </c>
      <c r="C66" s="297"/>
      <c r="D66" s="297"/>
      <c r="E66" s="297"/>
      <c r="F66" s="297"/>
      <c r="G66" s="297"/>
    </row>
    <row r="67" spans="1:13" ht="6" customHeight="1">
      <c r="A67" s="170"/>
      <c r="B67" s="68"/>
      <c r="C67" s="64"/>
      <c r="D67" s="64"/>
      <c r="E67" s="64"/>
      <c r="F67" s="64"/>
      <c r="G67" s="64"/>
    </row>
    <row r="68" spans="1:13" ht="55.05" customHeight="1">
      <c r="A68" s="63" t="s">
        <v>182</v>
      </c>
      <c r="B68" s="294" t="s">
        <v>206</v>
      </c>
      <c r="C68" s="294"/>
      <c r="D68" s="294"/>
      <c r="E68" s="294"/>
      <c r="F68" s="294"/>
      <c r="G68" s="294"/>
      <c r="H68" s="64"/>
      <c r="I68" s="69"/>
    </row>
    <row r="69" spans="1:13" ht="6" customHeight="1">
      <c r="A69" s="65"/>
      <c r="B69" s="66"/>
      <c r="C69" s="67"/>
      <c r="D69" s="67"/>
      <c r="E69" s="67"/>
      <c r="F69" s="67"/>
      <c r="G69" s="67"/>
      <c r="H69" s="67"/>
    </row>
    <row r="70" spans="1:13" ht="29.1" customHeight="1">
      <c r="A70" s="63" t="s">
        <v>183</v>
      </c>
      <c r="B70" s="292" t="s">
        <v>207</v>
      </c>
      <c r="C70" s="293"/>
      <c r="D70" s="293"/>
      <c r="E70" s="293"/>
      <c r="F70" s="293"/>
      <c r="G70" s="293"/>
      <c r="H70" s="69"/>
      <c r="I70" s="64"/>
    </row>
    <row r="71" spans="1:13" ht="6" customHeight="1">
      <c r="A71" s="65"/>
      <c r="B71" s="66"/>
      <c r="C71" s="67"/>
      <c r="D71" s="67"/>
      <c r="E71" s="67"/>
      <c r="F71" s="67"/>
      <c r="G71" s="67"/>
      <c r="H71" s="67"/>
    </row>
    <row r="72" spans="1:13" ht="67.2" customHeight="1">
      <c r="A72" s="63" t="s">
        <v>17</v>
      </c>
      <c r="B72" s="294" t="s">
        <v>208</v>
      </c>
      <c r="C72" s="293"/>
      <c r="D72" s="293"/>
      <c r="E72" s="293"/>
      <c r="F72" s="293"/>
      <c r="G72" s="293"/>
      <c r="H72" s="69"/>
      <c r="I72" s="64"/>
    </row>
    <row r="73" spans="1:13" ht="6" customHeight="1">
      <c r="A73" s="65"/>
      <c r="B73" s="64"/>
      <c r="C73" s="64"/>
      <c r="D73" s="64"/>
      <c r="E73" s="64"/>
      <c r="F73" s="64"/>
      <c r="G73" s="64"/>
      <c r="H73" s="64"/>
    </row>
    <row r="74" spans="1:13" ht="15" customHeight="1">
      <c r="A74" s="63" t="s">
        <v>18</v>
      </c>
      <c r="B74" s="292" t="s">
        <v>209</v>
      </c>
      <c r="C74" s="293"/>
      <c r="D74" s="293"/>
      <c r="E74" s="293"/>
      <c r="F74" s="293"/>
      <c r="G74" s="293"/>
      <c r="H74" s="69"/>
      <c r="I74" s="67"/>
    </row>
    <row r="75" spans="1:13" ht="6" customHeight="1">
      <c r="A75" s="65"/>
      <c r="B75" s="67"/>
      <c r="C75" s="64"/>
      <c r="D75" s="64"/>
      <c r="E75" s="64"/>
      <c r="F75" s="64"/>
      <c r="G75" s="64"/>
      <c r="H75" s="64"/>
    </row>
    <row r="76" spans="1:13" ht="54" customHeight="1">
      <c r="A76" s="63" t="s">
        <v>184</v>
      </c>
      <c r="B76" s="294" t="s">
        <v>210</v>
      </c>
      <c r="C76" s="294"/>
      <c r="D76" s="294"/>
      <c r="E76" s="294"/>
      <c r="F76" s="294"/>
      <c r="G76" s="294"/>
      <c r="H76" s="68"/>
    </row>
    <row r="77" spans="1:13" ht="6" customHeight="1">
      <c r="A77" s="65"/>
      <c r="B77" s="64"/>
      <c r="C77" s="64"/>
      <c r="D77" s="64"/>
      <c r="E77" s="64"/>
      <c r="F77" s="64"/>
      <c r="G77" s="64"/>
      <c r="H77" s="64"/>
      <c r="J77" s="23"/>
      <c r="L77" s="24"/>
      <c r="M77" s="24"/>
    </row>
    <row r="78" spans="1:13" ht="82.05" customHeight="1">
      <c r="A78" s="70" t="s">
        <v>185</v>
      </c>
      <c r="B78" s="294" t="s">
        <v>211</v>
      </c>
      <c r="C78" s="297"/>
      <c r="D78" s="297"/>
      <c r="E78" s="297"/>
      <c r="F78" s="297"/>
      <c r="G78" s="297"/>
      <c r="H78" s="64"/>
      <c r="L78" s="24"/>
      <c r="M78" s="24"/>
    </row>
    <row r="79" spans="1:13" ht="6" customHeight="1">
      <c r="A79" s="65"/>
      <c r="B79" s="64"/>
      <c r="C79" s="64"/>
      <c r="D79" s="64"/>
      <c r="E79" s="64"/>
      <c r="F79" s="64"/>
      <c r="G79" s="64"/>
      <c r="H79" s="64"/>
      <c r="J79" s="23"/>
      <c r="L79" s="24"/>
      <c r="M79" s="24"/>
    </row>
    <row r="80" spans="1:13" ht="95.1" customHeight="1">
      <c r="A80" s="63" t="s">
        <v>186</v>
      </c>
      <c r="B80" s="294" t="s">
        <v>215</v>
      </c>
      <c r="C80" s="293"/>
      <c r="D80" s="293"/>
      <c r="E80" s="293"/>
      <c r="F80" s="293"/>
      <c r="G80" s="293"/>
      <c r="H80" s="69"/>
      <c r="J80" s="23"/>
      <c r="L80" s="24"/>
      <c r="M80" s="24"/>
    </row>
    <row r="81" spans="1:13" ht="6" customHeight="1">
      <c r="A81" s="65"/>
      <c r="B81" s="64"/>
      <c r="C81" s="64"/>
      <c r="D81" s="64"/>
      <c r="E81" s="64"/>
      <c r="F81" s="64"/>
      <c r="G81" s="64"/>
      <c r="H81" s="64"/>
      <c r="J81" s="23"/>
      <c r="L81" s="24"/>
      <c r="M81" s="24"/>
    </row>
    <row r="82" spans="1:13" ht="27" customHeight="1">
      <c r="A82" s="70" t="s">
        <v>187</v>
      </c>
      <c r="B82" s="292" t="s">
        <v>212</v>
      </c>
      <c r="C82" s="293"/>
      <c r="D82" s="293"/>
      <c r="E82" s="293"/>
      <c r="F82" s="293"/>
      <c r="G82" s="293"/>
      <c r="H82" s="69"/>
      <c r="J82" s="23"/>
      <c r="L82" s="24"/>
      <c r="M82" s="24"/>
    </row>
    <row r="83" spans="1:13" ht="6" customHeight="1">
      <c r="A83" s="65"/>
      <c r="B83" s="64"/>
      <c r="C83" s="64"/>
      <c r="D83" s="64"/>
      <c r="E83" s="64"/>
      <c r="F83" s="64"/>
      <c r="G83" s="64"/>
      <c r="H83" s="64"/>
      <c r="J83" s="23"/>
      <c r="L83" s="24"/>
      <c r="M83" s="24"/>
    </row>
    <row r="84" spans="1:13" s="25" customFormat="1" ht="27" customHeight="1">
      <c r="A84" s="70" t="s">
        <v>188</v>
      </c>
      <c r="B84" s="292" t="s">
        <v>213</v>
      </c>
      <c r="C84" s="293"/>
      <c r="D84" s="293"/>
      <c r="E84" s="293"/>
      <c r="F84" s="293"/>
      <c r="G84" s="293"/>
      <c r="H84" s="69"/>
      <c r="J84" s="26"/>
      <c r="L84" s="27"/>
      <c r="M84" s="27"/>
    </row>
    <row r="85" spans="1:13" s="25" customFormat="1" ht="6" customHeight="1">
      <c r="A85" s="70"/>
      <c r="B85" s="71"/>
      <c r="C85" s="69"/>
      <c r="D85" s="69"/>
      <c r="E85" s="69"/>
      <c r="F85" s="69"/>
      <c r="G85" s="69"/>
      <c r="H85" s="69"/>
      <c r="J85" s="26"/>
      <c r="L85" s="27"/>
      <c r="M85" s="27"/>
    </row>
    <row r="86" spans="1:13" ht="42" customHeight="1">
      <c r="A86" s="70" t="s">
        <v>16</v>
      </c>
      <c r="B86" s="292" t="s">
        <v>214</v>
      </c>
      <c r="C86" s="293"/>
      <c r="D86" s="293"/>
      <c r="E86" s="293"/>
      <c r="F86" s="293"/>
      <c r="G86" s="293"/>
      <c r="J86" s="23"/>
      <c r="L86" s="24"/>
      <c r="M86" s="24"/>
    </row>
    <row r="87" spans="1:13" ht="6" customHeight="1">
      <c r="A87" s="70"/>
      <c r="B87" s="71"/>
      <c r="C87" s="69"/>
      <c r="D87" s="69"/>
      <c r="E87" s="69"/>
      <c r="F87" s="69"/>
      <c r="G87" s="69"/>
      <c r="J87" s="23"/>
      <c r="L87" s="24"/>
      <c r="M87" s="24"/>
    </row>
    <row r="88" spans="1:13" ht="66" customHeight="1">
      <c r="A88" s="70" t="s">
        <v>482</v>
      </c>
      <c r="B88" s="292" t="s">
        <v>495</v>
      </c>
      <c r="C88" s="293"/>
      <c r="D88" s="293"/>
      <c r="E88" s="293"/>
      <c r="F88" s="293"/>
      <c r="G88" s="293"/>
      <c r="J88" s="23"/>
      <c r="L88" s="24"/>
      <c r="M88" s="24"/>
    </row>
    <row r="95" spans="1:13" ht="13.8">
      <c r="C95" s="22"/>
      <c r="D95" s="22"/>
    </row>
    <row r="96" spans="1:13" ht="13.8">
      <c r="C96" s="22"/>
      <c r="D96" s="22"/>
    </row>
    <row r="97" spans="3:4" ht="13.8">
      <c r="C97" s="22"/>
      <c r="D97" s="22"/>
    </row>
    <row r="98" spans="3:4" ht="13.8">
      <c r="C98" s="22"/>
      <c r="D98" s="22"/>
    </row>
    <row r="99" spans="3:4" ht="13.8">
      <c r="C99" s="22"/>
      <c r="D99" s="22"/>
    </row>
    <row r="100" spans="3:4" ht="13.8">
      <c r="C100" s="21"/>
      <c r="D100" s="21"/>
    </row>
    <row r="101" spans="3:4" ht="13.8">
      <c r="C101" s="28"/>
      <c r="D101" s="28"/>
    </row>
    <row r="102" spans="3:4" ht="13.8">
      <c r="C102" s="20"/>
      <c r="D102" s="20"/>
    </row>
    <row r="103" spans="3:4" ht="13.8">
      <c r="C103" s="19"/>
      <c r="D103" s="19"/>
    </row>
    <row r="104" spans="3:4" ht="13.8">
      <c r="C104" s="22"/>
      <c r="D104" s="22"/>
    </row>
    <row r="105" spans="3:4" ht="13.8">
      <c r="C105" s="20"/>
      <c r="D105" s="20"/>
    </row>
    <row r="106" spans="3:4" ht="13.8">
      <c r="C106" s="19"/>
      <c r="D106" s="19"/>
    </row>
    <row r="107" spans="3:4" ht="13.8">
      <c r="C107" s="20"/>
      <c r="D107" s="20"/>
    </row>
    <row r="108" spans="3:4" ht="13.8">
      <c r="C108" s="20"/>
      <c r="D108" s="20"/>
    </row>
    <row r="109" spans="3:4" ht="13.8">
      <c r="C109" s="22"/>
      <c r="D109" s="22"/>
    </row>
    <row r="110" spans="3:4" ht="13.8">
      <c r="C110" s="20"/>
      <c r="D110" s="20"/>
    </row>
    <row r="111" spans="3:4" ht="13.8">
      <c r="C111" s="22"/>
      <c r="D111" s="22"/>
    </row>
    <row r="112" spans="3:4" ht="13.8">
      <c r="C112" s="19"/>
      <c r="D112" s="19"/>
    </row>
    <row r="113" spans="3:4" ht="13.8">
      <c r="C113" s="20"/>
      <c r="D113" s="20"/>
    </row>
    <row r="114" spans="3:4" ht="13.8">
      <c r="C114" s="20"/>
      <c r="D114" s="20"/>
    </row>
    <row r="115" spans="3:4" ht="13.8">
      <c r="C115" s="22"/>
      <c r="D115" s="22"/>
    </row>
    <row r="116" spans="3:4" ht="13.8">
      <c r="C116" s="20"/>
      <c r="D116" s="20"/>
    </row>
    <row r="117" spans="3:4" ht="13.8">
      <c r="C117" s="19"/>
      <c r="D117" s="19"/>
    </row>
    <row r="118" spans="3:4" ht="13.8">
      <c r="C118" s="22"/>
      <c r="D118" s="22"/>
    </row>
    <row r="119" spans="3:4" ht="13.8">
      <c r="C119" s="20"/>
      <c r="D119" s="20"/>
    </row>
    <row r="120" spans="3:4" ht="13.8">
      <c r="C120" s="20"/>
      <c r="D120" s="20"/>
    </row>
    <row r="121" spans="3:4" ht="13.8">
      <c r="C121" s="19"/>
      <c r="D121" s="19"/>
    </row>
    <row r="122" spans="3:4" ht="13.8">
      <c r="C122" s="22"/>
      <c r="D122" s="22"/>
    </row>
    <row r="123" spans="3:4" ht="13.8">
      <c r="C123" s="22"/>
      <c r="D123" s="22"/>
    </row>
    <row r="124" spans="3:4" ht="13.8">
      <c r="C124" s="22"/>
      <c r="D124" s="22"/>
    </row>
    <row r="125" spans="3:4" ht="13.8">
      <c r="C125" s="22"/>
      <c r="D125" s="22"/>
    </row>
    <row r="126" spans="3:4" ht="13.8">
      <c r="C126" s="22"/>
      <c r="D126" s="22"/>
    </row>
    <row r="127" spans="3:4" ht="13.8">
      <c r="C127" s="22"/>
      <c r="D127" s="22"/>
    </row>
    <row r="128" spans="3:4" ht="13.8">
      <c r="C128" s="22"/>
      <c r="D128" s="22"/>
    </row>
    <row r="129" spans="3:4" ht="13.8">
      <c r="C129" s="19"/>
      <c r="D129" s="19"/>
    </row>
    <row r="130" spans="3:4" ht="13.8">
      <c r="C130" s="22"/>
      <c r="D130" s="22"/>
    </row>
    <row r="131" spans="3:4" ht="13.8">
      <c r="C131" s="22"/>
      <c r="D131" s="22"/>
    </row>
    <row r="132" spans="3:4" ht="13.8">
      <c r="C132" s="22"/>
      <c r="D132" s="22"/>
    </row>
    <row r="133" spans="3:4" ht="13.8">
      <c r="C133" s="22"/>
      <c r="D133" s="22"/>
    </row>
    <row r="134" spans="3:4" ht="13.8">
      <c r="C134" s="22"/>
      <c r="D134" s="22"/>
    </row>
    <row r="135" spans="3:4" ht="13.8">
      <c r="C135" s="19"/>
      <c r="D135" s="19"/>
    </row>
    <row r="136" spans="3:4" ht="13.8">
      <c r="C136" s="22"/>
      <c r="D136" s="22"/>
    </row>
    <row r="137" spans="3:4" ht="13.8">
      <c r="C137" s="20"/>
      <c r="D137" s="20"/>
    </row>
    <row r="138" spans="3:4" ht="13.8">
      <c r="C138" s="22"/>
      <c r="D138" s="22"/>
    </row>
    <row r="139" spans="3:4" ht="13.8">
      <c r="C139" s="22"/>
      <c r="D139" s="22"/>
    </row>
    <row r="140" spans="3:4" ht="13.8">
      <c r="C140" s="22"/>
      <c r="D140" s="22"/>
    </row>
    <row r="141" spans="3:4" ht="13.8">
      <c r="C141" s="22"/>
      <c r="D141" s="22"/>
    </row>
    <row r="142" spans="3:4" ht="13.8">
      <c r="C142" s="22"/>
      <c r="D142" s="22"/>
    </row>
    <row r="143" spans="3:4" ht="13.8">
      <c r="C143" s="19"/>
      <c r="D143" s="19"/>
    </row>
    <row r="144" spans="3:4" ht="13.8">
      <c r="C144" s="22"/>
      <c r="D144" s="22"/>
    </row>
    <row r="145" spans="3:4" ht="13.8">
      <c r="C145" s="22"/>
      <c r="D145" s="22"/>
    </row>
    <row r="146" spans="3:4" ht="13.8">
      <c r="C146" s="20"/>
      <c r="D146" s="20"/>
    </row>
    <row r="147" spans="3:4" ht="13.8">
      <c r="C147" s="20"/>
      <c r="D147" s="20"/>
    </row>
    <row r="148" spans="3:4" ht="13.8">
      <c r="C148" s="20"/>
      <c r="D148" s="20"/>
    </row>
    <row r="149" spans="3:4" ht="13.8">
      <c r="C149" s="22"/>
      <c r="D149" s="22"/>
    </row>
    <row r="150" spans="3:4" ht="13.8">
      <c r="C150" s="20"/>
      <c r="D150" s="20"/>
    </row>
    <row r="151" spans="3:4" ht="13.8">
      <c r="C151" s="22"/>
      <c r="D151" s="22"/>
    </row>
    <row r="152" spans="3:4" ht="13.8">
      <c r="C152" s="20"/>
      <c r="D152" s="20"/>
    </row>
    <row r="153" spans="3:4" ht="13.8">
      <c r="C153" s="20"/>
      <c r="D153" s="20"/>
    </row>
    <row r="154" spans="3:4" ht="13.8">
      <c r="C154" s="20"/>
      <c r="D154" s="20"/>
    </row>
  </sheetData>
  <mergeCells count="13">
    <mergeCell ref="A65:B65"/>
    <mergeCell ref="B78:G78"/>
    <mergeCell ref="B72:G72"/>
    <mergeCell ref="B82:G82"/>
    <mergeCell ref="B70:G70"/>
    <mergeCell ref="B68:G68"/>
    <mergeCell ref="B66:G66"/>
    <mergeCell ref="B88:G88"/>
    <mergeCell ref="B74:G74"/>
    <mergeCell ref="B86:G86"/>
    <mergeCell ref="B76:G76"/>
    <mergeCell ref="B80:G80"/>
    <mergeCell ref="B84:G84"/>
  </mergeCells>
  <phoneticPr fontId="9" type="noConversion"/>
  <conditionalFormatting sqref="H58">
    <cfRule type="expression" dxfId="28" priority="1">
      <formula>$E$58=0</formula>
    </cfRule>
  </conditionalFormatting>
  <pageMargins left="0.5" right="0.5" top="0.2" bottom="0.2" header="0.5" footer="0.15"/>
  <pageSetup orientation="landscape" r:id="rId1"/>
  <headerFooter alignWithMargins="0"/>
  <rowBreaks count="1" manualBreakCount="1">
    <brk id="64" max="8" man="1"/>
  </rowBreaks>
  <ignoredErrors>
    <ignoredError sqref="C26 C43:C49 C34:C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2"/>
  <sheetViews>
    <sheetView showGridLines="0" tabSelected="1" workbookViewId="0">
      <selection activeCell="Q1" sqref="Q1:R1048576"/>
    </sheetView>
  </sheetViews>
  <sheetFormatPr defaultRowHeight="13.2"/>
  <cols>
    <col min="1" max="1" width="36.77734375" customWidth="1"/>
    <col min="2" max="2" width="1.21875" customWidth="1"/>
    <col min="3" max="3" width="9.77734375" bestFit="1" customWidth="1"/>
    <col min="4" max="4" width="1.21875" customWidth="1"/>
    <col min="5" max="5" width="14.77734375" customWidth="1"/>
    <col min="6" max="6" width="1.21875" customWidth="1"/>
    <col min="7" max="7" width="14.77734375" customWidth="1"/>
    <col min="8" max="8" width="1.21875" customWidth="1"/>
    <col min="9" max="9" width="15.44140625" bestFit="1" customWidth="1"/>
    <col min="10" max="10" width="6.77734375" customWidth="1"/>
    <col min="11" max="11" width="12.77734375" customWidth="1"/>
    <col min="12" max="12" width="1.21875" customWidth="1"/>
    <col min="13" max="13" width="12.77734375" customWidth="1"/>
    <col min="14" max="14" width="1.21875" customWidth="1"/>
    <col min="15" max="15" width="12.77734375" customWidth="1"/>
    <col min="16" max="16" width="6.77734375" customWidth="1"/>
    <col min="17" max="18" width="9.21875" hidden="1" customWidth="1"/>
    <col min="19" max="19" width="8.88671875" customWidth="1"/>
  </cols>
  <sheetData>
    <row r="1" spans="1:21">
      <c r="A1" s="53" t="str">
        <f>Info!B5</f>
        <v>NC HOUSING FINANCE AGENCY</v>
      </c>
      <c r="B1" s="53"/>
      <c r="C1" s="18"/>
      <c r="D1" s="18"/>
      <c r="E1" s="18"/>
      <c r="F1" s="18"/>
      <c r="G1" s="18"/>
      <c r="H1" s="18"/>
      <c r="I1" s="18"/>
      <c r="K1" s="1"/>
    </row>
    <row r="2" spans="1:21" ht="15" customHeight="1">
      <c r="A2" s="54" t="s">
        <v>232</v>
      </c>
      <c r="B2" s="54"/>
      <c r="C2" s="18"/>
      <c r="D2" s="18"/>
      <c r="E2" s="18"/>
      <c r="F2" s="18"/>
      <c r="H2" s="18"/>
      <c r="I2" s="18"/>
    </row>
    <row r="3" spans="1:21" ht="15" customHeight="1">
      <c r="A3" s="53" t="s">
        <v>861</v>
      </c>
      <c r="B3" s="53"/>
      <c r="C3" s="18"/>
      <c r="D3" s="18"/>
      <c r="E3" s="18"/>
      <c r="F3" s="18"/>
      <c r="G3" s="18"/>
      <c r="H3" s="18"/>
    </row>
    <row r="4" spans="1:21" ht="15" customHeight="1">
      <c r="A4" s="53"/>
      <c r="B4" s="53"/>
      <c r="C4" s="18"/>
      <c r="D4" s="18"/>
      <c r="E4" s="18"/>
      <c r="F4" s="18"/>
      <c r="G4" s="87"/>
      <c r="H4" s="18"/>
    </row>
    <row r="5" spans="1:21" ht="15" customHeight="1">
      <c r="A5" s="53"/>
      <c r="B5" s="53"/>
      <c r="C5" s="18"/>
      <c r="D5" s="18"/>
      <c r="E5" s="18"/>
      <c r="F5" s="18"/>
      <c r="G5" s="18"/>
      <c r="H5" s="18"/>
      <c r="I5" s="72" t="s">
        <v>143</v>
      </c>
      <c r="K5" s="298"/>
      <c r="L5" s="298"/>
      <c r="M5" s="298"/>
      <c r="N5" s="298"/>
      <c r="O5" s="298"/>
      <c r="P5" s="126"/>
      <c r="Q5" s="126"/>
      <c r="R5" s="126"/>
      <c r="S5" s="126"/>
      <c r="T5" s="126"/>
      <c r="U5" s="126"/>
    </row>
    <row r="6" spans="1:21" ht="15" customHeight="1">
      <c r="A6" s="18"/>
      <c r="B6" s="18"/>
      <c r="C6" s="78" t="str">
        <f>IF(Info!B$10=2,"Colleague","NCAS")</f>
        <v>NCAS</v>
      </c>
      <c r="D6" s="18"/>
      <c r="E6" s="18"/>
      <c r="F6" s="18"/>
      <c r="G6" s="18"/>
      <c r="H6" s="18"/>
      <c r="I6" s="72" t="s">
        <v>153</v>
      </c>
      <c r="K6" s="299"/>
      <c r="L6" s="299"/>
      <c r="M6" s="299"/>
      <c r="N6" s="299"/>
      <c r="O6" s="299"/>
      <c r="Q6" s="173" t="s">
        <v>244</v>
      </c>
    </row>
    <row r="7" spans="1:21" ht="15" customHeight="1">
      <c r="A7" s="76" t="s">
        <v>141</v>
      </c>
      <c r="B7" s="77"/>
      <c r="C7" s="76" t="s">
        <v>128</v>
      </c>
      <c r="D7" s="78"/>
      <c r="E7" s="76" t="s">
        <v>0</v>
      </c>
      <c r="F7" s="78"/>
      <c r="G7" s="76" t="s">
        <v>1</v>
      </c>
      <c r="H7" s="78"/>
      <c r="I7" s="73" t="s">
        <v>142</v>
      </c>
      <c r="J7" s="3"/>
      <c r="K7" s="75"/>
      <c r="L7" s="75"/>
      <c r="M7" s="75"/>
      <c r="N7" s="75"/>
      <c r="O7" s="75"/>
      <c r="P7" s="75"/>
      <c r="Q7" s="90" t="s">
        <v>892</v>
      </c>
      <c r="R7" s="89" t="s">
        <v>156</v>
      </c>
    </row>
    <row r="8" spans="1:21" ht="15" customHeight="1">
      <c r="A8" s="79" t="s">
        <v>200</v>
      </c>
      <c r="B8" s="79"/>
      <c r="C8" s="80">
        <f>IF(Info!B$10=2,Summary!R8,Summary!Q8)</f>
        <v>22916000</v>
      </c>
      <c r="D8" s="80"/>
      <c r="E8" s="81">
        <f>SUMIF(Detail!$C$8:$C$62,$C8,Detail!E$8:E$62)</f>
        <v>0</v>
      </c>
      <c r="F8" s="82"/>
      <c r="G8" s="81">
        <f>SUMIF(Detail!$C$8:$C$62,$C8,Detail!F$8:F$62)</f>
        <v>1130278</v>
      </c>
      <c r="H8" s="82"/>
      <c r="I8" s="46">
        <f t="shared" ref="I8:I17" si="0">E8-G8</f>
        <v>-1130278</v>
      </c>
      <c r="J8" s="188"/>
      <c r="K8" s="81"/>
      <c r="L8" s="81"/>
      <c r="M8" s="81"/>
      <c r="O8" s="81"/>
      <c r="Q8">
        <v>22916000</v>
      </c>
      <c r="R8">
        <v>242081</v>
      </c>
    </row>
    <row r="9" spans="1:21" ht="15" customHeight="1">
      <c r="A9" s="79" t="s">
        <v>193</v>
      </c>
      <c r="B9" s="79"/>
      <c r="C9" s="80">
        <f>IF(Info!B$10=2,Summary!R9,Summary!Q9)</f>
        <v>61100009</v>
      </c>
      <c r="D9" s="80"/>
      <c r="E9" s="50">
        <f>SUMIF(Detail!$C$8:$C$62,$C9,Detail!E$8:E$62)</f>
        <v>497130</v>
      </c>
      <c r="F9" s="82"/>
      <c r="G9" s="50">
        <f>SUMIF(Detail!$C$8:$C$62,$C9,Detail!F$8:F$62)</f>
        <v>1332123</v>
      </c>
      <c r="H9" s="82"/>
      <c r="I9" s="47">
        <f>E9-G9</f>
        <v>-834993</v>
      </c>
      <c r="J9" s="189"/>
      <c r="K9" s="50"/>
      <c r="L9" s="50"/>
      <c r="M9" s="50"/>
      <c r="O9" s="50"/>
      <c r="Q9" s="287">
        <v>61100009</v>
      </c>
      <c r="R9">
        <v>124091</v>
      </c>
    </row>
    <row r="10" spans="1:21" ht="15" customHeight="1">
      <c r="A10" s="79" t="s">
        <v>195</v>
      </c>
      <c r="B10" s="79"/>
      <c r="C10" s="80">
        <f>IF(Info!B$10=2,Summary!R10,Summary!Q10)</f>
        <v>71100011</v>
      </c>
      <c r="D10" s="80"/>
      <c r="E10" s="50">
        <f>SUMIF(Detail!$C$8:$C$62,$C10,Detail!E$8:E$62)</f>
        <v>2020972</v>
      </c>
      <c r="F10" s="82"/>
      <c r="G10" s="50">
        <f>SUMIF(Detail!$C$8:$C$62,$C10,Detail!F$8:F$62)</f>
        <v>286760</v>
      </c>
      <c r="H10" s="82"/>
      <c r="I10" s="47">
        <f>E10-G10</f>
        <v>1734212</v>
      </c>
      <c r="J10" s="189"/>
      <c r="K10" s="50"/>
      <c r="L10" s="50"/>
      <c r="M10" s="50"/>
      <c r="O10" s="50"/>
      <c r="Q10" s="287">
        <v>71100011</v>
      </c>
      <c r="R10">
        <v>242091</v>
      </c>
    </row>
    <row r="11" spans="1:21" ht="15" customHeight="1">
      <c r="A11" s="79" t="s">
        <v>199</v>
      </c>
      <c r="B11" s="79"/>
      <c r="C11" s="80">
        <f>IF(Info!B$10=2,Summary!R11,Summary!Q11)</f>
        <v>51598000</v>
      </c>
      <c r="D11" s="80"/>
      <c r="E11" s="50">
        <f>SUMIF(Detail!$C$8:$C$62,$C11,Detail!E$8:E$62)</f>
        <v>248600</v>
      </c>
      <c r="F11" s="82"/>
      <c r="G11" s="50">
        <f>SUMIF(Detail!$C$8:$C$62,$C11,Detail!F$8:F$62)</f>
        <v>0</v>
      </c>
      <c r="H11" s="82"/>
      <c r="I11" s="47">
        <f t="shared" si="0"/>
        <v>248600</v>
      </c>
      <c r="J11" s="189"/>
      <c r="K11" s="50"/>
      <c r="L11" s="50"/>
      <c r="M11" s="50"/>
      <c r="O11" s="50"/>
      <c r="Q11">
        <v>51598000</v>
      </c>
      <c r="R11">
        <v>518251</v>
      </c>
    </row>
    <row r="12" spans="1:21" ht="15" customHeight="1">
      <c r="A12" s="79" t="s">
        <v>233</v>
      </c>
      <c r="B12" s="79"/>
      <c r="C12" s="80">
        <f>IF(Info!B$10=2,Summary!R12,Summary!Q12)</f>
        <v>51520000</v>
      </c>
      <c r="D12" s="80"/>
      <c r="E12" s="50">
        <f>SUMIF(Detail!$C$8:$C$62,$C12,Detail!E$8:E$62)</f>
        <v>0</v>
      </c>
      <c r="F12" s="82"/>
      <c r="G12" s="50">
        <f>SUMIF(Detail!$C$8:$C$62,$C12,Detail!F$8:F$62)</f>
        <v>0</v>
      </c>
      <c r="H12" s="82"/>
      <c r="I12" s="47">
        <f t="shared" si="0"/>
        <v>0</v>
      </c>
      <c r="J12" s="189"/>
      <c r="K12" s="50"/>
      <c r="L12" s="50"/>
      <c r="M12" s="50"/>
      <c r="O12" s="50"/>
      <c r="Q12">
        <v>51520000</v>
      </c>
      <c r="R12">
        <v>518200</v>
      </c>
    </row>
    <row r="13" spans="1:21" ht="15" hidden="1" customHeight="1">
      <c r="A13" s="79" t="s">
        <v>127</v>
      </c>
      <c r="B13" s="79"/>
      <c r="C13" s="80">
        <f>IF(Info!B$10=2,Summary!R13,Summary!Q13)</f>
        <v>55900000</v>
      </c>
      <c r="D13" s="80"/>
      <c r="E13" s="50">
        <f>SUMIF(Detail!$C$8:$C$62,$C13,Detail!E$8:E$62)</f>
        <v>0</v>
      </c>
      <c r="F13" s="82"/>
      <c r="G13" s="50">
        <f>SUMIF(Detail!$C$8:$C$62,$C13,Detail!F$8:F$62)</f>
        <v>0</v>
      </c>
      <c r="H13" s="82"/>
      <c r="I13" s="47">
        <f>E13-G13</f>
        <v>0</v>
      </c>
      <c r="J13" s="189"/>
      <c r="K13" s="50"/>
      <c r="L13" s="50"/>
      <c r="M13" s="50"/>
      <c r="O13" s="50"/>
      <c r="Q13">
        <v>55900000</v>
      </c>
      <c r="R13">
        <v>379000</v>
      </c>
    </row>
    <row r="14" spans="1:21" ht="15" customHeight="1">
      <c r="A14" s="79" t="s">
        <v>484</v>
      </c>
      <c r="B14" s="79"/>
      <c r="C14" s="80">
        <f>IF(Info!B$10=2,Summary!R14,Summary!Q14)</f>
        <v>55900000</v>
      </c>
      <c r="D14" s="80"/>
      <c r="E14" s="50">
        <f>SUMIF(Detail!$C$8:$C$62,$C14,Detail!E$8:E$62)</f>
        <v>0</v>
      </c>
      <c r="F14" s="82"/>
      <c r="G14" s="50">
        <f>SUMIF(Detail!$C$8:$C$62,$C14,Detail!F$8:F$62)</f>
        <v>0</v>
      </c>
      <c r="H14" s="82"/>
      <c r="I14" s="47">
        <f t="shared" si="0"/>
        <v>0</v>
      </c>
      <c r="J14" s="189"/>
      <c r="K14" s="50"/>
      <c r="L14" s="50"/>
      <c r="M14" s="50"/>
      <c r="O14" s="50"/>
      <c r="Q14" s="153">
        <v>55900000</v>
      </c>
      <c r="R14">
        <v>539600</v>
      </c>
    </row>
    <row r="15" spans="1:21" ht="15" customHeight="1">
      <c r="A15" s="79" t="s">
        <v>485</v>
      </c>
      <c r="B15" s="79"/>
      <c r="C15" s="153">
        <f>IF(Info!B$10=2,Summary!R15,Summary!Q15)</f>
        <v>47995000</v>
      </c>
      <c r="D15" s="80"/>
      <c r="E15" s="50">
        <f>SUMIF(Detail!$C$8:$C$62,$C15,Detail!E$8:E$62)</f>
        <v>0</v>
      </c>
      <c r="F15" s="82"/>
      <c r="G15" s="50">
        <f>SUMIF(Detail!$C$8:$C$62,$C15,Detail!F$8:F$62)</f>
        <v>0</v>
      </c>
      <c r="H15" s="82"/>
      <c r="I15" s="47">
        <f t="shared" si="0"/>
        <v>0</v>
      </c>
      <c r="J15" s="189"/>
      <c r="K15" s="50"/>
      <c r="L15" s="50"/>
      <c r="M15" s="50"/>
      <c r="O15" s="50"/>
      <c r="Q15" s="153">
        <v>47995000</v>
      </c>
      <c r="R15">
        <v>493200</v>
      </c>
    </row>
    <row r="16" spans="1:21" ht="15" customHeight="1">
      <c r="A16" s="203" t="s">
        <v>486</v>
      </c>
      <c r="B16" s="203"/>
      <c r="C16" s="204">
        <f>IF(Info!B$10=2,Summary!R16,Summary!Q16)</f>
        <v>46207000</v>
      </c>
      <c r="D16" s="204"/>
      <c r="E16" s="205">
        <f>SUMIF(Detail!$C$8:$C$62,$C16,Detail!E$8:E$62)</f>
        <v>0</v>
      </c>
      <c r="F16" s="206"/>
      <c r="G16" s="209">
        <f>SUMIF(Detail!$C$8:$C$62,$C16,Detail!F$8:F$62)</f>
        <v>17541</v>
      </c>
      <c r="H16" s="206"/>
      <c r="I16" s="205">
        <f t="shared" ref="I16" si="1">E16-G16</f>
        <v>-17541</v>
      </c>
      <c r="J16" s="189"/>
      <c r="K16" s="50"/>
      <c r="L16" s="50"/>
      <c r="M16" s="50"/>
      <c r="O16" s="50"/>
      <c r="Q16" s="153">
        <v>46207000</v>
      </c>
      <c r="R16">
        <v>493351</v>
      </c>
    </row>
    <row r="17" spans="1:18" ht="15" customHeight="1">
      <c r="A17" s="79" t="s">
        <v>127</v>
      </c>
      <c r="B17" s="79"/>
      <c r="C17" s="80">
        <f>IF(Info!B$10=2,Summary!R17,Summary!Q17)</f>
        <v>32000100</v>
      </c>
      <c r="D17" s="80"/>
      <c r="E17" s="50">
        <f>SUMIF(Detail!$C$24:$C$62,$C17,Detail!E$24:E$62)</f>
        <v>0</v>
      </c>
      <c r="F17" s="82"/>
      <c r="G17" s="50">
        <f>SUMIF(Detail!$C$24:$C$62,$C17,Detail!F$24:F$62)</f>
        <v>0</v>
      </c>
      <c r="H17" s="82"/>
      <c r="I17" s="74">
        <f t="shared" si="0"/>
        <v>0</v>
      </c>
      <c r="J17" s="189"/>
      <c r="K17" s="50"/>
      <c r="L17" s="50"/>
      <c r="M17" s="50"/>
      <c r="N17" s="50"/>
      <c r="O17" s="50"/>
      <c r="P17" s="50"/>
      <c r="Q17">
        <v>32000100</v>
      </c>
      <c r="R17">
        <v>379000</v>
      </c>
    </row>
    <row r="18" spans="1:18" ht="15" customHeight="1" thickBot="1">
      <c r="A18" s="84" t="s">
        <v>4</v>
      </c>
      <c r="B18" s="84"/>
      <c r="C18" s="85"/>
      <c r="D18" s="85"/>
      <c r="E18" s="86">
        <f>SUM(E8:E17)</f>
        <v>2766702</v>
      </c>
      <c r="F18" s="82"/>
      <c r="G18" s="86">
        <f>SUM(G8:G17)</f>
        <v>2766702</v>
      </c>
      <c r="H18" s="82"/>
      <c r="I18" s="196">
        <f>SUM(I8:I17)</f>
        <v>0</v>
      </c>
      <c r="J18" s="188"/>
      <c r="K18" s="81"/>
      <c r="L18" s="81"/>
      <c r="M18" s="81"/>
      <c r="N18" s="81"/>
      <c r="O18" s="81"/>
      <c r="P18" s="81"/>
    </row>
    <row r="19" spans="1:18" ht="15" customHeight="1" thickTop="1"/>
    <row r="20" spans="1:18" ht="15" customHeight="1">
      <c r="A20" s="154" t="s">
        <v>192</v>
      </c>
    </row>
    <row r="21" spans="1:18" ht="105" customHeight="1">
      <c r="A21" s="300" t="s">
        <v>871</v>
      </c>
      <c r="B21" s="301"/>
      <c r="C21" s="301"/>
      <c r="D21" s="301"/>
      <c r="E21" s="301"/>
      <c r="F21" s="301"/>
      <c r="G21" s="301"/>
      <c r="H21" s="301"/>
      <c r="I21" s="301"/>
    </row>
    <row r="22" spans="1:18" ht="10.050000000000001" customHeight="1"/>
    <row r="24" spans="1:18" s="194" customFormat="1" ht="118.2" customHeight="1">
      <c r="A24" s="302" t="s">
        <v>488</v>
      </c>
      <c r="B24" s="302"/>
      <c r="C24" s="302"/>
      <c r="D24" s="302"/>
      <c r="E24" s="302"/>
      <c r="F24" s="302"/>
      <c r="G24" s="302"/>
      <c r="H24" s="302"/>
      <c r="I24" s="302"/>
    </row>
    <row r="29" spans="1:18">
      <c r="A29" s="155"/>
    </row>
    <row r="30" spans="1:18">
      <c r="A30" s="155"/>
    </row>
    <row r="31" spans="1:18">
      <c r="A31" s="155"/>
    </row>
    <row r="32" spans="1:18">
      <c r="A32" s="155"/>
    </row>
  </sheetData>
  <mergeCells count="4">
    <mergeCell ref="K5:O5"/>
    <mergeCell ref="K6:O6"/>
    <mergeCell ref="A21:I21"/>
    <mergeCell ref="A24:I24"/>
  </mergeCells>
  <phoneticPr fontId="9" type="noConversion"/>
  <pageMargins left="0.5" right="0.5" top="0.3" bottom="0.35" header="0.5" footer="0.15"/>
  <pageSetup orientation="portrait" r:id="rId1"/>
  <headerFooter>
    <oddFooter>&amp;L&amp;"Arial Narrow,Regular"&amp;9&amp;Z&amp;F&amp;R&amp;"Arial Narrow,Regular"&amp;9&amp;D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1"/>
  <sheetViews>
    <sheetView showGridLines="0" topLeftCell="A14" workbookViewId="0">
      <selection activeCell="N64" sqref="N64"/>
    </sheetView>
  </sheetViews>
  <sheetFormatPr defaultRowHeight="13.2"/>
  <cols>
    <col min="1" max="1" width="2.77734375" customWidth="1"/>
    <col min="2" max="2" width="35.77734375" customWidth="1"/>
    <col min="3" max="3" width="4.21875" hidden="1" customWidth="1"/>
    <col min="4" max="4" width="15.77734375" customWidth="1"/>
    <col min="5" max="5" width="1.21875" customWidth="1"/>
    <col min="6" max="6" width="4.21875" hidden="1" customWidth="1"/>
    <col min="7" max="7" width="15.77734375" customWidth="1"/>
    <col min="8" max="8" width="4.77734375" customWidth="1"/>
    <col min="9" max="9" width="1.77734375" customWidth="1"/>
    <col min="10" max="10" width="15.5546875" bestFit="1" customWidth="1"/>
    <col min="11" max="11" width="1.77734375" customWidth="1"/>
    <col min="12" max="12" width="11.77734375" bestFit="1" customWidth="1"/>
    <col min="13" max="13" width="1.21875" customWidth="1"/>
    <col min="14" max="14" width="15.77734375" customWidth="1"/>
    <col min="15" max="15" width="1.21875" customWidth="1"/>
    <col min="16" max="16" width="15.77734375" customWidth="1"/>
    <col min="17" max="17" width="1.21875" customWidth="1"/>
    <col min="18" max="18" width="11.77734375" customWidth="1"/>
    <col min="19" max="19" width="1.21875" customWidth="1"/>
    <col min="20" max="20" width="11.77734375" customWidth="1"/>
    <col min="21" max="21" width="1.21875" customWidth="1"/>
    <col min="22" max="22" width="11.77734375" customWidth="1"/>
    <col min="23" max="23" width="1.21875" customWidth="1"/>
    <col min="24" max="24" width="11.77734375" bestFit="1" customWidth="1"/>
    <col min="25" max="25" width="1.21875" customWidth="1"/>
    <col min="26" max="26" width="10.21875" bestFit="1" customWidth="1"/>
  </cols>
  <sheetData>
    <row r="1" spans="1:26">
      <c r="A1" s="1" t="str">
        <f>Info!B5</f>
        <v>NC HOUSING FINANCE AGENCY</v>
      </c>
    </row>
    <row r="2" spans="1:26">
      <c r="A2" s="1" t="s">
        <v>235</v>
      </c>
    </row>
    <row r="3" spans="1:26">
      <c r="A3" s="1" t="s">
        <v>861</v>
      </c>
    </row>
    <row r="4" spans="1:26" ht="17.399999999999999">
      <c r="A4" s="1"/>
      <c r="G4" s="55"/>
    </row>
    <row r="5" spans="1:26" ht="8.1" customHeight="1">
      <c r="A5" s="1"/>
    </row>
    <row r="6" spans="1:26">
      <c r="A6" s="2" t="s">
        <v>27</v>
      </c>
      <c r="B6" s="92" t="s">
        <v>147</v>
      </c>
      <c r="C6" s="93"/>
      <c r="D6" s="93"/>
      <c r="E6" s="93"/>
      <c r="F6" s="93"/>
      <c r="G6" s="93"/>
      <c r="H6" s="94"/>
    </row>
    <row r="7" spans="1:26">
      <c r="A7" s="2"/>
      <c r="B7" s="95" t="s">
        <v>216</v>
      </c>
      <c r="C7" s="18"/>
      <c r="D7" s="18"/>
      <c r="E7" s="18"/>
      <c r="F7" s="18"/>
      <c r="G7" s="18"/>
      <c r="H7" s="96"/>
      <c r="J7" s="4" t="s">
        <v>30</v>
      </c>
      <c r="K7" s="4"/>
    </row>
    <row r="8" spans="1:26">
      <c r="B8" s="97"/>
      <c r="C8" s="18"/>
      <c r="D8" s="18"/>
      <c r="E8" s="18"/>
      <c r="F8" s="18"/>
      <c r="G8" s="18"/>
      <c r="H8" s="96"/>
      <c r="J8" s="4" t="s">
        <v>146</v>
      </c>
      <c r="K8" s="4"/>
      <c r="L8" s="303"/>
      <c r="M8" s="303"/>
      <c r="N8" s="303"/>
    </row>
    <row r="9" spans="1:26">
      <c r="B9" s="98"/>
      <c r="C9" s="91"/>
      <c r="D9" s="85" t="s">
        <v>6</v>
      </c>
      <c r="E9" s="91"/>
      <c r="F9" s="91"/>
      <c r="G9" s="85" t="s">
        <v>7</v>
      </c>
      <c r="H9" s="96"/>
      <c r="J9" s="4" t="s">
        <v>145</v>
      </c>
      <c r="K9" s="4"/>
      <c r="L9" s="303"/>
      <c r="M9" s="303"/>
      <c r="N9" s="303"/>
      <c r="O9" s="303"/>
      <c r="P9" s="303"/>
      <c r="R9" s="303"/>
      <c r="S9" s="303"/>
      <c r="T9" s="303"/>
      <c r="U9" s="303"/>
      <c r="V9" s="303"/>
      <c r="X9" s="303"/>
      <c r="Y9" s="303"/>
      <c r="Z9" s="303"/>
    </row>
    <row r="10" spans="1:26">
      <c r="B10" s="98"/>
      <c r="C10" s="99" t="s">
        <v>14</v>
      </c>
      <c r="D10" s="100" t="s">
        <v>5</v>
      </c>
      <c r="E10" s="85"/>
      <c r="F10" s="100" t="s">
        <v>14</v>
      </c>
      <c r="G10" s="100" t="s">
        <v>5</v>
      </c>
      <c r="H10" s="96"/>
      <c r="J10" s="14" t="s">
        <v>217</v>
      </c>
      <c r="K10" s="4"/>
      <c r="L10" s="5"/>
      <c r="N10" s="5"/>
      <c r="P10" s="5"/>
      <c r="R10" s="5"/>
      <c r="T10" s="5"/>
      <c r="V10" s="5"/>
      <c r="X10" s="5"/>
      <c r="Z10" s="5"/>
    </row>
    <row r="11" spans="1:26">
      <c r="B11" s="95" t="s">
        <v>8</v>
      </c>
      <c r="C11" s="101"/>
      <c r="D11" s="81"/>
      <c r="E11" s="18"/>
      <c r="F11" s="101"/>
      <c r="G11" s="102"/>
      <c r="H11" s="96"/>
      <c r="J11" s="15"/>
      <c r="K11" s="15"/>
    </row>
    <row r="12" spans="1:26">
      <c r="B12" s="95" t="s">
        <v>9</v>
      </c>
      <c r="C12" s="101">
        <v>1</v>
      </c>
      <c r="D12" s="81">
        <f>Detail!E13+SUMIF(Detail!$D$24:$D$62,$C12,Detail!E$24:E$62)-SUMIF(Detail!$D$24:$D$62,$C12,Detail!F$24:F$62)</f>
        <v>147034</v>
      </c>
      <c r="E12" s="18"/>
      <c r="F12" s="101">
        <v>6</v>
      </c>
      <c r="G12" s="102">
        <f>Detail!F16+SUMIF(Detail!$D$24:$D$62,$F12,Detail!F$24:F$62)-SUMIF(Detail!$D$24:$D$62,$F12,Detail!E$24:E$62)</f>
        <v>13083</v>
      </c>
      <c r="H12" s="96"/>
      <c r="J12" s="15">
        <f>D12-G12</f>
        <v>133951</v>
      </c>
      <c r="K12" s="15"/>
      <c r="L12" s="81"/>
      <c r="N12" s="81"/>
      <c r="P12" s="81"/>
      <c r="R12" s="81"/>
      <c r="T12" s="81"/>
      <c r="V12" s="81"/>
      <c r="X12" s="15"/>
      <c r="Z12" s="15"/>
    </row>
    <row r="13" spans="1:26">
      <c r="B13" s="98"/>
      <c r="C13" s="101"/>
      <c r="D13" s="103"/>
      <c r="E13" s="18"/>
      <c r="F13" s="101"/>
      <c r="G13" s="104"/>
      <c r="H13" s="96"/>
      <c r="Z13" s="15"/>
    </row>
    <row r="14" spans="1:26">
      <c r="B14" s="95" t="s">
        <v>132</v>
      </c>
      <c r="C14" s="101">
        <v>2</v>
      </c>
      <c r="D14" s="50">
        <f>Detail!E11+SUMIF(Detail!$D$24:$D$62,$C14,Detail!E$24:E$62)-SUMIF(Detail!$D$24:$D$62,$C14,Detail!F$24:F$62)</f>
        <v>1446455</v>
      </c>
      <c r="E14" s="18"/>
      <c r="F14" s="101">
        <v>7</v>
      </c>
      <c r="G14" s="50">
        <f>Detail!F18+SUMIF(Detail!$D$24:$D$62,$F14,Detail!F$24:F$62)-SUMIF(Detail!$D$24:$D$62,$F14,Detail!E$24:E$62)</f>
        <v>3562273</v>
      </c>
      <c r="H14" s="96"/>
      <c r="J14" s="50">
        <f>D14-G14</f>
        <v>-2115818</v>
      </c>
      <c r="K14" s="50"/>
      <c r="L14" s="50"/>
      <c r="N14" s="50"/>
      <c r="P14" s="50"/>
      <c r="R14" s="50"/>
      <c r="T14" s="50"/>
      <c r="V14" s="50"/>
      <c r="X14" s="16"/>
      <c r="Z14" s="16"/>
    </row>
    <row r="15" spans="1:26">
      <c r="B15" s="98"/>
      <c r="C15" s="101"/>
      <c r="D15" s="103"/>
      <c r="E15" s="18"/>
      <c r="F15" s="101"/>
      <c r="G15" s="104"/>
      <c r="H15" s="96"/>
      <c r="X15" s="16"/>
      <c r="Z15" s="15"/>
    </row>
    <row r="16" spans="1:26" ht="12.75" customHeight="1">
      <c r="B16" s="186" t="s">
        <v>10</v>
      </c>
      <c r="C16" s="101"/>
      <c r="D16" s="50"/>
      <c r="E16" s="18"/>
      <c r="F16" s="101"/>
      <c r="G16" s="50"/>
      <c r="H16" s="96"/>
      <c r="J16" s="16"/>
      <c r="K16" s="16"/>
      <c r="N16" s="313"/>
      <c r="O16" s="313"/>
      <c r="P16" s="313"/>
      <c r="X16" s="16"/>
      <c r="Z16" s="15"/>
    </row>
    <row r="17" spans="2:26">
      <c r="B17" s="186" t="s">
        <v>218</v>
      </c>
      <c r="C17" s="101"/>
      <c r="D17" s="103"/>
      <c r="E17" s="18"/>
      <c r="F17" s="101"/>
      <c r="G17" s="104"/>
      <c r="H17" s="96"/>
      <c r="N17" s="4"/>
      <c r="O17" s="2"/>
      <c r="P17" s="4"/>
      <c r="X17" s="16"/>
      <c r="Z17" s="15"/>
    </row>
    <row r="18" spans="2:26">
      <c r="B18" s="186" t="s">
        <v>139</v>
      </c>
      <c r="C18" s="101">
        <v>3</v>
      </c>
      <c r="D18" s="50">
        <f>Detail!E12+SUMIF(Detail!$D$24:$D$62,$C18,Detail!E$24:E$62)-SUMIF(Detail!$D$24:$D$62,$C18,Detail!F$24:F$62)</f>
        <v>106665</v>
      </c>
      <c r="E18" s="18"/>
      <c r="F18" s="101">
        <v>8</v>
      </c>
      <c r="G18" s="50">
        <f>Detail!F17+SUMIF(Detail!$D$24:$D$62,$F18,Detail!F$24:F$62)-SUMIF(Detail!$D$24:$D$62,$F18,Detail!E$24:E$62)</f>
        <v>0</v>
      </c>
      <c r="H18" s="96"/>
      <c r="J18" s="50">
        <f>D18-G18</f>
        <v>106665</v>
      </c>
      <c r="K18" s="50"/>
      <c r="L18" s="50"/>
      <c r="N18" s="50"/>
      <c r="P18" s="50"/>
      <c r="R18" s="50"/>
      <c r="T18" s="50"/>
      <c r="V18" s="50"/>
      <c r="X18" s="16"/>
      <c r="Z18" s="16"/>
    </row>
    <row r="19" spans="2:26">
      <c r="B19" s="98"/>
      <c r="C19" s="101"/>
      <c r="D19" s="103"/>
      <c r="E19" s="18"/>
      <c r="F19" s="101"/>
      <c r="G19" s="104"/>
      <c r="H19" s="96"/>
      <c r="X19" s="16"/>
      <c r="Z19" s="15"/>
    </row>
    <row r="20" spans="2:26">
      <c r="B20" s="95" t="s">
        <v>19</v>
      </c>
      <c r="C20" s="101"/>
      <c r="D20" s="50"/>
      <c r="E20" s="18"/>
      <c r="F20" s="101"/>
      <c r="G20" s="50"/>
      <c r="H20" s="96"/>
      <c r="J20" s="16"/>
      <c r="K20" s="16"/>
      <c r="X20" s="16"/>
      <c r="Z20" s="15"/>
    </row>
    <row r="21" spans="2:26">
      <c r="B21" s="95" t="s">
        <v>20</v>
      </c>
      <c r="C21" s="101"/>
      <c r="D21" s="103"/>
      <c r="E21" s="18"/>
      <c r="F21" s="101"/>
      <c r="G21" s="104"/>
      <c r="H21" s="96"/>
      <c r="X21" s="16"/>
      <c r="Z21" s="15"/>
    </row>
    <row r="22" spans="2:26">
      <c r="B22" s="95" t="s">
        <v>21</v>
      </c>
      <c r="C22" s="101">
        <v>4</v>
      </c>
      <c r="D22" s="50">
        <f>Detail!E10+SUMIF(Detail!$D$24:$D$62,$C22,Detail!E$24:E$62)-SUMIF(Detail!$D$24:$D$62,$C22,Detail!F$24:F$62)</f>
        <v>872555</v>
      </c>
      <c r="E22" s="18"/>
      <c r="F22" s="101">
        <v>9</v>
      </c>
      <c r="G22" s="50">
        <f>Detail!F19+SUMIF(Detail!$D$24:$D$62,$F22,Detail!F$24:F$62)-SUMIF(Detail!$D$24:$D$62,$F22,Detail!E$24:E$62)</f>
        <v>286760</v>
      </c>
      <c r="H22" s="96"/>
      <c r="J22" s="83">
        <f>D22-G22</f>
        <v>585795</v>
      </c>
      <c r="K22" s="50"/>
      <c r="L22" s="50"/>
      <c r="N22" s="50"/>
      <c r="P22" s="50"/>
      <c r="R22" s="50"/>
      <c r="T22" s="50"/>
      <c r="V22" s="50"/>
      <c r="X22" s="16"/>
      <c r="Z22" s="16"/>
    </row>
    <row r="23" spans="2:26" ht="13.8" thickBot="1">
      <c r="B23" s="95"/>
      <c r="C23" s="101"/>
      <c r="D23" s="103"/>
      <c r="E23" s="18"/>
      <c r="F23" s="101"/>
      <c r="G23" s="104"/>
      <c r="H23" s="96"/>
      <c r="J23" s="213">
        <f>J12+J14+J18+J22</f>
        <v>-1289407</v>
      </c>
      <c r="K23" s="15"/>
      <c r="X23" s="15"/>
      <c r="Z23" s="15"/>
    </row>
    <row r="24" spans="2:26" ht="13.8" thickTop="1">
      <c r="B24" s="95" t="s">
        <v>11</v>
      </c>
      <c r="C24" s="101"/>
      <c r="D24" s="50"/>
      <c r="E24" s="18"/>
      <c r="F24" s="101"/>
      <c r="G24" s="50"/>
      <c r="H24" s="96"/>
      <c r="J24" s="16"/>
      <c r="K24" s="16"/>
      <c r="X24" s="16"/>
    </row>
    <row r="25" spans="2:26" ht="13.8">
      <c r="B25" s="95" t="s">
        <v>12</v>
      </c>
      <c r="C25" s="101">
        <v>5</v>
      </c>
      <c r="D25" s="50">
        <f>SUMIF(Detail!$D$24:$D$62,$C25,Detail!E$24:E$62)</f>
        <v>0</v>
      </c>
      <c r="E25" s="18"/>
      <c r="F25" s="101"/>
      <c r="G25" s="50">
        <v>0</v>
      </c>
      <c r="H25" s="96"/>
      <c r="J25" s="50"/>
      <c r="K25" s="50"/>
      <c r="L25" s="129"/>
      <c r="N25" s="129"/>
      <c r="P25" s="50"/>
      <c r="R25" s="50"/>
      <c r="T25" s="50"/>
      <c r="V25" s="50"/>
      <c r="X25" s="16"/>
    </row>
    <row r="26" spans="2:26" ht="14.55" customHeight="1" thickBot="1">
      <c r="B26" s="105" t="s">
        <v>13</v>
      </c>
      <c r="C26" s="18"/>
      <c r="D26" s="106">
        <f>SUM(D12:D25)</f>
        <v>2572709</v>
      </c>
      <c r="E26" s="18"/>
      <c r="F26" s="18"/>
      <c r="G26" s="106">
        <f>SUM(G12:G25)</f>
        <v>3862116</v>
      </c>
      <c r="H26" s="96"/>
      <c r="J26" s="4"/>
      <c r="K26" s="4"/>
      <c r="L26" s="52"/>
      <c r="N26" s="52"/>
      <c r="P26" s="52"/>
      <c r="R26" s="52"/>
      <c r="T26" s="52"/>
      <c r="V26" s="52"/>
    </row>
    <row r="27" spans="2:26" ht="14.55" customHeight="1" thickTop="1">
      <c r="B27" s="105"/>
      <c r="C27" s="18"/>
      <c r="D27" s="52"/>
      <c r="E27" s="18"/>
      <c r="F27" s="18"/>
      <c r="G27" s="52"/>
      <c r="H27" s="96"/>
      <c r="J27" s="52"/>
      <c r="K27" s="52"/>
    </row>
    <row r="28" spans="2:26" ht="64.05" customHeight="1">
      <c r="B28" s="305" t="s">
        <v>219</v>
      </c>
      <c r="C28" s="306"/>
      <c r="D28" s="306"/>
      <c r="E28" s="306"/>
      <c r="F28" s="306"/>
      <c r="G28" s="306"/>
      <c r="H28" s="307"/>
      <c r="J28" s="52"/>
      <c r="K28" s="52"/>
      <c r="L28" s="304"/>
      <c r="M28" s="304"/>
      <c r="N28" s="304"/>
      <c r="O28" s="304"/>
      <c r="P28" s="304"/>
      <c r="Q28" s="304"/>
    </row>
    <row r="29" spans="2:26">
      <c r="B29" s="105"/>
      <c r="C29" s="18"/>
      <c r="D29" s="52"/>
      <c r="E29" s="18"/>
      <c r="F29" s="18"/>
      <c r="G29" s="52"/>
      <c r="H29" s="96"/>
    </row>
    <row r="30" spans="2:26">
      <c r="B30" s="107" t="s">
        <v>220</v>
      </c>
      <c r="C30" s="18"/>
      <c r="D30" s="52"/>
      <c r="E30" s="18"/>
      <c r="F30" s="18"/>
      <c r="G30" s="52"/>
      <c r="H30" s="96"/>
    </row>
    <row r="31" spans="2:26" ht="12.75" customHeight="1">
      <c r="B31" s="108"/>
      <c r="C31" s="109"/>
      <c r="D31" s="109"/>
      <c r="E31" s="109"/>
      <c r="F31" s="109"/>
      <c r="G31" s="109"/>
      <c r="H31" s="110"/>
    </row>
    <row r="32" spans="2:26" ht="15.75" customHeight="1">
      <c r="B32" s="2"/>
    </row>
    <row r="33" spans="1:16">
      <c r="A33" s="2" t="s">
        <v>28</v>
      </c>
      <c r="B33" s="92" t="s">
        <v>148</v>
      </c>
      <c r="C33" s="93"/>
      <c r="D33" s="93"/>
      <c r="E33" s="93"/>
      <c r="F33" s="93"/>
      <c r="G33" s="93"/>
      <c r="H33" s="94"/>
    </row>
    <row r="34" spans="1:16">
      <c r="A34" s="2"/>
      <c r="B34" s="95" t="s">
        <v>149</v>
      </c>
      <c r="C34" s="18"/>
      <c r="D34" s="18"/>
      <c r="E34" s="18"/>
      <c r="F34" s="18"/>
      <c r="G34" s="18"/>
      <c r="H34" s="96"/>
    </row>
    <row r="35" spans="1:16">
      <c r="A35" s="2"/>
      <c r="B35" s="95" t="s">
        <v>221</v>
      </c>
      <c r="C35" s="18"/>
      <c r="D35" s="18"/>
      <c r="E35" s="18"/>
      <c r="F35" s="18"/>
      <c r="G35" s="18"/>
      <c r="H35" s="96"/>
    </row>
    <row r="36" spans="1:16">
      <c r="B36" s="111"/>
      <c r="C36" s="18"/>
      <c r="D36" s="18"/>
      <c r="E36" s="18"/>
      <c r="F36" s="18"/>
      <c r="G36" s="18"/>
      <c r="H36" s="96"/>
      <c r="L36" s="5"/>
      <c r="N36" s="5"/>
      <c r="P36" s="5"/>
    </row>
    <row r="37" spans="1:16">
      <c r="B37" s="95" t="s">
        <v>29</v>
      </c>
      <c r="C37" s="18"/>
      <c r="D37" s="85"/>
      <c r="E37" s="18"/>
      <c r="F37" s="18"/>
      <c r="G37" s="18"/>
      <c r="H37" s="96"/>
    </row>
    <row r="38" spans="1:16" ht="13.8">
      <c r="B38" s="105">
        <v>2025</v>
      </c>
      <c r="C38" s="18"/>
      <c r="D38" s="81">
        <f>VLOOKUP(Info!B9,Data!B:X,16,FALSE)</f>
        <v>-488056</v>
      </c>
      <c r="E38" s="18"/>
      <c r="F38" s="65"/>
      <c r="G38" s="18"/>
      <c r="H38" s="96"/>
      <c r="L38" s="81"/>
      <c r="N38" s="81"/>
      <c r="P38" s="15"/>
    </row>
    <row r="39" spans="1:16" ht="13.8">
      <c r="B39" s="105">
        <v>2026</v>
      </c>
      <c r="C39" s="18"/>
      <c r="D39" s="112">
        <f>VLOOKUP(Info!B9,Data!B:X,17,FALSE)</f>
        <v>-684814</v>
      </c>
      <c r="E39" s="18"/>
      <c r="F39" s="65"/>
      <c r="G39" s="18"/>
      <c r="H39" s="96"/>
      <c r="L39" s="112"/>
      <c r="N39" s="112"/>
      <c r="P39" s="112"/>
    </row>
    <row r="40" spans="1:16" ht="13.8">
      <c r="B40" s="105">
        <v>2027</v>
      </c>
      <c r="C40" s="18"/>
      <c r="D40" s="112">
        <f>VLOOKUP(Info!B9,Data!B:X,18,FALSE)</f>
        <v>-270104</v>
      </c>
      <c r="E40" s="18"/>
      <c r="F40" s="65"/>
      <c r="G40" s="18"/>
      <c r="H40" s="96"/>
      <c r="L40" s="112"/>
      <c r="N40" s="112"/>
      <c r="P40" s="112"/>
    </row>
    <row r="41" spans="1:16" ht="13.8">
      <c r="B41" s="105">
        <v>2028</v>
      </c>
      <c r="C41" s="18"/>
      <c r="D41" s="112">
        <f>VLOOKUP(Info!B9,Data!B:X,19,FALSE)</f>
        <v>153567</v>
      </c>
      <c r="E41" s="18"/>
      <c r="F41" s="65"/>
      <c r="G41" s="91"/>
      <c r="H41" s="96"/>
      <c r="K41" s="2"/>
      <c r="L41" s="112"/>
      <c r="N41" s="112"/>
      <c r="P41" s="112"/>
    </row>
    <row r="42" spans="1:16" ht="13.8">
      <c r="B42" s="105">
        <v>2029</v>
      </c>
      <c r="C42" s="18"/>
      <c r="D42" s="113">
        <f>VLOOKUP(Info!B9,Data!B:W,20,FALSE)+VLOOKUP(Info!B9,Data!B:W,22,FALSE)</f>
        <v>0</v>
      </c>
      <c r="E42" s="18"/>
      <c r="F42" s="65"/>
      <c r="G42" s="18"/>
      <c r="H42" s="96"/>
      <c r="J42" s="128" t="s">
        <v>134</v>
      </c>
      <c r="L42" s="112"/>
      <c r="N42" s="112"/>
      <c r="P42" s="112"/>
    </row>
    <row r="43" spans="1:16" ht="14.55" customHeight="1" thickBot="1">
      <c r="B43" s="114" t="s">
        <v>13</v>
      </c>
      <c r="C43" s="18"/>
      <c r="D43" s="213">
        <f>SUM(D38:D42)</f>
        <v>-1289407</v>
      </c>
      <c r="E43" s="18"/>
      <c r="F43" s="65"/>
      <c r="G43" s="18"/>
      <c r="H43" s="96"/>
      <c r="L43" s="15"/>
      <c r="N43" s="15"/>
      <c r="P43" s="15"/>
    </row>
    <row r="44" spans="1:16" ht="8.1" customHeight="1" thickTop="1">
      <c r="B44" s="98"/>
      <c r="C44" s="18"/>
      <c r="D44" s="18"/>
      <c r="E44" s="18"/>
      <c r="F44" s="18"/>
      <c r="G44" s="18"/>
      <c r="H44" s="96"/>
    </row>
    <row r="45" spans="1:16">
      <c r="B45" s="95" t="s">
        <v>222</v>
      </c>
      <c r="C45" s="18"/>
      <c r="D45" s="18"/>
      <c r="E45" s="18"/>
      <c r="F45" s="18"/>
      <c r="G45" s="18"/>
      <c r="H45" s="96"/>
    </row>
    <row r="46" spans="1:16">
      <c r="B46" s="95" t="s">
        <v>223</v>
      </c>
      <c r="C46" s="18"/>
      <c r="D46" s="18"/>
      <c r="E46" s="18"/>
      <c r="F46" s="18"/>
      <c r="G46" s="18"/>
      <c r="H46" s="96"/>
    </row>
    <row r="47" spans="1:16">
      <c r="B47" s="95"/>
      <c r="C47" s="18"/>
      <c r="D47" s="18"/>
      <c r="E47" s="18"/>
      <c r="F47" s="18"/>
      <c r="G47" s="18"/>
      <c r="H47" s="96"/>
    </row>
    <row r="48" spans="1:16">
      <c r="B48" s="116" t="s">
        <v>224</v>
      </c>
      <c r="C48" s="18"/>
      <c r="D48" s="18"/>
      <c r="E48" s="18"/>
      <c r="F48" s="18"/>
      <c r="G48" s="18"/>
      <c r="H48" s="96"/>
    </row>
    <row r="49" spans="1:16" ht="12.75" customHeight="1">
      <c r="B49" s="117"/>
      <c r="C49" s="109"/>
      <c r="D49" s="109"/>
      <c r="E49" s="109"/>
      <c r="F49" s="109"/>
      <c r="G49" s="109"/>
      <c r="H49" s="110"/>
    </row>
    <row r="50" spans="1:16" ht="15.75" customHeight="1"/>
    <row r="51" spans="1:16">
      <c r="A51" s="2" t="s">
        <v>31</v>
      </c>
      <c r="B51" s="92" t="s">
        <v>150</v>
      </c>
      <c r="C51" s="93"/>
      <c r="D51" s="93"/>
      <c r="E51" s="93"/>
      <c r="F51" s="93"/>
      <c r="G51" s="93"/>
      <c r="H51" s="94"/>
    </row>
    <row r="52" spans="1:16">
      <c r="A52" s="2"/>
      <c r="B52" s="95" t="s">
        <v>225</v>
      </c>
      <c r="C52" s="18"/>
      <c r="D52" s="18"/>
      <c r="E52" s="18"/>
      <c r="F52" s="18"/>
      <c r="G52" s="18"/>
      <c r="H52" s="96"/>
    </row>
    <row r="53" spans="1:16">
      <c r="A53" s="2"/>
      <c r="B53" s="118" t="s">
        <v>872</v>
      </c>
      <c r="C53" s="18"/>
      <c r="D53" s="18"/>
      <c r="E53" s="18"/>
      <c r="F53" s="18"/>
      <c r="G53" s="18"/>
      <c r="H53" s="96"/>
    </row>
    <row r="54" spans="1:16">
      <c r="B54" s="98"/>
      <c r="C54" s="18"/>
      <c r="D54" s="18"/>
      <c r="E54" s="18"/>
      <c r="F54" s="18"/>
      <c r="G54" s="18"/>
      <c r="H54" s="96"/>
      <c r="L54" s="5"/>
      <c r="N54" s="5"/>
      <c r="P54" s="5"/>
    </row>
    <row r="55" spans="1:16" ht="14.4" thickBot="1">
      <c r="B55" s="95" t="s">
        <v>32</v>
      </c>
      <c r="C55" s="18"/>
      <c r="D55" s="119">
        <f>D25</f>
        <v>0</v>
      </c>
      <c r="E55" s="18"/>
      <c r="F55" s="65"/>
      <c r="G55" s="91"/>
      <c r="H55" s="96"/>
      <c r="J55" s="128" t="s">
        <v>133</v>
      </c>
      <c r="K55" s="2"/>
      <c r="L55" s="16"/>
      <c r="N55" s="16"/>
      <c r="P55" s="15"/>
    </row>
    <row r="56" spans="1:16" ht="13.8" thickTop="1">
      <c r="B56" s="95"/>
      <c r="C56" s="18"/>
      <c r="D56" s="81"/>
      <c r="E56" s="18"/>
      <c r="F56" s="18"/>
      <c r="G56" s="18"/>
      <c r="H56" s="96"/>
    </row>
    <row r="57" spans="1:16">
      <c r="B57" s="116" t="s">
        <v>226</v>
      </c>
      <c r="C57" s="18"/>
      <c r="D57" s="81"/>
      <c r="E57" s="18"/>
      <c r="F57" s="18"/>
      <c r="G57" s="18"/>
      <c r="H57" s="96"/>
    </row>
    <row r="58" spans="1:16" ht="12.75" customHeight="1">
      <c r="B58" s="108"/>
      <c r="C58" s="109"/>
      <c r="D58" s="109"/>
      <c r="E58" s="109"/>
      <c r="F58" s="109"/>
      <c r="G58" s="109"/>
      <c r="H58" s="110"/>
    </row>
    <row r="59" spans="1:16" ht="15.75" customHeight="1"/>
    <row r="60" spans="1:16">
      <c r="A60" s="2" t="s">
        <v>123</v>
      </c>
      <c r="B60" s="120" t="s">
        <v>126</v>
      </c>
      <c r="C60" s="93"/>
      <c r="D60" s="93"/>
      <c r="E60" s="93"/>
      <c r="F60" s="93"/>
      <c r="G60" s="93"/>
      <c r="H60" s="94"/>
    </row>
    <row r="61" spans="1:16">
      <c r="B61" s="98"/>
      <c r="C61" s="18"/>
      <c r="D61" s="18"/>
      <c r="E61" s="18"/>
      <c r="F61" s="18"/>
      <c r="G61" s="18"/>
      <c r="H61" s="96"/>
    </row>
    <row r="62" spans="1:16">
      <c r="B62" s="121"/>
      <c r="C62" s="101"/>
      <c r="D62" s="166" t="s">
        <v>227</v>
      </c>
      <c r="E62" s="101"/>
      <c r="F62" s="101"/>
      <c r="G62" s="101"/>
      <c r="H62" s="96"/>
      <c r="I62" s="5"/>
      <c r="J62" s="5"/>
      <c r="K62" s="5"/>
      <c r="L62" s="313"/>
      <c r="M62" s="313"/>
      <c r="N62" s="313"/>
      <c r="O62" s="313"/>
      <c r="P62" s="313"/>
    </row>
    <row r="63" spans="1:16">
      <c r="B63" s="121"/>
      <c r="C63" s="101"/>
      <c r="D63" s="122" t="s">
        <v>125</v>
      </c>
      <c r="E63" s="101"/>
      <c r="F63" s="101"/>
      <c r="G63" s="101"/>
      <c r="H63" s="96"/>
      <c r="I63" s="5"/>
      <c r="J63" s="5"/>
      <c r="K63" s="5"/>
      <c r="L63" s="5"/>
      <c r="N63" s="5"/>
      <c r="P63" s="4"/>
    </row>
    <row r="64" spans="1:16">
      <c r="B64" s="95" t="s">
        <v>873</v>
      </c>
      <c r="C64" s="18"/>
      <c r="D64" s="123">
        <f>Detail!F15</f>
        <v>12221975</v>
      </c>
      <c r="E64" s="18"/>
      <c r="F64" s="18"/>
      <c r="G64" s="53" t="s">
        <v>859</v>
      </c>
      <c r="H64" s="96"/>
      <c r="L64" s="123"/>
      <c r="N64" s="123"/>
      <c r="P64" s="15"/>
    </row>
    <row r="65" spans="2:18" hidden="1">
      <c r="B65" s="98" t="s">
        <v>151</v>
      </c>
      <c r="C65" s="18"/>
      <c r="D65" s="112">
        <v>0</v>
      </c>
      <c r="E65" s="18"/>
      <c r="F65" s="18"/>
      <c r="G65" s="53"/>
      <c r="H65" s="96"/>
      <c r="L65" s="112"/>
      <c r="N65" s="112"/>
      <c r="P65" s="112"/>
    </row>
    <row r="66" spans="2:18">
      <c r="B66" s="164" t="s">
        <v>124</v>
      </c>
      <c r="C66" s="18"/>
      <c r="D66" s="112">
        <f>Detail!F43</f>
        <v>1130278</v>
      </c>
      <c r="E66" s="18"/>
      <c r="F66" s="18"/>
      <c r="G66" s="53"/>
      <c r="H66" s="96"/>
      <c r="L66" s="112"/>
      <c r="N66" s="112"/>
      <c r="P66" s="112"/>
    </row>
    <row r="67" spans="2:18">
      <c r="B67" s="186" t="s">
        <v>144</v>
      </c>
      <c r="C67" s="18"/>
      <c r="D67" s="112">
        <f>-Detail!E32</f>
        <v>0</v>
      </c>
      <c r="E67" s="18"/>
      <c r="F67" s="18"/>
      <c r="G67" s="53"/>
      <c r="H67" s="96"/>
      <c r="L67" s="112"/>
      <c r="N67" s="112"/>
      <c r="P67" s="112"/>
    </row>
    <row r="68" spans="2:18" ht="14.55" customHeight="1" thickBot="1">
      <c r="B68" s="95" t="s">
        <v>874</v>
      </c>
      <c r="C68" s="18"/>
      <c r="D68" s="115">
        <f>SUM(D64:D67)</f>
        <v>13352253</v>
      </c>
      <c r="E68" s="18"/>
      <c r="F68" s="18"/>
      <c r="G68" s="53" t="s">
        <v>860</v>
      </c>
      <c r="H68" s="96"/>
      <c r="L68" s="123"/>
      <c r="N68" s="123"/>
      <c r="P68" s="123"/>
      <c r="R68" s="127"/>
    </row>
    <row r="69" spans="2:18" ht="13.8" thickTop="1">
      <c r="B69" s="98"/>
      <c r="C69" s="18"/>
      <c r="D69" s="123"/>
      <c r="E69" s="18"/>
      <c r="F69" s="18"/>
      <c r="G69" s="18"/>
      <c r="H69" s="96"/>
      <c r="R69" s="127"/>
    </row>
    <row r="70" spans="2:18">
      <c r="B70" s="95" t="s">
        <v>152</v>
      </c>
      <c r="C70" s="18"/>
      <c r="D70" s="124">
        <v>0</v>
      </c>
      <c r="E70" s="18"/>
      <c r="F70" s="18"/>
      <c r="G70" s="18"/>
      <c r="H70" s="96"/>
      <c r="L70" s="123"/>
      <c r="N70" s="123"/>
      <c r="P70" s="123"/>
    </row>
    <row r="71" spans="2:18">
      <c r="B71" s="98"/>
      <c r="C71" s="18"/>
      <c r="D71" s="18"/>
      <c r="E71" s="18"/>
      <c r="F71" s="18"/>
      <c r="G71" s="18"/>
      <c r="H71" s="96"/>
    </row>
    <row r="72" spans="2:18" ht="82.05" customHeight="1">
      <c r="B72" s="311" t="s">
        <v>228</v>
      </c>
      <c r="C72" s="293"/>
      <c r="D72" s="293"/>
      <c r="E72" s="293"/>
      <c r="F72" s="293"/>
      <c r="G72" s="293"/>
      <c r="H72" s="312"/>
      <c r="L72" s="314"/>
      <c r="M72" s="314"/>
      <c r="N72" s="314"/>
      <c r="O72" s="314"/>
      <c r="P72" s="314"/>
    </row>
    <row r="73" spans="2:18" ht="92.1" customHeight="1">
      <c r="B73" s="308" t="s">
        <v>229</v>
      </c>
      <c r="C73" s="309"/>
      <c r="D73" s="309"/>
      <c r="E73" s="309"/>
      <c r="F73" s="309"/>
      <c r="G73" s="309"/>
      <c r="H73" s="310"/>
      <c r="L73" s="315"/>
      <c r="M73" s="315"/>
      <c r="N73" s="315"/>
      <c r="O73" s="315"/>
      <c r="P73" s="315"/>
    </row>
    <row r="74" spans="2:18" ht="12.75" customHeight="1">
      <c r="B74" s="108"/>
      <c r="C74" s="109"/>
      <c r="D74" s="109"/>
      <c r="E74" s="109"/>
      <c r="F74" s="109"/>
      <c r="G74" s="109"/>
      <c r="H74" s="110"/>
    </row>
    <row r="81" spans="7:7">
      <c r="G81" s="15"/>
    </row>
  </sheetData>
  <mergeCells count="12">
    <mergeCell ref="X9:Z9"/>
    <mergeCell ref="B73:H73"/>
    <mergeCell ref="B72:H72"/>
    <mergeCell ref="L62:P62"/>
    <mergeCell ref="L72:P72"/>
    <mergeCell ref="L73:P73"/>
    <mergeCell ref="N16:P16"/>
    <mergeCell ref="L8:N8"/>
    <mergeCell ref="L9:P9"/>
    <mergeCell ref="R9:V9"/>
    <mergeCell ref="L28:Q28"/>
    <mergeCell ref="B28:H28"/>
  </mergeCells>
  <pageMargins left="0.45" right="0.45" top="0.5" bottom="0.5" header="0.3" footer="0.3"/>
  <pageSetup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03"/>
  <sheetViews>
    <sheetView zoomScaleNormal="100" workbookViewId="0">
      <pane xSplit="2" ySplit="3" topLeftCell="C76" activePane="bottomRight" state="frozen"/>
      <selection pane="topRight" activeCell="C1" sqref="C1"/>
      <selection pane="bottomLeft" activeCell="A4" sqref="A4"/>
      <selection pane="bottomRight" activeCell="AD15" sqref="AD15"/>
    </sheetView>
  </sheetViews>
  <sheetFormatPr defaultRowHeight="13.2"/>
  <cols>
    <col min="1" max="1" width="40.44140625" customWidth="1"/>
    <col min="2" max="2" width="11.77734375" bestFit="1" customWidth="1"/>
    <col min="3" max="3" width="11.77734375" customWidth="1"/>
    <col min="4" max="4" width="10.21875" customWidth="1"/>
    <col min="5" max="5" width="13.44140625" customWidth="1"/>
    <col min="6" max="8" width="11.77734375" customWidth="1"/>
    <col min="9" max="9" width="19.21875" customWidth="1"/>
    <col min="10" max="10" width="13.6640625" customWidth="1"/>
    <col min="11" max="11" width="12.88671875" customWidth="1"/>
    <col min="12" max="12" width="13.44140625" customWidth="1"/>
    <col min="13" max="13" width="19.21875" customWidth="1"/>
    <col min="14" max="14" width="12.44140625" customWidth="1"/>
    <col min="15" max="15" width="20.77734375" customWidth="1"/>
    <col min="16" max="16" width="12.44140625" customWidth="1"/>
    <col min="17" max="18" width="14.109375" hidden="1" customWidth="1"/>
    <col min="19" max="20" width="12.21875" hidden="1" customWidth="1"/>
    <col min="21" max="21" width="12.44140625" hidden="1" customWidth="1"/>
    <col min="22" max="22" width="17.44140625" hidden="1" customWidth="1"/>
    <col min="23" max="23" width="14.21875" hidden="1" customWidth="1"/>
    <col min="24" max="24" width="6.77734375" hidden="1" customWidth="1"/>
    <col min="25" max="25" width="8.21875" hidden="1" customWidth="1"/>
    <col min="26" max="26" width="13.44140625" customWidth="1"/>
    <col min="27" max="28" width="8.21875" customWidth="1"/>
    <col min="29" max="29" width="13.44140625" bestFit="1" customWidth="1"/>
    <col min="30" max="31" width="11.77734375" customWidth="1"/>
    <col min="32" max="32" width="11.77734375" bestFit="1" customWidth="1"/>
    <col min="33" max="33" width="20.77734375" customWidth="1"/>
    <col min="34" max="34" width="18.109375" bestFit="1" customWidth="1"/>
    <col min="35" max="35" width="20.44140625" bestFit="1" customWidth="1"/>
    <col min="36" max="36" width="13.44140625" bestFit="1" customWidth="1"/>
    <col min="37" max="37" width="20.77734375" customWidth="1"/>
    <col min="38" max="38" width="9.21875" customWidth="1"/>
    <col min="39" max="42" width="20.77734375" customWidth="1"/>
    <col min="43" max="44" width="21.44140625" customWidth="1"/>
    <col min="45" max="46" width="17.77734375" customWidth="1"/>
    <col min="47" max="47" width="16.5546875" customWidth="1"/>
    <col min="48" max="48" width="16" bestFit="1" customWidth="1"/>
  </cols>
  <sheetData>
    <row r="1" spans="1:48">
      <c r="B1" s="5">
        <v>1</v>
      </c>
      <c r="C1" s="5">
        <v>2</v>
      </c>
      <c r="D1" s="5">
        <v>3</v>
      </c>
      <c r="E1" s="5">
        <v>4</v>
      </c>
      <c r="F1" s="5">
        <v>5</v>
      </c>
      <c r="G1" s="5">
        <v>6</v>
      </c>
      <c r="H1" s="5">
        <v>7</v>
      </c>
      <c r="I1" s="5">
        <v>8</v>
      </c>
      <c r="J1" s="5">
        <v>9</v>
      </c>
      <c r="K1" s="5">
        <v>10</v>
      </c>
      <c r="L1" s="5">
        <v>11</v>
      </c>
      <c r="M1" s="5">
        <v>12</v>
      </c>
      <c r="N1" s="5">
        <v>13</v>
      </c>
      <c r="O1" s="5">
        <v>14</v>
      </c>
      <c r="P1" s="5">
        <v>15</v>
      </c>
      <c r="Q1" s="5">
        <v>16</v>
      </c>
      <c r="R1" s="5">
        <v>17</v>
      </c>
      <c r="S1" s="5">
        <v>18</v>
      </c>
      <c r="T1" s="5">
        <v>19</v>
      </c>
      <c r="U1" s="5">
        <v>20</v>
      </c>
      <c r="V1" s="5">
        <v>21</v>
      </c>
      <c r="W1" s="5">
        <v>22</v>
      </c>
      <c r="X1" s="5">
        <v>23</v>
      </c>
      <c r="Y1" s="5">
        <v>24</v>
      </c>
      <c r="Z1" s="5">
        <v>25</v>
      </c>
      <c r="AA1" s="5">
        <v>26</v>
      </c>
      <c r="AB1" s="5">
        <v>27</v>
      </c>
      <c r="AC1" s="5">
        <v>28</v>
      </c>
      <c r="AD1" s="5">
        <v>29</v>
      </c>
      <c r="AE1" s="5">
        <v>30</v>
      </c>
      <c r="AF1" s="5">
        <v>31</v>
      </c>
      <c r="AG1" s="5">
        <v>32</v>
      </c>
      <c r="AH1" s="5">
        <v>33</v>
      </c>
      <c r="AI1" s="5">
        <v>34</v>
      </c>
      <c r="AJ1" s="5">
        <v>35</v>
      </c>
      <c r="AK1" s="5">
        <v>36</v>
      </c>
      <c r="AL1" s="5">
        <v>37</v>
      </c>
      <c r="AM1" s="5">
        <v>38</v>
      </c>
      <c r="AN1" s="5">
        <v>39</v>
      </c>
      <c r="AO1" s="5">
        <v>40</v>
      </c>
      <c r="AP1" s="5">
        <v>41</v>
      </c>
      <c r="AQ1" s="5">
        <v>42</v>
      </c>
      <c r="AR1" s="5">
        <v>43</v>
      </c>
      <c r="AS1" s="5">
        <v>44</v>
      </c>
      <c r="AT1" s="5">
        <v>45</v>
      </c>
      <c r="AU1" s="5">
        <v>46</v>
      </c>
      <c r="AV1" s="282">
        <v>47</v>
      </c>
    </row>
    <row r="2" spans="1:48">
      <c r="F2" s="318" t="s">
        <v>875</v>
      </c>
      <c r="G2" s="319"/>
      <c r="H2" s="319"/>
      <c r="I2" s="320"/>
      <c r="J2" s="318" t="s">
        <v>876</v>
      </c>
      <c r="K2" s="319"/>
      <c r="L2" s="319"/>
      <c r="M2" s="320"/>
      <c r="N2" s="321" t="s">
        <v>217</v>
      </c>
      <c r="O2" s="322"/>
      <c r="P2" s="322"/>
      <c r="Q2" s="318" t="s">
        <v>121</v>
      </c>
      <c r="R2" s="319"/>
      <c r="S2" s="319"/>
      <c r="T2" s="319"/>
      <c r="U2" s="320"/>
      <c r="AD2" s="318" t="s">
        <v>497</v>
      </c>
      <c r="AE2" s="319"/>
      <c r="AF2" s="319"/>
      <c r="AG2" s="320"/>
      <c r="AH2" s="318" t="s">
        <v>498</v>
      </c>
      <c r="AI2" s="319"/>
      <c r="AJ2" s="319"/>
      <c r="AK2" s="320"/>
      <c r="AM2" s="146" t="s">
        <v>171</v>
      </c>
      <c r="AN2" s="146" t="s">
        <v>172</v>
      </c>
      <c r="AO2" s="146" t="s">
        <v>171</v>
      </c>
      <c r="AP2" s="146" t="s">
        <v>172</v>
      </c>
      <c r="AQ2" s="167" t="s">
        <v>171</v>
      </c>
      <c r="AR2" s="168" t="s">
        <v>172</v>
      </c>
      <c r="AS2" s="169" t="s">
        <v>237</v>
      </c>
      <c r="AT2" s="183" t="s">
        <v>171</v>
      </c>
      <c r="AU2" s="183" t="s">
        <v>172</v>
      </c>
      <c r="AV2" s="283" t="s">
        <v>237</v>
      </c>
    </row>
    <row r="3" spans="1:48" ht="120" customHeight="1">
      <c r="A3" s="13" t="s">
        <v>34</v>
      </c>
      <c r="B3" s="13" t="s">
        <v>33</v>
      </c>
      <c r="C3" s="10" t="s">
        <v>35</v>
      </c>
      <c r="D3" s="10" t="s">
        <v>878</v>
      </c>
      <c r="E3" s="12" t="s">
        <v>877</v>
      </c>
      <c r="F3" s="136" t="s">
        <v>116</v>
      </c>
      <c r="G3" s="136" t="s">
        <v>117</v>
      </c>
      <c r="H3" s="136" t="s">
        <v>130</v>
      </c>
      <c r="I3" s="136" t="s">
        <v>115</v>
      </c>
      <c r="J3" s="136" t="s">
        <v>116</v>
      </c>
      <c r="K3" s="136" t="s">
        <v>117</v>
      </c>
      <c r="L3" s="136" t="s">
        <v>130</v>
      </c>
      <c r="M3" s="136" t="s">
        <v>115</v>
      </c>
      <c r="N3" s="11" t="s">
        <v>240</v>
      </c>
      <c r="O3" s="11" t="s">
        <v>119</v>
      </c>
      <c r="P3" s="11" t="s">
        <v>239</v>
      </c>
      <c r="Q3" s="8">
        <v>2025</v>
      </c>
      <c r="R3" s="8">
        <v>2026</v>
      </c>
      <c r="S3" s="8">
        <v>2027</v>
      </c>
      <c r="T3" s="8">
        <v>2028</v>
      </c>
      <c r="U3" s="8">
        <v>2029</v>
      </c>
      <c r="V3" s="10" t="s">
        <v>238</v>
      </c>
      <c r="W3" s="10" t="s">
        <v>122</v>
      </c>
      <c r="X3" s="10" t="s">
        <v>136</v>
      </c>
      <c r="Y3" s="10" t="s">
        <v>191</v>
      </c>
      <c r="Z3" s="207" t="s">
        <v>481</v>
      </c>
      <c r="AA3" s="10" t="s">
        <v>191</v>
      </c>
      <c r="AB3" s="10" t="s">
        <v>191</v>
      </c>
      <c r="AC3" s="171" t="s">
        <v>496</v>
      </c>
      <c r="AD3" s="145" t="s">
        <v>116</v>
      </c>
      <c r="AE3" s="145" t="s">
        <v>117</v>
      </c>
      <c r="AF3" s="145" t="s">
        <v>130</v>
      </c>
      <c r="AG3" s="145" t="s">
        <v>115</v>
      </c>
      <c r="AH3" s="145" t="s">
        <v>116</v>
      </c>
      <c r="AI3" s="145" t="s">
        <v>117</v>
      </c>
      <c r="AJ3" s="145" t="s">
        <v>130</v>
      </c>
      <c r="AK3" s="145" t="s">
        <v>115</v>
      </c>
      <c r="AL3" s="145" t="s">
        <v>191</v>
      </c>
      <c r="AM3" s="145" t="s">
        <v>115</v>
      </c>
      <c r="AN3" s="145" t="s">
        <v>115</v>
      </c>
      <c r="AO3" s="145" t="s">
        <v>116</v>
      </c>
      <c r="AP3" s="145" t="s">
        <v>116</v>
      </c>
      <c r="AQ3" t="s">
        <v>236</v>
      </c>
      <c r="AR3" t="s">
        <v>236</v>
      </c>
      <c r="AS3" t="s">
        <v>237</v>
      </c>
      <c r="AT3" s="184" t="s">
        <v>117</v>
      </c>
      <c r="AU3" s="145" t="s">
        <v>117</v>
      </c>
      <c r="AV3" s="284" t="s">
        <v>237</v>
      </c>
    </row>
    <row r="4" spans="1:48">
      <c r="A4" t="s">
        <v>37</v>
      </c>
      <c r="B4">
        <v>20100</v>
      </c>
      <c r="C4" s="6">
        <f>VLOOKUP(B4,'ER Contributions'!A:D,4,FALSE)</f>
        <v>15413209</v>
      </c>
      <c r="D4" s="7">
        <f>VLOOKUP(B4,'ER Contributions'!A:D,3,FALSE)</f>
        <v>1.07311E-2</v>
      </c>
      <c r="E4" s="9">
        <f>VLOOKUP(B4,'75 - Summary Exhibit'!A:N,3,FALSE)</f>
        <v>285956342</v>
      </c>
      <c r="F4" s="9">
        <f>VLOOKUP(B4,'75 - Summary Exhibit'!A:N,4,FALSE)</f>
        <v>3148939</v>
      </c>
      <c r="G4" s="9">
        <f>VLOOKUP(B4,'75 - Summary Exhibit'!A:N,5,FALSE)</f>
        <v>2284366</v>
      </c>
      <c r="H4" s="9">
        <f>VLOOKUP(B4,'75 - Summary Exhibit'!A:N,6,FALSE)</f>
        <v>30977777</v>
      </c>
      <c r="I4" s="6">
        <f>VLOOKUP(B4,'75 - Summary Exhibit'!A:N,7,FALSE)</f>
        <v>14843006</v>
      </c>
      <c r="J4" s="6">
        <f>VLOOKUP(B4,'75 - Summary Exhibit'!A:N,8,FALSE)</f>
        <v>280180</v>
      </c>
      <c r="K4" s="6">
        <f>VLOOKUP(B4,'75 - Summary Exhibit'!A:N,9,FALSE)</f>
        <v>0</v>
      </c>
      <c r="L4" s="6">
        <f>VLOOKUP(B4,'75 - Summary Exhibit'!A:N,10,FALSE)</f>
        <v>76290844</v>
      </c>
      <c r="M4" s="6">
        <f>VLOOKUP(B4,'75 - Summary Exhibit'!A:N,11,FALSE)</f>
        <v>1992634</v>
      </c>
      <c r="N4" s="6">
        <f>VLOOKUP(B4,'75 - Summary Exhibit'!A:N,12,FALSE)</f>
        <v>-5244661</v>
      </c>
      <c r="O4" s="6">
        <f>VLOOKUP(B4,'75 - Summary Exhibit'!A:N,13,FALSE)</f>
        <v>7944008</v>
      </c>
      <c r="P4" s="6">
        <f t="shared" ref="P4:P34" si="0">N4+O4</f>
        <v>2699347</v>
      </c>
      <c r="Q4" s="6">
        <f>VLOOKUP(B4,'75- Deferred Amortization'!A:G,3,FALSE)</f>
        <v>-11457309</v>
      </c>
      <c r="R4" s="6">
        <f>VLOOKUP(B4,'75- Deferred Amortization'!A:G,4,FALSE)</f>
        <v>-16869340</v>
      </c>
      <c r="S4" s="6">
        <f>VLOOKUP(B4,'75- Deferred Amortization'!A:G,5,FALSE)</f>
        <v>-6938850</v>
      </c>
      <c r="T4" s="6">
        <f>VLOOKUP(B4,'75- Deferred Amortization'!A:G,6,FALSE)</f>
        <v>7955929</v>
      </c>
      <c r="U4" s="6">
        <f>VLOOKUP(B4,'75- Deferred Amortization'!A:G,7,FALSE)</f>
        <v>0</v>
      </c>
      <c r="V4" s="6">
        <f t="shared" ref="V4:V35" si="1">ROUND(((F4-AD4)+(G4-AE4)+(H4-AF4)+(I4-AG4)+(AI4-K4)+P4-(E4-AC4)-(J4-AH4)-(L4-AJ4)-(M4-AK4)-C4),0)-Z4</f>
        <v>-1</v>
      </c>
      <c r="W4" s="6">
        <f t="shared" ref="W4:W35" si="2">ROUND((F4+G4+H4+I4-J4-K4-L4-M4-Q4-R4-S4-T4-U4),0)</f>
        <v>0</v>
      </c>
      <c r="X4">
        <v>1</v>
      </c>
      <c r="Z4" s="208">
        <f>VLOOKUP(B4,'Noncap Contr Alloc'!A:C,3,FALSE)</f>
        <v>375661</v>
      </c>
      <c r="AC4" s="9">
        <v>243840361</v>
      </c>
      <c r="AD4" s="9">
        <v>2367367</v>
      </c>
      <c r="AE4" s="9">
        <v>2111552</v>
      </c>
      <c r="AF4" s="9">
        <v>19522589</v>
      </c>
      <c r="AG4" s="6">
        <v>7794649</v>
      </c>
      <c r="AH4" s="6">
        <v>674731</v>
      </c>
      <c r="AI4" s="6">
        <v>0</v>
      </c>
      <c r="AJ4" s="6">
        <v>110977490</v>
      </c>
      <c r="AK4" s="6">
        <v>2659009</v>
      </c>
      <c r="AM4" s="6">
        <f t="shared" ref="AM4:AM35" si="3">I4-AG4</f>
        <v>7048357</v>
      </c>
      <c r="AN4" s="6">
        <f t="shared" ref="AN4:AN35" si="4">M4-AK4</f>
        <v>-666375</v>
      </c>
      <c r="AO4" s="9">
        <f t="shared" ref="AO4:AO35" si="5">F4-AD4</f>
        <v>781572</v>
      </c>
      <c r="AP4" s="6">
        <f t="shared" ref="AP4:AP35" si="6">J4-AH4</f>
        <v>-394551</v>
      </c>
      <c r="AQ4" s="9">
        <f t="shared" ref="AQ4:AQ35" si="7">H4-AF4</f>
        <v>11455188</v>
      </c>
      <c r="AR4" s="6">
        <f t="shared" ref="AR4:AR35" si="8">L4-AJ4</f>
        <v>-34686646</v>
      </c>
      <c r="AS4" s="9">
        <f t="shared" ref="AS4:AS35" si="9">E4-AC4</f>
        <v>42115981</v>
      </c>
      <c r="AT4" s="9">
        <f t="shared" ref="AT4:AT35" si="10">G4-AE4</f>
        <v>172814</v>
      </c>
      <c r="AU4" s="6">
        <f t="shared" ref="AU4:AU35" si="11">K4-AI4</f>
        <v>0</v>
      </c>
      <c r="AV4" s="285">
        <f>AC4+AS4</f>
        <v>285956342</v>
      </c>
    </row>
    <row r="5" spans="1:48">
      <c r="A5" t="s">
        <v>39</v>
      </c>
      <c r="B5">
        <v>20300</v>
      </c>
      <c r="C5" s="6">
        <f>VLOOKUP(B5,'ER Contributions'!A:D,4,FALSE)</f>
        <v>30867397</v>
      </c>
      <c r="D5" s="7">
        <f>VLOOKUP(B5,'ER Contributions'!A:D,3,FALSE)</f>
        <v>2.2347200000000001E-2</v>
      </c>
      <c r="E5" s="9">
        <f>VLOOKUP(B5,'75 - Summary Exhibit'!A:N,3,FALSE)</f>
        <v>595494706</v>
      </c>
      <c r="F5" s="9">
        <f>VLOOKUP(B5,'75 - Summary Exhibit'!A:N,4,FALSE)</f>
        <v>6557562</v>
      </c>
      <c r="G5" s="9">
        <f>VLOOKUP(B5,'75 - Summary Exhibit'!A:N,5,FALSE)</f>
        <v>4757118</v>
      </c>
      <c r="H5" s="9">
        <f>VLOOKUP(B5,'75 - Summary Exhibit'!A:N,6,FALSE)</f>
        <v>64510204</v>
      </c>
      <c r="I5" s="6">
        <f>VLOOKUP(B5,'75 - Summary Exhibit'!A:N,7,FALSE)</f>
        <v>917100</v>
      </c>
      <c r="J5" s="6">
        <f>VLOOKUP(B5,'75 - Summary Exhibit'!A:N,8,FALSE)</f>
        <v>583465</v>
      </c>
      <c r="K5" s="6">
        <f>VLOOKUP(B5,'75 - Summary Exhibit'!A:N,9,FALSE)</f>
        <v>0</v>
      </c>
      <c r="L5" s="6">
        <f>VLOOKUP(B5,'75 - Summary Exhibit'!A:N,10,FALSE)</f>
        <v>158873182</v>
      </c>
      <c r="M5" s="6">
        <f>VLOOKUP(B5,'75 - Summary Exhibit'!A:N,11,FALSE)</f>
        <v>42206341</v>
      </c>
      <c r="N5" s="6">
        <f>VLOOKUP(B5,'75 - Summary Exhibit'!A:N,12,FALSE)</f>
        <v>-10921832</v>
      </c>
      <c r="O5" s="6">
        <f>VLOOKUP(B5,'75 - Summary Exhibit'!A:N,13,FALSE)</f>
        <v>-2222490</v>
      </c>
      <c r="P5" s="6">
        <f t="shared" si="0"/>
        <v>-13144322</v>
      </c>
      <c r="Q5" s="6">
        <f>VLOOKUP(B5,'75- Deferred Amortization'!A:G,3,FALSE)</f>
        <v>-46788490</v>
      </c>
      <c r="R5" s="6">
        <f>VLOOKUP(B5,'75- Deferred Amortization'!A:G,4,FALSE)</f>
        <v>-54152945</v>
      </c>
      <c r="S5" s="6">
        <f>VLOOKUP(B5,'75- Deferred Amortization'!A:G,5,FALSE)</f>
        <v>-32830643</v>
      </c>
      <c r="T5" s="6">
        <f>VLOOKUP(B5,'75- Deferred Amortization'!A:G,6,FALSE)</f>
        <v>8851074</v>
      </c>
      <c r="U5" s="6">
        <f>VLOOKUP(B5,'75- Deferred Amortization'!A:G,7,FALSE)</f>
        <v>0</v>
      </c>
      <c r="V5" s="6">
        <f t="shared" si="1"/>
        <v>-2</v>
      </c>
      <c r="W5" s="6">
        <f t="shared" si="2"/>
        <v>0</v>
      </c>
      <c r="X5">
        <v>1</v>
      </c>
      <c r="Z5" s="208">
        <f>VLOOKUP(B5,'Noncap Contr Alloc'!A:C,3,FALSE)</f>
        <v>782301</v>
      </c>
      <c r="AC5" s="9">
        <v>535266896</v>
      </c>
      <c r="AD5" s="9">
        <v>5196734</v>
      </c>
      <c r="AE5" s="9">
        <v>4635180</v>
      </c>
      <c r="AF5" s="9">
        <v>42855070</v>
      </c>
      <c r="AG5" s="6">
        <v>12583651</v>
      </c>
      <c r="AH5" s="6">
        <v>1481139</v>
      </c>
      <c r="AI5" s="6">
        <v>0</v>
      </c>
      <c r="AJ5" s="6">
        <v>243612568</v>
      </c>
      <c r="AK5" s="6">
        <v>50119760</v>
      </c>
      <c r="AM5" s="6">
        <f t="shared" si="3"/>
        <v>-11666551</v>
      </c>
      <c r="AN5" s="6">
        <f t="shared" si="4"/>
        <v>-7913419</v>
      </c>
      <c r="AO5" s="9">
        <f t="shared" si="5"/>
        <v>1360828</v>
      </c>
      <c r="AP5" s="6">
        <f t="shared" si="6"/>
        <v>-897674</v>
      </c>
      <c r="AQ5" s="9">
        <f t="shared" si="7"/>
        <v>21655134</v>
      </c>
      <c r="AR5" s="6">
        <f t="shared" si="8"/>
        <v>-84739386</v>
      </c>
      <c r="AS5" s="9">
        <f t="shared" si="9"/>
        <v>60227810</v>
      </c>
      <c r="AT5" s="9">
        <f t="shared" si="10"/>
        <v>121938</v>
      </c>
      <c r="AU5" s="6">
        <f t="shared" si="11"/>
        <v>0</v>
      </c>
      <c r="AV5" s="285">
        <f t="shared" ref="AV5:AV68" si="12">AC5+AS5</f>
        <v>595494706</v>
      </c>
    </row>
    <row r="6" spans="1:48">
      <c r="A6" t="s">
        <v>40</v>
      </c>
      <c r="B6">
        <v>20400</v>
      </c>
      <c r="C6" s="6">
        <f>VLOOKUP(B6,'ER Contributions'!A:D,4,FALSE)</f>
        <v>1808070</v>
      </c>
      <c r="D6" s="7">
        <f>VLOOKUP(B6,'ER Contributions'!A:D,3,FALSE)</f>
        <v>1.2289E-3</v>
      </c>
      <c r="E6" s="9">
        <f>VLOOKUP(B6,'75 - Summary Exhibit'!A:N,3,FALSE)</f>
        <v>32746063</v>
      </c>
      <c r="F6" s="9">
        <f>VLOOKUP(B6,'75 - Summary Exhibit'!A:N,4,FALSE)</f>
        <v>360598</v>
      </c>
      <c r="G6" s="9">
        <f>VLOOKUP(B6,'75 - Summary Exhibit'!A:N,5,FALSE)</f>
        <v>261592</v>
      </c>
      <c r="H6" s="9">
        <f>VLOOKUP(B6,'75 - Summary Exhibit'!A:N,6,FALSE)</f>
        <v>3547395</v>
      </c>
      <c r="I6" s="6">
        <f>VLOOKUP(B6,'75 - Summary Exhibit'!A:N,7,FALSE)</f>
        <v>2665083</v>
      </c>
      <c r="J6" s="6">
        <f>VLOOKUP(B6,'75 - Summary Exhibit'!A:N,8,FALSE)</f>
        <v>32085</v>
      </c>
      <c r="K6" s="6">
        <f>VLOOKUP(B6,'75 - Summary Exhibit'!A:N,9,FALSE)</f>
        <v>0</v>
      </c>
      <c r="L6" s="6">
        <f>VLOOKUP(B6,'75 - Summary Exhibit'!A:N,10,FALSE)</f>
        <v>8736385</v>
      </c>
      <c r="M6" s="6">
        <f>VLOOKUP(B6,'75 - Summary Exhibit'!A:N,11,FALSE)</f>
        <v>301362</v>
      </c>
      <c r="N6" s="6">
        <f>VLOOKUP(B6,'75 - Summary Exhibit'!A:N,12,FALSE)</f>
        <v>-600588</v>
      </c>
      <c r="O6" s="6">
        <f>VLOOKUP(B6,'75 - Summary Exhibit'!A:N,13,FALSE)</f>
        <v>968509</v>
      </c>
      <c r="P6" s="6">
        <f t="shared" si="0"/>
        <v>367921</v>
      </c>
      <c r="Q6" s="6">
        <f>VLOOKUP(B6,'75- Deferred Amortization'!A:G,3,FALSE)</f>
        <v>-1114923</v>
      </c>
      <c r="R6" s="6">
        <f>VLOOKUP(B6,'75- Deferred Amortization'!A:G,4,FALSE)</f>
        <v>-1483792</v>
      </c>
      <c r="S6" s="6">
        <f>VLOOKUP(B6,'75- Deferred Amortization'!A:G,5,FALSE)</f>
        <v>-544061</v>
      </c>
      <c r="T6" s="6">
        <f>VLOOKUP(B6,'75- Deferred Amortization'!A:G,6,FALSE)</f>
        <v>907614</v>
      </c>
      <c r="U6" s="6">
        <f>VLOOKUP(B6,'75- Deferred Amortization'!A:G,7,FALSE)</f>
        <v>0</v>
      </c>
      <c r="V6" s="6">
        <f t="shared" si="1"/>
        <v>-1</v>
      </c>
      <c r="W6" s="6">
        <f t="shared" si="2"/>
        <v>-2</v>
      </c>
      <c r="X6">
        <v>1</v>
      </c>
      <c r="Z6" s="208">
        <f>VLOOKUP(B6,'Noncap Contr Alloc'!A:C,3,FALSE)</f>
        <v>43018</v>
      </c>
      <c r="AC6" s="9">
        <v>27967544</v>
      </c>
      <c r="AD6" s="9">
        <v>271528</v>
      </c>
      <c r="AE6" s="9">
        <v>242187</v>
      </c>
      <c r="AF6" s="9">
        <v>2239165</v>
      </c>
      <c r="AG6" s="6">
        <v>1958164</v>
      </c>
      <c r="AH6" s="6">
        <v>77389</v>
      </c>
      <c r="AI6" s="6">
        <v>0</v>
      </c>
      <c r="AJ6" s="6">
        <v>12728688</v>
      </c>
      <c r="AK6" s="6">
        <v>401816</v>
      </c>
      <c r="AM6" s="6">
        <f t="shared" si="3"/>
        <v>706919</v>
      </c>
      <c r="AN6" s="6">
        <f t="shared" si="4"/>
        <v>-100454</v>
      </c>
      <c r="AO6" s="9">
        <f t="shared" si="5"/>
        <v>89070</v>
      </c>
      <c r="AP6" s="6">
        <f t="shared" si="6"/>
        <v>-45304</v>
      </c>
      <c r="AQ6" s="9">
        <f t="shared" si="7"/>
        <v>1308230</v>
      </c>
      <c r="AR6" s="6">
        <f t="shared" si="8"/>
        <v>-3992303</v>
      </c>
      <c r="AS6" s="9">
        <f t="shared" si="9"/>
        <v>4778519</v>
      </c>
      <c r="AT6" s="9">
        <f t="shared" si="10"/>
        <v>19405</v>
      </c>
      <c r="AU6" s="6">
        <f t="shared" si="11"/>
        <v>0</v>
      </c>
      <c r="AV6" s="285">
        <f t="shared" si="12"/>
        <v>32746063</v>
      </c>
    </row>
    <row r="7" spans="1:48">
      <c r="A7" t="s">
        <v>41</v>
      </c>
      <c r="B7">
        <v>20600</v>
      </c>
      <c r="C7" s="6">
        <f>VLOOKUP(B7,'ER Contributions'!A:D,4,FALSE)</f>
        <v>4065158</v>
      </c>
      <c r="D7" s="7">
        <f>VLOOKUP(B7,'ER Contributions'!A:D,3,FALSE)</f>
        <v>2.5574999999999999E-3</v>
      </c>
      <c r="E7" s="9">
        <f>VLOOKUP(B7,'75 - Summary Exhibit'!A:N,3,FALSE)</f>
        <v>68151448</v>
      </c>
      <c r="F7" s="9">
        <f>VLOOKUP(B7,'75 - Summary Exhibit'!A:N,4,FALSE)</f>
        <v>750481</v>
      </c>
      <c r="G7" s="9">
        <f>VLOOKUP(B7,'75 - Summary Exhibit'!A:N,5,FALSE)</f>
        <v>544429</v>
      </c>
      <c r="H7" s="9">
        <f>VLOOKUP(B7,'75 - Summary Exhibit'!A:N,6,FALSE)</f>
        <v>7382876</v>
      </c>
      <c r="I7" s="6">
        <f>VLOOKUP(B7,'75 - Summary Exhibit'!A:N,7,FALSE)</f>
        <v>1723266</v>
      </c>
      <c r="J7" s="6">
        <f>VLOOKUP(B7,'75 - Summary Exhibit'!A:N,8,FALSE)</f>
        <v>66775</v>
      </c>
      <c r="K7" s="6">
        <f>VLOOKUP(B7,'75 - Summary Exhibit'!A:N,9,FALSE)</f>
        <v>0</v>
      </c>
      <c r="L7" s="6">
        <f>VLOOKUP(B7,'75 - Summary Exhibit'!A:N,10,FALSE)</f>
        <v>18182256</v>
      </c>
      <c r="M7" s="6">
        <f>VLOOKUP(B7,'75 - Summary Exhibit'!A:N,11,FALSE)</f>
        <v>6043595</v>
      </c>
      <c r="N7" s="6">
        <f>VLOOKUP(B7,'75 - Summary Exhibit'!A:N,12,FALSE)</f>
        <v>-1249951</v>
      </c>
      <c r="O7" s="6">
        <f>VLOOKUP(B7,'75 - Summary Exhibit'!A:N,13,FALSE)</f>
        <v>271918</v>
      </c>
      <c r="P7" s="6">
        <f t="shared" si="0"/>
        <v>-978033</v>
      </c>
      <c r="Q7" s="6">
        <f>VLOOKUP(B7,'75- Deferred Amortization'!A:G,3,FALSE)</f>
        <v>-5540877</v>
      </c>
      <c r="R7" s="6">
        <f>VLOOKUP(B7,'75- Deferred Amortization'!A:G,4,FALSE)</f>
        <v>-6802767</v>
      </c>
      <c r="S7" s="6">
        <f>VLOOKUP(B7,'75- Deferred Amortization'!A:G,5,FALSE)</f>
        <v>-2997478</v>
      </c>
      <c r="T7" s="6">
        <f>VLOOKUP(B7,'75- Deferred Amortization'!A:G,6,FALSE)</f>
        <v>1449549</v>
      </c>
      <c r="U7" s="6">
        <f>VLOOKUP(B7,'75- Deferred Amortization'!A:G,7,FALSE)</f>
        <v>0</v>
      </c>
      <c r="V7" s="6">
        <f t="shared" si="1"/>
        <v>-1</v>
      </c>
      <c r="W7" s="6">
        <f t="shared" si="2"/>
        <v>-1</v>
      </c>
      <c r="X7">
        <v>1</v>
      </c>
      <c r="Z7" s="208">
        <f>VLOOKUP(B7,'Noncap Contr Alloc'!A:C,3,FALSE)</f>
        <v>89531</v>
      </c>
      <c r="AC7" s="9">
        <v>60044660</v>
      </c>
      <c r="AD7" s="9">
        <v>582954</v>
      </c>
      <c r="AE7" s="9">
        <v>519961</v>
      </c>
      <c r="AF7" s="9">
        <v>4807355</v>
      </c>
      <c r="AG7" s="6">
        <v>2990703</v>
      </c>
      <c r="AH7" s="6">
        <v>166150</v>
      </c>
      <c r="AI7" s="6">
        <v>0</v>
      </c>
      <c r="AJ7" s="6">
        <v>27327739</v>
      </c>
      <c r="AK7" s="6">
        <v>8538167</v>
      </c>
      <c r="AM7" s="6">
        <f t="shared" si="3"/>
        <v>-1267437</v>
      </c>
      <c r="AN7" s="6">
        <f t="shared" si="4"/>
        <v>-2494572</v>
      </c>
      <c r="AO7" s="9">
        <f t="shared" si="5"/>
        <v>167527</v>
      </c>
      <c r="AP7" s="6">
        <f t="shared" si="6"/>
        <v>-99375</v>
      </c>
      <c r="AQ7" s="9">
        <f t="shared" si="7"/>
        <v>2575521</v>
      </c>
      <c r="AR7" s="6">
        <f t="shared" si="8"/>
        <v>-9145483</v>
      </c>
      <c r="AS7" s="9">
        <f t="shared" si="9"/>
        <v>8106788</v>
      </c>
      <c r="AT7" s="9">
        <f t="shared" si="10"/>
        <v>24468</v>
      </c>
      <c r="AU7" s="6">
        <f t="shared" si="11"/>
        <v>0</v>
      </c>
      <c r="AV7" s="285">
        <f t="shared" si="12"/>
        <v>68151448</v>
      </c>
    </row>
    <row r="8" spans="1:48">
      <c r="A8" t="s">
        <v>43</v>
      </c>
      <c r="B8">
        <v>20800</v>
      </c>
      <c r="C8" s="6">
        <f>VLOOKUP(B8,'ER Contributions'!A:D,4,FALSE)</f>
        <v>6056123</v>
      </c>
      <c r="D8" s="7">
        <f>VLOOKUP(B8,'ER Contributions'!A:D,3,FALSE)</f>
        <v>3.9094999999999998E-3</v>
      </c>
      <c r="E8" s="9">
        <f>VLOOKUP(B8,'75 - Summary Exhibit'!A:N,3,FALSE)</f>
        <v>104177066</v>
      </c>
      <c r="F8" s="9">
        <f>VLOOKUP(B8,'75 - Summary Exhibit'!A:N,4,FALSE)</f>
        <v>1147193</v>
      </c>
      <c r="G8" s="9">
        <f>VLOOKUP(B8,'75 - Summary Exhibit'!A:N,5,FALSE)</f>
        <v>832220</v>
      </c>
      <c r="H8" s="9">
        <f>VLOOKUP(B8,'75 - Summary Exhibit'!A:N,6,FALSE)</f>
        <v>11285547</v>
      </c>
      <c r="I8" s="6">
        <f>VLOOKUP(B8,'75 - Summary Exhibit'!A:N,7,FALSE)</f>
        <v>0</v>
      </c>
      <c r="J8" s="6">
        <f>VLOOKUP(B8,'75 - Summary Exhibit'!A:N,8,FALSE)</f>
        <v>102073</v>
      </c>
      <c r="K8" s="6">
        <f>VLOOKUP(B8,'75 - Summary Exhibit'!A:N,9,FALSE)</f>
        <v>0</v>
      </c>
      <c r="L8" s="6">
        <f>VLOOKUP(B8,'75 - Summary Exhibit'!A:N,10,FALSE)</f>
        <v>27793600</v>
      </c>
      <c r="M8" s="6">
        <f>VLOOKUP(B8,'75 - Summary Exhibit'!A:N,11,FALSE)</f>
        <v>11058832</v>
      </c>
      <c r="N8" s="6">
        <f>VLOOKUP(B8,'75 - Summary Exhibit'!A:N,12,FALSE)</f>
        <v>-1910689</v>
      </c>
      <c r="O8" s="6">
        <f>VLOOKUP(B8,'75 - Summary Exhibit'!A:N,13,FALSE)</f>
        <v>-2501338</v>
      </c>
      <c r="P8" s="6">
        <f t="shared" si="0"/>
        <v>-4412027</v>
      </c>
      <c r="Q8" s="6">
        <f>VLOOKUP(B8,'75- Deferred Amortization'!A:G,3,FALSE)</f>
        <v>-9309071</v>
      </c>
      <c r="R8" s="6">
        <f>VLOOKUP(B8,'75- Deferred Amortization'!A:G,4,FALSE)</f>
        <v>-10238603</v>
      </c>
      <c r="S8" s="6">
        <f>VLOOKUP(B8,'75- Deferred Amortization'!A:G,5,FALSE)</f>
        <v>-5932600</v>
      </c>
      <c r="T8" s="6">
        <f>VLOOKUP(B8,'75- Deferred Amortization'!A:G,6,FALSE)</f>
        <v>-209270</v>
      </c>
      <c r="U8" s="6">
        <f>VLOOKUP(B8,'75- Deferred Amortization'!A:G,7,FALSE)</f>
        <v>0</v>
      </c>
      <c r="V8" s="6">
        <f t="shared" si="1"/>
        <v>-2</v>
      </c>
      <c r="W8" s="6">
        <f t="shared" si="2"/>
        <v>-1</v>
      </c>
      <c r="X8">
        <v>1</v>
      </c>
      <c r="Z8" s="208">
        <f>VLOOKUP(B8,'Noncap Contr Alloc'!A:C,3,FALSE)</f>
        <v>136857</v>
      </c>
      <c r="AC8" s="9">
        <v>100588007</v>
      </c>
      <c r="AD8" s="9">
        <v>976577</v>
      </c>
      <c r="AE8" s="9">
        <v>871049</v>
      </c>
      <c r="AF8" s="9">
        <v>8053377</v>
      </c>
      <c r="AG8" s="6">
        <v>891797</v>
      </c>
      <c r="AH8" s="6">
        <v>278337</v>
      </c>
      <c r="AI8" s="6">
        <v>0</v>
      </c>
      <c r="AJ8" s="6">
        <v>45779971</v>
      </c>
      <c r="AK8" s="6">
        <v>4618101</v>
      </c>
      <c r="AM8" s="6">
        <f t="shared" si="3"/>
        <v>-891797</v>
      </c>
      <c r="AN8" s="6">
        <f t="shared" si="4"/>
        <v>6440731</v>
      </c>
      <c r="AO8" s="9">
        <f t="shared" si="5"/>
        <v>170616</v>
      </c>
      <c r="AP8" s="6">
        <f t="shared" si="6"/>
        <v>-176264</v>
      </c>
      <c r="AQ8" s="9">
        <f t="shared" si="7"/>
        <v>3232170</v>
      </c>
      <c r="AR8" s="6">
        <f t="shared" si="8"/>
        <v>-17986371</v>
      </c>
      <c r="AS8" s="9">
        <f t="shared" si="9"/>
        <v>3589059</v>
      </c>
      <c r="AT8" s="9">
        <f t="shared" si="10"/>
        <v>-38829</v>
      </c>
      <c r="AU8" s="6">
        <f t="shared" si="11"/>
        <v>0</v>
      </c>
      <c r="AV8" s="285">
        <f t="shared" si="12"/>
        <v>104177066</v>
      </c>
    </row>
    <row r="9" spans="1:48">
      <c r="A9" t="s">
        <v>36</v>
      </c>
      <c r="B9">
        <v>10950</v>
      </c>
      <c r="C9" s="6">
        <f>VLOOKUP(B9,'ER Contributions'!A:D,4,FALSE)</f>
        <v>1399069</v>
      </c>
      <c r="D9" s="7">
        <f>VLOOKUP(B9,'ER Contributions'!A:D,3,FALSE)</f>
        <v>1.0020000000000001E-3</v>
      </c>
      <c r="E9" s="9">
        <f>VLOOKUP(B9,'75 - Summary Exhibit'!A:N,3,FALSE)</f>
        <v>26699453</v>
      </c>
      <c r="F9" s="9">
        <f>VLOOKUP(B9,'75 - Summary Exhibit'!A:N,4,FALSE)</f>
        <v>294013</v>
      </c>
      <c r="G9" s="9">
        <f>VLOOKUP(B9,'75 - Summary Exhibit'!A:N,5,FALSE)</f>
        <v>213289</v>
      </c>
      <c r="H9" s="9">
        <f>VLOOKUP(B9,'75 - Summary Exhibit'!A:N,6,FALSE)</f>
        <v>2892363</v>
      </c>
      <c r="I9" s="6">
        <f>VLOOKUP(B9,'75 - Summary Exhibit'!A:N,7,FALSE)</f>
        <v>5720751</v>
      </c>
      <c r="J9" s="6">
        <f>VLOOKUP(B9,'75 - Summary Exhibit'!A:N,8,FALSE)</f>
        <v>26160</v>
      </c>
      <c r="K9" s="6">
        <f>VLOOKUP(B9,'75 - Summary Exhibit'!A:N,9,FALSE)</f>
        <v>0</v>
      </c>
      <c r="L9" s="6">
        <f>VLOOKUP(B9,'75 - Summary Exhibit'!A:N,10,FALSE)</f>
        <v>7123199</v>
      </c>
      <c r="M9" s="6">
        <f>VLOOKUP(B9,'75 - Summary Exhibit'!A:N,11,FALSE)</f>
        <v>0</v>
      </c>
      <c r="N9" s="6">
        <f>VLOOKUP(B9,'75 - Summary Exhibit'!A:N,12,FALSE)</f>
        <v>-489689</v>
      </c>
      <c r="O9" s="6">
        <f>VLOOKUP(B9,'75 - Summary Exhibit'!A:N,13,FALSE)</f>
        <v>1896587</v>
      </c>
      <c r="P9" s="6">
        <f t="shared" si="0"/>
        <v>1406898</v>
      </c>
      <c r="Q9" s="6">
        <f>VLOOKUP(B9,'75- Deferred Amortization'!A:G,3,FALSE)</f>
        <v>380338</v>
      </c>
      <c r="R9" s="6">
        <f>VLOOKUP(B9,'75- Deferred Amortization'!A:G,4,FALSE)</f>
        <v>-345804</v>
      </c>
      <c r="S9" s="6">
        <f>VLOOKUP(B9,'75- Deferred Amortization'!A:G,5,FALSE)</f>
        <v>532598</v>
      </c>
      <c r="T9" s="6">
        <f>VLOOKUP(B9,'75- Deferred Amortization'!A:G,6,FALSE)</f>
        <v>1403927</v>
      </c>
      <c r="U9" s="6">
        <f>VLOOKUP(B9,'75- Deferred Amortization'!A:G,7,FALSE)</f>
        <v>0</v>
      </c>
      <c r="V9" s="6">
        <f t="shared" si="1"/>
        <v>-2</v>
      </c>
      <c r="W9" s="6">
        <f t="shared" si="2"/>
        <v>-2</v>
      </c>
      <c r="X9">
        <v>1</v>
      </c>
      <c r="Z9" s="208">
        <f>VLOOKUP(B9,'Noncap Contr Alloc'!A:C,3,FALSE)</f>
        <v>35075</v>
      </c>
      <c r="AC9" s="9">
        <v>20306225</v>
      </c>
      <c r="AD9" s="9">
        <v>197147</v>
      </c>
      <c r="AE9" s="9">
        <v>175843</v>
      </c>
      <c r="AF9" s="9">
        <v>1625777</v>
      </c>
      <c r="AG9" s="6">
        <v>2849848</v>
      </c>
      <c r="AH9" s="6">
        <v>56189</v>
      </c>
      <c r="AI9" s="6">
        <v>0</v>
      </c>
      <c r="AJ9" s="6">
        <v>9241841</v>
      </c>
      <c r="AK9" s="6">
        <v>0</v>
      </c>
      <c r="AM9" s="6">
        <f t="shared" si="3"/>
        <v>2870903</v>
      </c>
      <c r="AN9" s="6">
        <f t="shared" si="4"/>
        <v>0</v>
      </c>
      <c r="AO9" s="9">
        <f t="shared" si="5"/>
        <v>96866</v>
      </c>
      <c r="AP9" s="6">
        <f t="shared" si="6"/>
        <v>-30029</v>
      </c>
      <c r="AQ9" s="9">
        <f t="shared" si="7"/>
        <v>1266586</v>
      </c>
      <c r="AR9" s="6">
        <f t="shared" si="8"/>
        <v>-2118642</v>
      </c>
      <c r="AS9" s="9">
        <f t="shared" si="9"/>
        <v>6393228</v>
      </c>
      <c r="AT9" s="9">
        <f t="shared" si="10"/>
        <v>37446</v>
      </c>
      <c r="AU9" s="6">
        <f t="shared" si="11"/>
        <v>0</v>
      </c>
      <c r="AV9" s="285">
        <f t="shared" si="12"/>
        <v>26699453</v>
      </c>
    </row>
    <row r="10" spans="1:48">
      <c r="A10" t="s">
        <v>38</v>
      </c>
      <c r="B10">
        <v>20200</v>
      </c>
      <c r="C10" s="6">
        <f>VLOOKUP(B10,'ER Contributions'!A:D,4,FALSE)</f>
        <v>2228138</v>
      </c>
      <c r="D10" s="7">
        <f>VLOOKUP(B10,'ER Contributions'!A:D,3,FALSE)</f>
        <v>1.4972E-3</v>
      </c>
      <c r="E10" s="9">
        <f>VLOOKUP(B10,'75 - Summary Exhibit'!A:N,3,FALSE)</f>
        <v>39897299</v>
      </c>
      <c r="F10" s="9">
        <f>VLOOKUP(B10,'75 - Summary Exhibit'!A:N,4,FALSE)</f>
        <v>439347</v>
      </c>
      <c r="G10" s="9">
        <f>VLOOKUP(B10,'75 - Summary Exhibit'!A:N,5,FALSE)</f>
        <v>318720</v>
      </c>
      <c r="H10" s="9">
        <f>VLOOKUP(B10,'75 - Summary Exhibit'!A:N,6,FALSE)</f>
        <v>4322092</v>
      </c>
      <c r="I10" s="6">
        <f>VLOOKUP(B10,'75 - Summary Exhibit'!A:N,7,FALSE)</f>
        <v>1220491</v>
      </c>
      <c r="J10" s="6">
        <f>VLOOKUP(B10,'75 - Summary Exhibit'!A:N,8,FALSE)</f>
        <v>39091</v>
      </c>
      <c r="K10" s="6">
        <f>VLOOKUP(B10,'75 - Summary Exhibit'!A:N,9,FALSE)</f>
        <v>0</v>
      </c>
      <c r="L10" s="6">
        <f>VLOOKUP(B10,'75 - Summary Exhibit'!A:N,10,FALSE)</f>
        <v>10644277</v>
      </c>
      <c r="M10" s="6">
        <f>VLOOKUP(B10,'75 - Summary Exhibit'!A:N,11,FALSE)</f>
        <v>1221085</v>
      </c>
      <c r="N10" s="6">
        <f>VLOOKUP(B10,'75 - Summary Exhibit'!A:N,12,FALSE)</f>
        <v>-731746</v>
      </c>
      <c r="O10" s="6">
        <f>VLOOKUP(B10,'75 - Summary Exhibit'!A:N,13,FALSE)</f>
        <v>1184275</v>
      </c>
      <c r="P10" s="6">
        <f t="shared" si="0"/>
        <v>452529</v>
      </c>
      <c r="Q10" s="6">
        <f>VLOOKUP(B10,'75- Deferred Amortization'!A:G,3,FALSE)</f>
        <v>-1854050</v>
      </c>
      <c r="R10" s="6">
        <f>VLOOKUP(B10,'75- Deferred Amortization'!A:G,4,FALSE)</f>
        <v>-2995720</v>
      </c>
      <c r="S10" s="6">
        <f>VLOOKUP(B10,'75- Deferred Amortization'!A:G,5,FALSE)</f>
        <v>-1554810</v>
      </c>
      <c r="T10" s="6">
        <f>VLOOKUP(B10,'75- Deferred Amortization'!A:G,6,FALSE)</f>
        <v>800777</v>
      </c>
      <c r="U10" s="6">
        <f>VLOOKUP(B10,'75- Deferred Amortization'!A:G,7,FALSE)</f>
        <v>0</v>
      </c>
      <c r="V10" s="6">
        <f t="shared" si="1"/>
        <v>2</v>
      </c>
      <c r="W10" s="6">
        <f t="shared" si="2"/>
        <v>0</v>
      </c>
      <c r="X10">
        <v>1</v>
      </c>
      <c r="Z10" s="208">
        <f>VLOOKUP(B10,'Noncap Contr Alloc'!A:C,3,FALSE)</f>
        <v>52413</v>
      </c>
      <c r="AC10" s="9">
        <v>35215707</v>
      </c>
      <c r="AD10" s="9">
        <v>341898</v>
      </c>
      <c r="AE10" s="9">
        <v>304953</v>
      </c>
      <c r="AF10" s="9">
        <v>2819475</v>
      </c>
      <c r="AG10" s="6">
        <v>2192075</v>
      </c>
      <c r="AH10" s="6">
        <v>97445</v>
      </c>
      <c r="AI10" s="6">
        <v>0</v>
      </c>
      <c r="AJ10" s="6">
        <v>16027498</v>
      </c>
      <c r="AK10" s="6">
        <v>1646877</v>
      </c>
      <c r="AM10" s="6">
        <f t="shared" si="3"/>
        <v>-971584</v>
      </c>
      <c r="AN10" s="6">
        <f t="shared" si="4"/>
        <v>-425792</v>
      </c>
      <c r="AO10" s="9">
        <f t="shared" si="5"/>
        <v>97449</v>
      </c>
      <c r="AP10" s="6">
        <f t="shared" si="6"/>
        <v>-58354</v>
      </c>
      <c r="AQ10" s="9">
        <f t="shared" si="7"/>
        <v>1502617</v>
      </c>
      <c r="AR10" s="6">
        <f t="shared" si="8"/>
        <v>-5383221</v>
      </c>
      <c r="AS10" s="9">
        <f t="shared" si="9"/>
        <v>4681592</v>
      </c>
      <c r="AT10" s="9">
        <f t="shared" si="10"/>
        <v>13767</v>
      </c>
      <c r="AU10" s="6">
        <f t="shared" si="11"/>
        <v>0</v>
      </c>
      <c r="AV10" s="285">
        <f t="shared" si="12"/>
        <v>39897299</v>
      </c>
    </row>
    <row r="11" spans="1:48">
      <c r="A11" t="s">
        <v>46</v>
      </c>
      <c r="B11">
        <v>21300</v>
      </c>
      <c r="C11" s="6">
        <f>VLOOKUP(B11,'ER Contributions'!A:D,4,FALSE)</f>
        <v>52343688</v>
      </c>
      <c r="D11" s="7">
        <f>VLOOKUP(B11,'ER Contributions'!A:D,3,FALSE)</f>
        <v>3.8130299999999999E-2</v>
      </c>
      <c r="E11" s="9">
        <f>VLOOKUP(B11,'75 - Summary Exhibit'!A:N,3,FALSE)</f>
        <v>1016074701</v>
      </c>
      <c r="F11" s="9">
        <f>VLOOKUP(B11,'75 - Summary Exhibit'!A:N,4,FALSE)</f>
        <v>11188971</v>
      </c>
      <c r="G11" s="9">
        <f>VLOOKUP(B11,'75 - Summary Exhibit'!A:N,5,FALSE)</f>
        <v>8116927</v>
      </c>
      <c r="H11" s="9">
        <f>VLOOKUP(B11,'75 - Summary Exhibit'!A:N,6,FALSE)</f>
        <v>110071821</v>
      </c>
      <c r="I11" s="6">
        <f>VLOOKUP(B11,'75 - Summary Exhibit'!A:N,7,FALSE)</f>
        <v>28461363</v>
      </c>
      <c r="J11" s="6">
        <f>VLOOKUP(B11,'75 - Summary Exhibit'!A:N,8,FALSE)</f>
        <v>995549</v>
      </c>
      <c r="K11" s="6">
        <f>VLOOKUP(B11,'75 - Summary Exhibit'!A:N,9,FALSE)</f>
        <v>0</v>
      </c>
      <c r="L11" s="6">
        <f>VLOOKUP(B11,'75 - Summary Exhibit'!A:N,10,FALSE)</f>
        <v>271080530</v>
      </c>
      <c r="M11" s="6">
        <f>VLOOKUP(B11,'75 - Summary Exhibit'!A:N,11,FALSE)</f>
        <v>37986303</v>
      </c>
      <c r="N11" s="6">
        <f>VLOOKUP(B11,'75 - Summary Exhibit'!A:N,12,FALSE)</f>
        <v>-18635591</v>
      </c>
      <c r="O11" s="6">
        <f>VLOOKUP(B11,'75 - Summary Exhibit'!A:N,13,FALSE)</f>
        <v>19140464</v>
      </c>
      <c r="P11" s="6">
        <f t="shared" si="0"/>
        <v>504873</v>
      </c>
      <c r="Q11" s="6">
        <f>VLOOKUP(B11,'75- Deferred Amortization'!A:G,3,FALSE)</f>
        <v>-60262430</v>
      </c>
      <c r="R11" s="6">
        <f>VLOOKUP(B11,'75- Deferred Amortization'!A:G,4,FALSE)</f>
        <v>-74417616</v>
      </c>
      <c r="S11" s="6">
        <f>VLOOKUP(B11,'75- Deferred Amortization'!A:G,5,FALSE)</f>
        <v>-40392757</v>
      </c>
      <c r="T11" s="6">
        <f>VLOOKUP(B11,'75- Deferred Amortization'!A:G,6,FALSE)</f>
        <v>22849502</v>
      </c>
      <c r="U11" s="6">
        <f>VLOOKUP(B11,'75- Deferred Amortization'!A:G,7,FALSE)</f>
        <v>0</v>
      </c>
      <c r="V11" s="6">
        <f t="shared" si="1"/>
        <v>1</v>
      </c>
      <c r="W11" s="6">
        <f t="shared" si="2"/>
        <v>1</v>
      </c>
      <c r="X11">
        <v>1</v>
      </c>
      <c r="Z11" s="208">
        <f>VLOOKUP(B11,'Noncap Contr Alloc'!A:C,3,FALSE)</f>
        <v>1334817</v>
      </c>
      <c r="AC11" s="9">
        <v>884577552</v>
      </c>
      <c r="AD11" s="9">
        <v>8588078</v>
      </c>
      <c r="AE11" s="9">
        <v>7660059</v>
      </c>
      <c r="AF11" s="9">
        <v>70821926</v>
      </c>
      <c r="AG11" s="6">
        <v>31724049</v>
      </c>
      <c r="AH11" s="6">
        <v>2447717</v>
      </c>
      <c r="AI11" s="6">
        <v>0</v>
      </c>
      <c r="AJ11" s="6">
        <v>402592073</v>
      </c>
      <c r="AK11" s="6">
        <v>50648404</v>
      </c>
      <c r="AM11" s="6">
        <f t="shared" si="3"/>
        <v>-3262686</v>
      </c>
      <c r="AN11" s="6">
        <f t="shared" si="4"/>
        <v>-12662101</v>
      </c>
      <c r="AO11" s="9">
        <f t="shared" si="5"/>
        <v>2600893</v>
      </c>
      <c r="AP11" s="6">
        <f t="shared" si="6"/>
        <v>-1452168</v>
      </c>
      <c r="AQ11" s="9">
        <f t="shared" si="7"/>
        <v>39249895</v>
      </c>
      <c r="AR11" s="6">
        <f t="shared" si="8"/>
        <v>-131511543</v>
      </c>
      <c r="AS11" s="9">
        <f t="shared" si="9"/>
        <v>131497149</v>
      </c>
      <c r="AT11" s="9">
        <f t="shared" si="10"/>
        <v>456868</v>
      </c>
      <c r="AU11" s="6">
        <f t="shared" si="11"/>
        <v>0</v>
      </c>
      <c r="AV11" s="285">
        <f t="shared" si="12"/>
        <v>1016074701</v>
      </c>
    </row>
    <row r="12" spans="1:48">
      <c r="A12" t="s">
        <v>42</v>
      </c>
      <c r="B12">
        <v>20700</v>
      </c>
      <c r="C12" s="6">
        <f>VLOOKUP(B12,'ER Contributions'!A:D,4,FALSE)</f>
        <v>8578061</v>
      </c>
      <c r="D12" s="7">
        <f>VLOOKUP(B12,'ER Contributions'!A:D,3,FALSE)</f>
        <v>5.7457999999999997E-3</v>
      </c>
      <c r="E12" s="9">
        <f>VLOOKUP(B12,'75 - Summary Exhibit'!A:N,3,FALSE)</f>
        <v>153111608</v>
      </c>
      <c r="F12" s="9">
        <f>VLOOKUP(B12,'75 - Summary Exhibit'!A:N,4,FALSE)</f>
        <v>1686058</v>
      </c>
      <c r="G12" s="9">
        <f>VLOOKUP(B12,'75 - Summary Exhibit'!A:N,5,FALSE)</f>
        <v>1223134</v>
      </c>
      <c r="H12" s="9">
        <f>VLOOKUP(B12,'75 - Summary Exhibit'!A:N,6,FALSE)</f>
        <v>16586648</v>
      </c>
      <c r="I12" s="6">
        <f>VLOOKUP(B12,'75 - Summary Exhibit'!A:N,7,FALSE)</f>
        <v>5461154</v>
      </c>
      <c r="J12" s="6">
        <f>VLOOKUP(B12,'75 - Summary Exhibit'!A:N,8,FALSE)</f>
        <v>150019</v>
      </c>
      <c r="K12" s="6">
        <f>VLOOKUP(B12,'75 - Summary Exhibit'!A:N,9,FALSE)</f>
        <v>0</v>
      </c>
      <c r="L12" s="6">
        <f>VLOOKUP(B12,'75 - Summary Exhibit'!A:N,10,FALSE)</f>
        <v>40848941</v>
      </c>
      <c r="M12" s="6">
        <f>VLOOKUP(B12,'75 - Summary Exhibit'!A:N,11,FALSE)</f>
        <v>7355455</v>
      </c>
      <c r="N12" s="6">
        <f>VLOOKUP(B12,'75 - Summary Exhibit'!A:N,12,FALSE)</f>
        <v>-2808184</v>
      </c>
      <c r="O12" s="6">
        <f>VLOOKUP(B12,'75 - Summary Exhibit'!A:N,13,FALSE)</f>
        <v>2718154</v>
      </c>
      <c r="P12" s="6">
        <f t="shared" si="0"/>
        <v>-90030</v>
      </c>
      <c r="Q12" s="6">
        <f>VLOOKUP(B12,'75- Deferred Amortization'!A:G,3,FALSE)</f>
        <v>-8524195</v>
      </c>
      <c r="R12" s="6">
        <f>VLOOKUP(B12,'75- Deferred Amortization'!A:G,4,FALSE)</f>
        <v>-10801205</v>
      </c>
      <c r="S12" s="6">
        <f>VLOOKUP(B12,'75- Deferred Amortization'!A:G,5,FALSE)</f>
        <v>-5957904</v>
      </c>
      <c r="T12" s="6">
        <f>VLOOKUP(B12,'75- Deferred Amortization'!A:G,6,FALSE)</f>
        <v>1885883</v>
      </c>
      <c r="U12" s="6">
        <f>VLOOKUP(B12,'75- Deferred Amortization'!A:G,7,FALSE)</f>
        <v>0</v>
      </c>
      <c r="V12" s="6">
        <f t="shared" si="1"/>
        <v>-1</v>
      </c>
      <c r="W12" s="6">
        <f t="shared" si="2"/>
        <v>0</v>
      </c>
      <c r="X12">
        <v>1</v>
      </c>
      <c r="Z12" s="208">
        <f>VLOOKUP(B12,'Noncap Contr Alloc'!A:C,3,FALSE)</f>
        <v>201143</v>
      </c>
      <c r="AC12" s="9">
        <v>139531878</v>
      </c>
      <c r="AD12" s="9">
        <v>1354670</v>
      </c>
      <c r="AE12" s="9">
        <v>1208286</v>
      </c>
      <c r="AF12" s="9">
        <v>11171340</v>
      </c>
      <c r="AG12" s="6">
        <v>10398738</v>
      </c>
      <c r="AH12" s="6">
        <v>386099</v>
      </c>
      <c r="AI12" s="6">
        <v>0</v>
      </c>
      <c r="AJ12" s="6">
        <v>63504243</v>
      </c>
      <c r="AK12" s="6">
        <v>6089076</v>
      </c>
      <c r="AM12" s="6">
        <f t="shared" si="3"/>
        <v>-4937584</v>
      </c>
      <c r="AN12" s="6">
        <f t="shared" si="4"/>
        <v>1266379</v>
      </c>
      <c r="AO12" s="9">
        <f t="shared" si="5"/>
        <v>331388</v>
      </c>
      <c r="AP12" s="6">
        <f t="shared" si="6"/>
        <v>-236080</v>
      </c>
      <c r="AQ12" s="9">
        <f t="shared" si="7"/>
        <v>5415308</v>
      </c>
      <c r="AR12" s="6">
        <f t="shared" si="8"/>
        <v>-22655302</v>
      </c>
      <c r="AS12" s="9">
        <f t="shared" si="9"/>
        <v>13579730</v>
      </c>
      <c r="AT12" s="9">
        <f t="shared" si="10"/>
        <v>14848</v>
      </c>
      <c r="AU12" s="6">
        <f t="shared" si="11"/>
        <v>0</v>
      </c>
      <c r="AV12" s="285">
        <f t="shared" si="12"/>
        <v>153111608</v>
      </c>
    </row>
    <row r="13" spans="1:48">
      <c r="A13" t="s">
        <v>45</v>
      </c>
      <c r="B13">
        <v>21200</v>
      </c>
      <c r="C13" s="6">
        <f>VLOOKUP(B13,'ER Contributions'!A:D,4,FALSE)</f>
        <v>4240650</v>
      </c>
      <c r="D13" s="7">
        <f>VLOOKUP(B13,'ER Contributions'!A:D,3,FALSE)</f>
        <v>3.0677999999999999E-3</v>
      </c>
      <c r="E13" s="9">
        <f>VLOOKUP(B13,'75 - Summary Exhibit'!A:N,3,FALSE)</f>
        <v>81749145</v>
      </c>
      <c r="F13" s="9">
        <f>VLOOKUP(B13,'75 - Summary Exhibit'!A:N,4,FALSE)</f>
        <v>900218</v>
      </c>
      <c r="G13" s="9">
        <f>VLOOKUP(B13,'75 - Summary Exhibit'!A:N,5,FALSE)</f>
        <v>653054</v>
      </c>
      <c r="H13" s="9">
        <f>VLOOKUP(B13,'75 - Summary Exhibit'!A:N,6,FALSE)</f>
        <v>8855921</v>
      </c>
      <c r="I13" s="6">
        <f>VLOOKUP(B13,'75 - Summary Exhibit'!A:N,7,FALSE)</f>
        <v>3370449</v>
      </c>
      <c r="J13" s="6">
        <f>VLOOKUP(B13,'75 - Summary Exhibit'!A:N,8,FALSE)</f>
        <v>80098</v>
      </c>
      <c r="K13" s="6">
        <f>VLOOKUP(B13,'75 - Summary Exhibit'!A:N,9,FALSE)</f>
        <v>0</v>
      </c>
      <c r="L13" s="6">
        <f>VLOOKUP(B13,'75 - Summary Exhibit'!A:N,10,FALSE)</f>
        <v>21810012</v>
      </c>
      <c r="M13" s="6">
        <f>VLOOKUP(B13,'75 - Summary Exhibit'!A:N,11,FALSE)</f>
        <v>3155130</v>
      </c>
      <c r="N13" s="6">
        <f>VLOOKUP(B13,'75 - Summary Exhibit'!A:N,12,FALSE)</f>
        <v>-1499343</v>
      </c>
      <c r="O13" s="6">
        <f>VLOOKUP(B13,'75 - Summary Exhibit'!A:N,13,FALSE)</f>
        <v>1535315</v>
      </c>
      <c r="P13" s="6">
        <f t="shared" si="0"/>
        <v>35972</v>
      </c>
      <c r="Q13" s="6">
        <f>VLOOKUP(B13,'75- Deferred Amortization'!A:G,3,FALSE)</f>
        <v>-4210551</v>
      </c>
      <c r="R13" s="6">
        <f>VLOOKUP(B13,'75- Deferred Amortization'!A:G,4,FALSE)</f>
        <v>-5496041</v>
      </c>
      <c r="S13" s="6">
        <f>VLOOKUP(B13,'75- Deferred Amortization'!A:G,5,FALSE)</f>
        <v>-3340092</v>
      </c>
      <c r="T13" s="6">
        <f>VLOOKUP(B13,'75- Deferred Amortization'!A:G,6,FALSE)</f>
        <v>1781087</v>
      </c>
      <c r="U13" s="6">
        <f>VLOOKUP(B13,'75- Deferred Amortization'!A:G,7,FALSE)</f>
        <v>0</v>
      </c>
      <c r="V13" s="6">
        <f t="shared" si="1"/>
        <v>-2</v>
      </c>
      <c r="W13" s="6">
        <f t="shared" si="2"/>
        <v>-1</v>
      </c>
      <c r="X13">
        <v>1</v>
      </c>
      <c r="Z13" s="208">
        <f>VLOOKUP(B13,'Noncap Contr Alloc'!A:C,3,FALSE)</f>
        <v>107394</v>
      </c>
      <c r="AC13" s="9">
        <v>71401687</v>
      </c>
      <c r="AD13" s="9">
        <v>693216</v>
      </c>
      <c r="AE13" s="9">
        <v>618308</v>
      </c>
      <c r="AF13" s="9">
        <v>5716633</v>
      </c>
      <c r="AG13" s="6">
        <v>3947722</v>
      </c>
      <c r="AH13" s="6">
        <v>197576</v>
      </c>
      <c r="AI13" s="6">
        <v>0</v>
      </c>
      <c r="AJ13" s="6">
        <v>32496589</v>
      </c>
      <c r="AK13" s="6">
        <v>4206840</v>
      </c>
      <c r="AM13" s="6">
        <f t="shared" si="3"/>
        <v>-577273</v>
      </c>
      <c r="AN13" s="6">
        <f t="shared" si="4"/>
        <v>-1051710</v>
      </c>
      <c r="AO13" s="9">
        <f t="shared" si="5"/>
        <v>207002</v>
      </c>
      <c r="AP13" s="6">
        <f t="shared" si="6"/>
        <v>-117478</v>
      </c>
      <c r="AQ13" s="9">
        <f t="shared" si="7"/>
        <v>3139288</v>
      </c>
      <c r="AR13" s="6">
        <f t="shared" si="8"/>
        <v>-10686577</v>
      </c>
      <c r="AS13" s="9">
        <f t="shared" si="9"/>
        <v>10347458</v>
      </c>
      <c r="AT13" s="9">
        <f t="shared" si="10"/>
        <v>34746</v>
      </c>
      <c r="AU13" s="6">
        <f t="shared" si="11"/>
        <v>0</v>
      </c>
      <c r="AV13" s="285">
        <f t="shared" si="12"/>
        <v>81749145</v>
      </c>
    </row>
    <row r="14" spans="1:48">
      <c r="A14" t="s">
        <v>48</v>
      </c>
      <c r="B14">
        <v>21550</v>
      </c>
      <c r="C14" s="6">
        <f>VLOOKUP(B14,'ER Contributions'!A:D,4,FALSE)</f>
        <v>59257493</v>
      </c>
      <c r="D14" s="7">
        <f>VLOOKUP(B14,'ER Contributions'!A:D,3,FALSE)</f>
        <v>4.4517800000000003E-2</v>
      </c>
      <c r="E14" s="9">
        <f>VLOOKUP(B14,'75 - Summary Exhibit'!A:N,3,FALSE)</f>
        <v>1186285088</v>
      </c>
      <c r="F14" s="9">
        <f>VLOOKUP(B14,'75 - Summary Exhibit'!A:N,4,FALSE)</f>
        <v>13063321</v>
      </c>
      <c r="G14" s="9">
        <f>VLOOKUP(B14,'75 - Summary Exhibit'!A:N,5,FALSE)</f>
        <v>9476655</v>
      </c>
      <c r="H14" s="9">
        <f>VLOOKUP(B14,'75 - Summary Exhibit'!A:N,6,FALSE)</f>
        <v>128510787</v>
      </c>
      <c r="I14" s="6">
        <f>VLOOKUP(B14,'75 - Summary Exhibit'!A:N,7,FALSE)</f>
        <v>88273807</v>
      </c>
      <c r="J14" s="6">
        <f>VLOOKUP(B14,'75 - Summary Exhibit'!A:N,8,FALSE)</f>
        <v>1162321</v>
      </c>
      <c r="K14" s="6">
        <f>VLOOKUP(B14,'75 - Summary Exhibit'!A:N,9,FALSE)</f>
        <v>0</v>
      </c>
      <c r="L14" s="6">
        <f>VLOOKUP(B14,'75 - Summary Exhibit'!A:N,10,FALSE)</f>
        <v>316491288</v>
      </c>
      <c r="M14" s="6">
        <f>VLOOKUP(B14,'75 - Summary Exhibit'!A:N,11,FALSE)</f>
        <v>44171468</v>
      </c>
      <c r="N14" s="6">
        <f>VLOOKUP(B14,'75 - Summary Exhibit'!A:N,12,FALSE)</f>
        <v>-21757381</v>
      </c>
      <c r="O14" s="6">
        <f>VLOOKUP(B14,'75 - Summary Exhibit'!A:N,13,FALSE)</f>
        <v>39372173</v>
      </c>
      <c r="P14" s="6">
        <f t="shared" si="0"/>
        <v>17614792</v>
      </c>
      <c r="Q14" s="6">
        <f>VLOOKUP(B14,'75- Deferred Amortization'!A:G,3,FALSE)</f>
        <v>-29859416</v>
      </c>
      <c r="R14" s="6">
        <f>VLOOKUP(B14,'75- Deferred Amortization'!A:G,4,FALSE)</f>
        <v>-66055767</v>
      </c>
      <c r="S14" s="6">
        <f>VLOOKUP(B14,'75- Deferred Amortization'!A:G,5,FALSE)</f>
        <v>-35555491</v>
      </c>
      <c r="T14" s="6">
        <f>VLOOKUP(B14,'75- Deferred Amortization'!A:G,6,FALSE)</f>
        <v>8970166</v>
      </c>
      <c r="U14" s="6">
        <f>VLOOKUP(B14,'75- Deferred Amortization'!A:G,7,FALSE)</f>
        <v>0</v>
      </c>
      <c r="V14" s="6">
        <f t="shared" si="1"/>
        <v>1</v>
      </c>
      <c r="W14" s="6">
        <f t="shared" si="2"/>
        <v>1</v>
      </c>
      <c r="X14">
        <v>1</v>
      </c>
      <c r="Z14" s="208">
        <f>VLOOKUP(B14,'Noncap Contr Alloc'!A:C,3,FALSE)</f>
        <v>1558422</v>
      </c>
      <c r="AC14" s="9">
        <v>1096520831</v>
      </c>
      <c r="AD14" s="9">
        <v>10645767</v>
      </c>
      <c r="AE14" s="9">
        <v>9495396</v>
      </c>
      <c r="AF14" s="9">
        <v>87790739</v>
      </c>
      <c r="AG14" s="6">
        <v>138688845</v>
      </c>
      <c r="AH14" s="6">
        <v>3034186</v>
      </c>
      <c r="AI14" s="6">
        <v>0</v>
      </c>
      <c r="AJ14" s="6">
        <v>499052449</v>
      </c>
      <c r="AK14" s="6">
        <v>0</v>
      </c>
      <c r="AM14" s="6">
        <f t="shared" si="3"/>
        <v>-50415038</v>
      </c>
      <c r="AN14" s="6">
        <f t="shared" si="4"/>
        <v>44171468</v>
      </c>
      <c r="AO14" s="9">
        <f t="shared" si="5"/>
        <v>2417554</v>
      </c>
      <c r="AP14" s="6">
        <f t="shared" si="6"/>
        <v>-1871865</v>
      </c>
      <c r="AQ14" s="9">
        <f t="shared" si="7"/>
        <v>40720048</v>
      </c>
      <c r="AR14" s="6">
        <f t="shared" si="8"/>
        <v>-182561161</v>
      </c>
      <c r="AS14" s="9">
        <f t="shared" si="9"/>
        <v>89764257</v>
      </c>
      <c r="AT14" s="9">
        <f t="shared" si="10"/>
        <v>-18741</v>
      </c>
      <c r="AU14" s="6">
        <f t="shared" si="11"/>
        <v>0</v>
      </c>
      <c r="AV14" s="285">
        <f t="shared" si="12"/>
        <v>1186285088</v>
      </c>
    </row>
    <row r="15" spans="1:48">
      <c r="A15" t="s">
        <v>47</v>
      </c>
      <c r="B15">
        <v>21520</v>
      </c>
      <c r="C15" s="6">
        <f>VLOOKUP(B15,'ER Contributions'!A:D,4,FALSE)</f>
        <v>101068064</v>
      </c>
      <c r="D15" s="7">
        <f>VLOOKUP(B15,'ER Contributions'!A:D,3,FALSE)</f>
        <v>7.3100499999999999E-2</v>
      </c>
      <c r="E15" s="9">
        <f>VLOOKUP(B15,'75 - Summary Exhibit'!A:N,3,FALSE)</f>
        <v>1947940481</v>
      </c>
      <c r="F15" s="9">
        <f>VLOOKUP(B15,'75 - Summary Exhibit'!A:N,4,FALSE)</f>
        <v>21450637</v>
      </c>
      <c r="G15" s="9">
        <f>VLOOKUP(B15,'75 - Summary Exhibit'!A:N,5,FALSE)</f>
        <v>15561149</v>
      </c>
      <c r="H15" s="9">
        <f>VLOOKUP(B15,'75 - Summary Exhibit'!A:N,6,FALSE)</f>
        <v>211021252</v>
      </c>
      <c r="I15" s="6">
        <f>VLOOKUP(B15,'75 - Summary Exhibit'!A:N,7,FALSE)</f>
        <v>91618040</v>
      </c>
      <c r="J15" s="6">
        <f>VLOOKUP(B15,'75 - Summary Exhibit'!A:N,8,FALSE)</f>
        <v>1908590</v>
      </c>
      <c r="K15" s="6">
        <f>VLOOKUP(B15,'75 - Summary Exhibit'!A:N,9,FALSE)</f>
        <v>0</v>
      </c>
      <c r="L15" s="6">
        <f>VLOOKUP(B15,'75 - Summary Exhibit'!A:N,10,FALSE)</f>
        <v>519694800</v>
      </c>
      <c r="M15" s="6">
        <f>VLOOKUP(B15,'75 - Summary Exhibit'!A:N,11,FALSE)</f>
        <v>0</v>
      </c>
      <c r="N15" s="6">
        <f>VLOOKUP(B15,'75 - Summary Exhibit'!A:N,12,FALSE)</f>
        <v>-35726727</v>
      </c>
      <c r="O15" s="6">
        <f>VLOOKUP(B15,'75 - Summary Exhibit'!A:N,13,FALSE)</f>
        <v>65115887</v>
      </c>
      <c r="P15" s="6">
        <f t="shared" si="0"/>
        <v>29389160</v>
      </c>
      <c r="Q15" s="6">
        <f>VLOOKUP(B15,'75- Deferred Amortization'!A:G,3,FALSE)</f>
        <v>-75230973</v>
      </c>
      <c r="R15" s="6">
        <f>VLOOKUP(B15,'75- Deferred Amortization'!A:G,4,FALSE)</f>
        <v>-106564491</v>
      </c>
      <c r="S15" s="6">
        <f>VLOOKUP(B15,'75- Deferred Amortization'!A:G,5,FALSE)</f>
        <v>-42265037</v>
      </c>
      <c r="T15" s="6">
        <f>VLOOKUP(B15,'75- Deferred Amortization'!A:G,6,FALSE)</f>
        <v>42108189</v>
      </c>
      <c r="U15" s="6">
        <f>VLOOKUP(B15,'75- Deferred Amortization'!A:G,7,FALSE)</f>
        <v>0</v>
      </c>
      <c r="V15" s="6">
        <f t="shared" si="1"/>
        <v>0</v>
      </c>
      <c r="W15" s="6">
        <f t="shared" si="2"/>
        <v>0</v>
      </c>
      <c r="X15">
        <v>1</v>
      </c>
      <c r="Z15" s="208">
        <f>VLOOKUP(B15,'Noncap Contr Alloc'!A:C,3,FALSE)</f>
        <v>2559008</v>
      </c>
      <c r="AC15" s="9">
        <v>1702614844</v>
      </c>
      <c r="AD15" s="9">
        <v>16530139</v>
      </c>
      <c r="AE15" s="9">
        <v>14743907</v>
      </c>
      <c r="AF15" s="9">
        <v>136316440</v>
      </c>
      <c r="AG15" s="6">
        <v>110505070</v>
      </c>
      <c r="AH15" s="6">
        <v>4711311</v>
      </c>
      <c r="AI15" s="6">
        <v>0</v>
      </c>
      <c r="AJ15" s="6">
        <v>774900106</v>
      </c>
      <c r="AK15" s="6">
        <v>0</v>
      </c>
      <c r="AM15" s="6">
        <f t="shared" si="3"/>
        <v>-18887030</v>
      </c>
      <c r="AN15" s="6">
        <f t="shared" si="4"/>
        <v>0</v>
      </c>
      <c r="AO15" s="9">
        <f t="shared" si="5"/>
        <v>4920498</v>
      </c>
      <c r="AP15" s="6">
        <f t="shared" si="6"/>
        <v>-2802721</v>
      </c>
      <c r="AQ15" s="9">
        <f t="shared" si="7"/>
        <v>74704812</v>
      </c>
      <c r="AR15" s="6">
        <f t="shared" si="8"/>
        <v>-255205306</v>
      </c>
      <c r="AS15" s="9">
        <f t="shared" si="9"/>
        <v>245325637</v>
      </c>
      <c r="AT15" s="9">
        <f t="shared" si="10"/>
        <v>817242</v>
      </c>
      <c r="AU15" s="6">
        <f t="shared" si="11"/>
        <v>0</v>
      </c>
      <c r="AV15" s="6">
        <f t="shared" si="12"/>
        <v>1947940481</v>
      </c>
    </row>
    <row r="16" spans="1:48">
      <c r="A16" t="s">
        <v>51</v>
      </c>
      <c r="B16">
        <v>23000</v>
      </c>
      <c r="C16" s="6">
        <f>VLOOKUP(B16,'ER Contributions'!A:D,4,FALSE)</f>
        <v>3165237</v>
      </c>
      <c r="D16" s="7">
        <f>VLOOKUP(B16,'ER Contributions'!A:D,3,FALSE)</f>
        <v>2.2076999999999999E-3</v>
      </c>
      <c r="E16" s="9">
        <f>VLOOKUP(B16,'75 - Summary Exhibit'!A:N,3,FALSE)</f>
        <v>58829035</v>
      </c>
      <c r="F16" s="9">
        <f>VLOOKUP(B16,'75 - Summary Exhibit'!A:N,4,FALSE)</f>
        <v>647823</v>
      </c>
      <c r="G16" s="9">
        <f>VLOOKUP(B16,'75 - Summary Exhibit'!A:N,5,FALSE)</f>
        <v>469957</v>
      </c>
      <c r="H16" s="9">
        <f>VLOOKUP(B16,'75 - Summary Exhibit'!A:N,6,FALSE)</f>
        <v>6372975</v>
      </c>
      <c r="I16" s="6">
        <f>VLOOKUP(B16,'75 - Summary Exhibit'!A:N,7,FALSE)</f>
        <v>0</v>
      </c>
      <c r="J16" s="6">
        <f>VLOOKUP(B16,'75 - Summary Exhibit'!A:N,8,FALSE)</f>
        <v>57641</v>
      </c>
      <c r="K16" s="6">
        <f>VLOOKUP(B16,'75 - Summary Exhibit'!A:N,9,FALSE)</f>
        <v>0</v>
      </c>
      <c r="L16" s="6">
        <f>VLOOKUP(B16,'75 - Summary Exhibit'!A:N,10,FALSE)</f>
        <v>15695112</v>
      </c>
      <c r="M16" s="6">
        <f>VLOOKUP(B16,'75 - Summary Exhibit'!A:N,11,FALSE)</f>
        <v>5700075</v>
      </c>
      <c r="N16" s="6">
        <f>VLOOKUP(B16,'75 - Summary Exhibit'!A:N,12,FALSE)</f>
        <v>-1078968</v>
      </c>
      <c r="O16" s="6">
        <f>VLOOKUP(B16,'75 - Summary Exhibit'!A:N,13,FALSE)</f>
        <v>-1136825</v>
      </c>
      <c r="P16" s="6">
        <f t="shared" si="0"/>
        <v>-2215793</v>
      </c>
      <c r="Q16" s="6">
        <f>VLOOKUP(B16,'75- Deferred Amortization'!A:G,3,FALSE)</f>
        <v>-5511454</v>
      </c>
      <c r="R16" s="6">
        <f>VLOOKUP(B16,'75- Deferred Amortization'!A:G,4,FALSE)</f>
        <v>-5908020</v>
      </c>
      <c r="S16" s="6">
        <f>VLOOKUP(B16,'75- Deferred Amortization'!A:G,5,FALSE)</f>
        <v>-3343392</v>
      </c>
      <c r="T16" s="6">
        <f>VLOOKUP(B16,'75- Deferred Amortization'!A:G,6,FALSE)</f>
        <v>800793</v>
      </c>
      <c r="U16" s="6">
        <f>VLOOKUP(B16,'75- Deferred Amortization'!A:G,7,FALSE)</f>
        <v>0</v>
      </c>
      <c r="V16" s="6">
        <f t="shared" si="1"/>
        <v>2</v>
      </c>
      <c r="W16" s="6">
        <f t="shared" si="2"/>
        <v>0</v>
      </c>
      <c r="X16">
        <v>1</v>
      </c>
      <c r="Z16" s="208">
        <f>VLOOKUP(B16,'Noncap Contr Alloc'!A:C,3,FALSE)</f>
        <v>77284</v>
      </c>
      <c r="AC16" s="9">
        <v>53235051</v>
      </c>
      <c r="AD16" s="9">
        <v>516842</v>
      </c>
      <c r="AE16" s="9">
        <v>460992</v>
      </c>
      <c r="AF16" s="9">
        <v>4262158</v>
      </c>
      <c r="AG16" s="6">
        <v>1033887</v>
      </c>
      <c r="AH16" s="6">
        <v>147307</v>
      </c>
      <c r="AI16" s="6">
        <v>0</v>
      </c>
      <c r="AJ16" s="6">
        <v>24228525</v>
      </c>
      <c r="AK16" s="6">
        <v>6912420</v>
      </c>
      <c r="AM16" s="6">
        <f t="shared" si="3"/>
        <v>-1033887</v>
      </c>
      <c r="AN16" s="6">
        <f t="shared" si="4"/>
        <v>-1212345</v>
      </c>
      <c r="AO16" s="9">
        <f t="shared" si="5"/>
        <v>130981</v>
      </c>
      <c r="AP16" s="6">
        <f t="shared" si="6"/>
        <v>-89666</v>
      </c>
      <c r="AQ16" s="9">
        <f t="shared" si="7"/>
        <v>2110817</v>
      </c>
      <c r="AR16" s="6">
        <f t="shared" si="8"/>
        <v>-8533413</v>
      </c>
      <c r="AS16" s="9">
        <f t="shared" si="9"/>
        <v>5593984</v>
      </c>
      <c r="AT16" s="9">
        <f t="shared" si="10"/>
        <v>8965</v>
      </c>
      <c r="AU16" s="6">
        <f t="shared" si="11"/>
        <v>0</v>
      </c>
      <c r="AV16" s="285">
        <f t="shared" si="12"/>
        <v>58829035</v>
      </c>
    </row>
    <row r="17" spans="1:48">
      <c r="A17" t="s">
        <v>52</v>
      </c>
      <c r="B17">
        <v>23100</v>
      </c>
      <c r="C17" s="6">
        <f>VLOOKUP(B17,'ER Contributions'!A:D,4,FALSE)</f>
        <v>20662892</v>
      </c>
      <c r="D17" s="7">
        <f>VLOOKUP(B17,'ER Contributions'!A:D,3,FALSE)</f>
        <v>1.5037699999999999E-2</v>
      </c>
      <c r="E17" s="9">
        <f>VLOOKUP(B17,'75 - Summary Exhibit'!A:N,3,FALSE)</f>
        <v>400714688</v>
      </c>
      <c r="F17" s="9">
        <f>VLOOKUP(B17,'75 - Summary Exhibit'!A:N,4,FALSE)</f>
        <v>4412653</v>
      </c>
      <c r="G17" s="9">
        <f>VLOOKUP(B17,'75 - Summary Exhibit'!A:N,5,FALSE)</f>
        <v>3201115</v>
      </c>
      <c r="H17" s="9">
        <f>VLOOKUP(B17,'75 - Summary Exhibit'!A:N,6,FALSE)</f>
        <v>43409599</v>
      </c>
      <c r="I17" s="6">
        <f>VLOOKUP(B17,'75 - Summary Exhibit'!A:N,7,FALSE)</f>
        <v>7057879</v>
      </c>
      <c r="J17" s="6">
        <f>VLOOKUP(B17,'75 - Summary Exhibit'!A:N,8,FALSE)</f>
        <v>392620</v>
      </c>
      <c r="K17" s="6">
        <f>VLOOKUP(B17,'75 - Summary Exhibit'!A:N,9,FALSE)</f>
        <v>0</v>
      </c>
      <c r="L17" s="6">
        <f>VLOOKUP(B17,'75 - Summary Exhibit'!A:N,10,FALSE)</f>
        <v>106907445</v>
      </c>
      <c r="M17" s="6">
        <f>VLOOKUP(B17,'75 - Summary Exhibit'!A:N,11,FALSE)</f>
        <v>11034429</v>
      </c>
      <c r="N17" s="6">
        <f>VLOOKUP(B17,'75 - Summary Exhibit'!A:N,12,FALSE)</f>
        <v>-7349415</v>
      </c>
      <c r="O17" s="6">
        <f>VLOOKUP(B17,'75 - Summary Exhibit'!A:N,13,FALSE)</f>
        <v>8977987</v>
      </c>
      <c r="P17" s="6">
        <f t="shared" si="0"/>
        <v>1628572</v>
      </c>
      <c r="Q17" s="6">
        <f>VLOOKUP(B17,'75- Deferred Amortization'!A:G,3,FALSE)</f>
        <v>-20224180</v>
      </c>
      <c r="R17" s="6">
        <f>VLOOKUP(B17,'75- Deferred Amortization'!A:G,4,FALSE)</f>
        <v>-30120690</v>
      </c>
      <c r="S17" s="6">
        <f>VLOOKUP(B17,'75- Deferred Amortization'!A:G,5,FALSE)</f>
        <v>-16692834</v>
      </c>
      <c r="T17" s="6">
        <f>VLOOKUP(B17,'75- Deferred Amortization'!A:G,6,FALSE)</f>
        <v>6784456</v>
      </c>
      <c r="U17" s="6">
        <f>VLOOKUP(B17,'75- Deferred Amortization'!A:G,7,FALSE)</f>
        <v>0</v>
      </c>
      <c r="V17" s="6">
        <f t="shared" si="1"/>
        <v>0</v>
      </c>
      <c r="W17" s="6">
        <f t="shared" si="2"/>
        <v>0</v>
      </c>
      <c r="X17">
        <v>1</v>
      </c>
      <c r="Z17" s="208">
        <f>VLOOKUP(B17,'Noncap Contr Alloc'!A:C,3,FALSE)</f>
        <v>526419</v>
      </c>
      <c r="AC17" s="9">
        <v>357060159</v>
      </c>
      <c r="AD17" s="9">
        <v>3466582</v>
      </c>
      <c r="AE17" s="9">
        <v>3091986</v>
      </c>
      <c r="AF17" s="9">
        <v>28587305</v>
      </c>
      <c r="AG17" s="6">
        <v>19592691</v>
      </c>
      <c r="AH17" s="6">
        <v>988022</v>
      </c>
      <c r="AI17" s="6">
        <v>0</v>
      </c>
      <c r="AJ17" s="6">
        <v>162506486</v>
      </c>
      <c r="AK17" s="6">
        <v>14712572</v>
      </c>
      <c r="AM17" s="6">
        <f t="shared" si="3"/>
        <v>-12534812</v>
      </c>
      <c r="AN17" s="6">
        <f t="shared" si="4"/>
        <v>-3678143</v>
      </c>
      <c r="AO17" s="9">
        <f t="shared" si="5"/>
        <v>946071</v>
      </c>
      <c r="AP17" s="6">
        <f t="shared" si="6"/>
        <v>-595402</v>
      </c>
      <c r="AQ17" s="9">
        <f t="shared" si="7"/>
        <v>14822294</v>
      </c>
      <c r="AR17" s="6">
        <f t="shared" si="8"/>
        <v>-55599041</v>
      </c>
      <c r="AS17" s="9">
        <f t="shared" si="9"/>
        <v>43654529</v>
      </c>
      <c r="AT17" s="9">
        <f t="shared" si="10"/>
        <v>109129</v>
      </c>
      <c r="AU17" s="6">
        <f t="shared" si="11"/>
        <v>0</v>
      </c>
      <c r="AV17" s="285">
        <f t="shared" si="12"/>
        <v>400714688</v>
      </c>
    </row>
    <row r="18" spans="1:48">
      <c r="A18" t="s">
        <v>44</v>
      </c>
      <c r="B18">
        <v>20900</v>
      </c>
      <c r="C18" s="6">
        <f>VLOOKUP(B18,'ER Contributions'!A:D,4,FALSE)</f>
        <v>13185785</v>
      </c>
      <c r="D18" s="7">
        <f>VLOOKUP(B18,'ER Contributions'!A:D,3,FALSE)</f>
        <v>9.7169000000000005E-3</v>
      </c>
      <c r="E18" s="9">
        <f>VLOOKUP(B18,'75 - Summary Exhibit'!A:N,3,FALSE)</f>
        <v>258929809</v>
      </c>
      <c r="F18" s="9">
        <f>VLOOKUP(B18,'75 - Summary Exhibit'!A:N,4,FALSE)</f>
        <v>2851324</v>
      </c>
      <c r="G18" s="9">
        <f>VLOOKUP(B18,'75 - Summary Exhibit'!A:N,5,FALSE)</f>
        <v>2068464</v>
      </c>
      <c r="H18" s="9">
        <f>VLOOKUP(B18,'75 - Summary Exhibit'!A:N,6,FALSE)</f>
        <v>28049980</v>
      </c>
      <c r="I18" s="6">
        <f>VLOOKUP(B18,'75 - Summary Exhibit'!A:N,7,FALSE)</f>
        <v>8821629</v>
      </c>
      <c r="J18" s="6">
        <f>VLOOKUP(B18,'75 - Summary Exhibit'!A:N,8,FALSE)</f>
        <v>253699</v>
      </c>
      <c r="K18" s="6">
        <f>VLOOKUP(B18,'75 - Summary Exhibit'!A:N,9,FALSE)</f>
        <v>0</v>
      </c>
      <c r="L18" s="6">
        <f>VLOOKUP(B18,'75 - Summary Exhibit'!A:N,10,FALSE)</f>
        <v>69080383</v>
      </c>
      <c r="M18" s="6">
        <f>VLOOKUP(B18,'75 - Summary Exhibit'!A:N,11,FALSE)</f>
        <v>14741356</v>
      </c>
      <c r="N18" s="6">
        <f>VLOOKUP(B18,'75 - Summary Exhibit'!A:N,12,FALSE)</f>
        <v>-4748971</v>
      </c>
      <c r="O18" s="6">
        <f>VLOOKUP(B18,'75 - Summary Exhibit'!A:N,13,FALSE)</f>
        <v>6067705</v>
      </c>
      <c r="P18" s="6">
        <f t="shared" si="0"/>
        <v>1318734</v>
      </c>
      <c r="Q18" s="6">
        <f>VLOOKUP(B18,'75- Deferred Amortization'!A:G,3,FALSE)</f>
        <v>-12760022</v>
      </c>
      <c r="R18" s="6">
        <f>VLOOKUP(B18,'75- Deferred Amortization'!A:G,4,FALSE)</f>
        <v>-19670831</v>
      </c>
      <c r="S18" s="6">
        <f>VLOOKUP(B18,'75- Deferred Amortization'!A:G,5,FALSE)</f>
        <v>-11965870</v>
      </c>
      <c r="T18" s="6">
        <f>VLOOKUP(B18,'75- Deferred Amortization'!A:G,6,FALSE)</f>
        <v>2112683</v>
      </c>
      <c r="U18" s="6">
        <f>VLOOKUP(B18,'75- Deferred Amortization'!A:G,7,FALSE)</f>
        <v>0</v>
      </c>
      <c r="V18" s="6">
        <f t="shared" si="1"/>
        <v>0</v>
      </c>
      <c r="W18" s="6">
        <f t="shared" si="2"/>
        <v>-1</v>
      </c>
      <c r="X18">
        <v>1</v>
      </c>
      <c r="Z18" s="208">
        <f>VLOOKUP(B18,'Noncap Contr Alloc'!A:C,3,FALSE)</f>
        <v>340156</v>
      </c>
      <c r="AC18" s="9">
        <v>238952914</v>
      </c>
      <c r="AD18" s="9">
        <v>2319917</v>
      </c>
      <c r="AE18" s="9">
        <v>2069229</v>
      </c>
      <c r="AF18" s="9">
        <v>19131285</v>
      </c>
      <c r="AG18" s="6">
        <v>19051267</v>
      </c>
      <c r="AH18" s="6">
        <v>661207</v>
      </c>
      <c r="AI18" s="6">
        <v>0</v>
      </c>
      <c r="AJ18" s="6">
        <v>108753098</v>
      </c>
      <c r="AK18" s="6">
        <v>7625536</v>
      </c>
      <c r="AM18" s="6">
        <f t="shared" si="3"/>
        <v>-10229638</v>
      </c>
      <c r="AN18" s="6">
        <f t="shared" si="4"/>
        <v>7115820</v>
      </c>
      <c r="AO18" s="9">
        <f t="shared" si="5"/>
        <v>531407</v>
      </c>
      <c r="AP18" s="6">
        <f t="shared" si="6"/>
        <v>-407508</v>
      </c>
      <c r="AQ18" s="9">
        <f t="shared" si="7"/>
        <v>8918695</v>
      </c>
      <c r="AR18" s="6">
        <f t="shared" si="8"/>
        <v>-39672715</v>
      </c>
      <c r="AS18" s="9">
        <f t="shared" si="9"/>
        <v>19976895</v>
      </c>
      <c r="AT18" s="9">
        <f t="shared" si="10"/>
        <v>-765</v>
      </c>
      <c r="AU18" s="6">
        <f t="shared" si="11"/>
        <v>0</v>
      </c>
      <c r="AV18" s="285">
        <f t="shared" si="12"/>
        <v>258929809</v>
      </c>
    </row>
    <row r="19" spans="1:48">
      <c r="A19" t="s">
        <v>53</v>
      </c>
      <c r="B19">
        <v>23200</v>
      </c>
      <c r="C19" s="6">
        <f>VLOOKUP(B19,'ER Contributions'!A:D,4,FALSE)</f>
        <v>11900774</v>
      </c>
      <c r="D19" s="7">
        <f>VLOOKUP(B19,'ER Contributions'!A:D,3,FALSE)</f>
        <v>8.7352999999999997E-3</v>
      </c>
      <c r="E19" s="9">
        <f>VLOOKUP(B19,'75 - Summary Exhibit'!A:N,3,FALSE)</f>
        <v>232772119</v>
      </c>
      <c r="F19" s="9">
        <f>VLOOKUP(B19,'75 - Summary Exhibit'!A:N,4,FALSE)</f>
        <v>2563277</v>
      </c>
      <c r="G19" s="9">
        <f>VLOOKUP(B19,'75 - Summary Exhibit'!A:N,5,FALSE)</f>
        <v>1859503</v>
      </c>
      <c r="H19" s="9">
        <f>VLOOKUP(B19,'75 - Summary Exhibit'!A:N,6,FALSE)</f>
        <v>25216306</v>
      </c>
      <c r="I19" s="6">
        <f>VLOOKUP(B19,'75 - Summary Exhibit'!A:N,7,FALSE)</f>
        <v>18320274</v>
      </c>
      <c r="J19" s="6">
        <f>VLOOKUP(B19,'75 - Summary Exhibit'!A:N,8,FALSE)</f>
        <v>228070</v>
      </c>
      <c r="K19" s="6">
        <f>VLOOKUP(B19,'75 - Summary Exhibit'!A:N,9,FALSE)</f>
        <v>0</v>
      </c>
      <c r="L19" s="6">
        <f>VLOOKUP(B19,'75 - Summary Exhibit'!A:N,10,FALSE)</f>
        <v>62101723</v>
      </c>
      <c r="M19" s="6">
        <f>VLOOKUP(B19,'75 - Summary Exhibit'!A:N,11,FALSE)</f>
        <v>1147080</v>
      </c>
      <c r="N19" s="6">
        <f>VLOOKUP(B19,'75 - Summary Exhibit'!A:N,12,FALSE)</f>
        <v>-4269220</v>
      </c>
      <c r="O19" s="6">
        <f>VLOOKUP(B19,'75 - Summary Exhibit'!A:N,13,FALSE)</f>
        <v>11986781</v>
      </c>
      <c r="P19" s="6">
        <f t="shared" si="0"/>
        <v>7717561</v>
      </c>
      <c r="Q19" s="6">
        <f>VLOOKUP(B19,'75- Deferred Amortization'!A:G,3,FALSE)</f>
        <v>-4377171</v>
      </c>
      <c r="R19" s="6">
        <f>VLOOKUP(B19,'75- Deferred Amortization'!A:G,4,FALSE)</f>
        <v>-12359295</v>
      </c>
      <c r="S19" s="6">
        <f>VLOOKUP(B19,'75- Deferred Amortization'!A:G,5,FALSE)</f>
        <v>-4284055</v>
      </c>
      <c r="T19" s="6">
        <f>VLOOKUP(B19,'75- Deferred Amortization'!A:G,6,FALSE)</f>
        <v>5503008</v>
      </c>
      <c r="U19" s="6">
        <f>VLOOKUP(B19,'75- Deferred Amortization'!A:G,7,FALSE)</f>
        <v>0</v>
      </c>
      <c r="V19" s="6">
        <f t="shared" si="1"/>
        <v>-1</v>
      </c>
      <c r="W19" s="6">
        <f t="shared" si="2"/>
        <v>0</v>
      </c>
      <c r="X19">
        <v>1</v>
      </c>
      <c r="Z19" s="208">
        <f>VLOOKUP(B19,'Noncap Contr Alloc'!A:C,3,FALSE)</f>
        <v>305793</v>
      </c>
      <c r="AC19" s="9">
        <v>201593584</v>
      </c>
      <c r="AD19" s="9">
        <v>1957207</v>
      </c>
      <c r="AE19" s="9">
        <v>1745713</v>
      </c>
      <c r="AF19" s="9">
        <v>16140186</v>
      </c>
      <c r="AG19" s="6">
        <v>22809098</v>
      </c>
      <c r="AH19" s="6">
        <v>557830</v>
      </c>
      <c r="AI19" s="6">
        <v>0</v>
      </c>
      <c r="AJ19" s="6">
        <v>91749987</v>
      </c>
      <c r="AK19" s="6">
        <v>1529440</v>
      </c>
      <c r="AM19" s="6">
        <f t="shared" si="3"/>
        <v>-4488824</v>
      </c>
      <c r="AN19" s="6">
        <f t="shared" si="4"/>
        <v>-382360</v>
      </c>
      <c r="AO19" s="9">
        <f t="shared" si="5"/>
        <v>606070</v>
      </c>
      <c r="AP19" s="6">
        <f t="shared" si="6"/>
        <v>-329760</v>
      </c>
      <c r="AQ19" s="9">
        <f t="shared" si="7"/>
        <v>9076120</v>
      </c>
      <c r="AR19" s="6">
        <f t="shared" si="8"/>
        <v>-29648264</v>
      </c>
      <c r="AS19" s="9">
        <f t="shared" si="9"/>
        <v>31178535</v>
      </c>
      <c r="AT19" s="9">
        <f t="shared" si="10"/>
        <v>113790</v>
      </c>
      <c r="AU19" s="6">
        <f t="shared" si="11"/>
        <v>0</v>
      </c>
      <c r="AV19" s="285">
        <f t="shared" si="12"/>
        <v>232772119</v>
      </c>
    </row>
    <row r="20" spans="1:48">
      <c r="A20" t="s">
        <v>49</v>
      </c>
      <c r="B20">
        <v>21800</v>
      </c>
      <c r="C20" s="6">
        <f>VLOOKUP(B20,'ER Contributions'!A:D,4,FALSE)</f>
        <v>7846644</v>
      </c>
      <c r="D20" s="7">
        <f>VLOOKUP(B20,'ER Contributions'!A:D,3,FALSE)</f>
        <v>5.6686999999999996E-3</v>
      </c>
      <c r="E20" s="9">
        <f>VLOOKUP(B20,'75 - Summary Exhibit'!A:N,3,FALSE)</f>
        <v>151055149</v>
      </c>
      <c r="F20" s="9">
        <f>VLOOKUP(B20,'75 - Summary Exhibit'!A:N,4,FALSE)</f>
        <v>1663413</v>
      </c>
      <c r="G20" s="9">
        <f>VLOOKUP(B20,'75 - Summary Exhibit'!A:N,5,FALSE)</f>
        <v>1206706</v>
      </c>
      <c r="H20" s="9">
        <f>VLOOKUP(B20,'75 - Summary Exhibit'!A:N,6,FALSE)</f>
        <v>16363871</v>
      </c>
      <c r="I20" s="6">
        <f>VLOOKUP(B20,'75 - Summary Exhibit'!A:N,7,FALSE)</f>
        <v>2619763</v>
      </c>
      <c r="J20" s="6">
        <f>VLOOKUP(B20,'75 - Summary Exhibit'!A:N,8,FALSE)</f>
        <v>148004</v>
      </c>
      <c r="K20" s="6">
        <f>VLOOKUP(B20,'75 - Summary Exhibit'!A:N,9,FALSE)</f>
        <v>0</v>
      </c>
      <c r="L20" s="6">
        <f>VLOOKUP(B20,'75 - Summary Exhibit'!A:N,10,FALSE)</f>
        <v>40300295</v>
      </c>
      <c r="M20" s="6">
        <f>VLOOKUP(B20,'75 - Summary Exhibit'!A:N,11,FALSE)</f>
        <v>4903529</v>
      </c>
      <c r="N20" s="6">
        <f>VLOOKUP(B20,'75 - Summary Exhibit'!A:N,12,FALSE)</f>
        <v>-2770468</v>
      </c>
      <c r="O20" s="6">
        <f>VLOOKUP(B20,'75 - Summary Exhibit'!A:N,13,FALSE)</f>
        <v>3264604</v>
      </c>
      <c r="P20" s="6">
        <f t="shared" si="0"/>
        <v>494136</v>
      </c>
      <c r="Q20" s="6">
        <f>VLOOKUP(B20,'75- Deferred Amortization'!A:G,3,FALSE)</f>
        <v>-8361368</v>
      </c>
      <c r="R20" s="6">
        <f>VLOOKUP(B20,'75- Deferred Amortization'!A:G,4,FALSE)</f>
        <v>-11181458</v>
      </c>
      <c r="S20" s="6">
        <f>VLOOKUP(B20,'75- Deferred Amortization'!A:G,5,FALSE)</f>
        <v>-6044274</v>
      </c>
      <c r="T20" s="6">
        <f>VLOOKUP(B20,'75- Deferred Amortization'!A:G,6,FALSE)</f>
        <v>2089026</v>
      </c>
      <c r="U20" s="6">
        <f>VLOOKUP(B20,'75- Deferred Amortization'!A:G,7,FALSE)</f>
        <v>0</v>
      </c>
      <c r="V20" s="6">
        <f t="shared" si="1"/>
        <v>-1</v>
      </c>
      <c r="W20" s="6">
        <f t="shared" si="2"/>
        <v>-1</v>
      </c>
      <c r="X20">
        <v>1</v>
      </c>
      <c r="Z20" s="208">
        <f>VLOOKUP(B20,'Noncap Contr Alloc'!A:C,3,FALSE)</f>
        <v>198441</v>
      </c>
      <c r="AC20" s="9">
        <v>136364233</v>
      </c>
      <c r="AD20" s="9">
        <v>1323916</v>
      </c>
      <c r="AE20" s="9">
        <v>1180855</v>
      </c>
      <c r="AF20" s="9">
        <v>10917729</v>
      </c>
      <c r="AG20" s="6">
        <v>7365768</v>
      </c>
      <c r="AH20" s="6">
        <v>377334</v>
      </c>
      <c r="AI20" s="6">
        <v>0</v>
      </c>
      <c r="AJ20" s="6">
        <v>62062573</v>
      </c>
      <c r="AK20" s="6">
        <v>4088300</v>
      </c>
      <c r="AM20" s="6">
        <f t="shared" si="3"/>
        <v>-4746005</v>
      </c>
      <c r="AN20" s="6">
        <f t="shared" si="4"/>
        <v>815229</v>
      </c>
      <c r="AO20" s="9">
        <f t="shared" si="5"/>
        <v>339497</v>
      </c>
      <c r="AP20" s="6">
        <f t="shared" si="6"/>
        <v>-229330</v>
      </c>
      <c r="AQ20" s="9">
        <f t="shared" si="7"/>
        <v>5446142</v>
      </c>
      <c r="AR20" s="6">
        <f t="shared" si="8"/>
        <v>-21762278</v>
      </c>
      <c r="AS20" s="9">
        <f t="shared" si="9"/>
        <v>14690916</v>
      </c>
      <c r="AT20" s="9">
        <f t="shared" si="10"/>
        <v>25851</v>
      </c>
      <c r="AU20" s="6">
        <f t="shared" si="11"/>
        <v>0</v>
      </c>
      <c r="AV20" s="285">
        <f t="shared" si="12"/>
        <v>151055149</v>
      </c>
    </row>
    <row r="21" spans="1:48">
      <c r="A21" t="s">
        <v>50</v>
      </c>
      <c r="B21">
        <v>21900</v>
      </c>
      <c r="C21" s="6">
        <f>VLOOKUP(B21,'ER Contributions'!A:D,4,FALSE)</f>
        <v>3802999</v>
      </c>
      <c r="D21" s="7">
        <f>VLOOKUP(B21,'ER Contributions'!A:D,3,FALSE)</f>
        <v>2.5092999999999999E-3</v>
      </c>
      <c r="E21" s="9">
        <f>VLOOKUP(B21,'75 - Summary Exhibit'!A:N,3,FALSE)</f>
        <v>66866432</v>
      </c>
      <c r="F21" s="9">
        <f>VLOOKUP(B21,'75 - Summary Exhibit'!A:N,4,FALSE)</f>
        <v>736330</v>
      </c>
      <c r="G21" s="9">
        <f>VLOOKUP(B21,'75 - Summary Exhibit'!A:N,5,FALSE)</f>
        <v>534163</v>
      </c>
      <c r="H21" s="9">
        <f>VLOOKUP(B21,'75 - Summary Exhibit'!A:N,6,FALSE)</f>
        <v>7243670</v>
      </c>
      <c r="I21" s="6">
        <f>VLOOKUP(B21,'75 - Summary Exhibit'!A:N,7,FALSE)</f>
        <v>0</v>
      </c>
      <c r="J21" s="6">
        <f>VLOOKUP(B21,'75 - Summary Exhibit'!A:N,8,FALSE)</f>
        <v>65516</v>
      </c>
      <c r="K21" s="6">
        <f>VLOOKUP(B21,'75 - Summary Exhibit'!A:N,9,FALSE)</f>
        <v>0</v>
      </c>
      <c r="L21" s="6">
        <f>VLOOKUP(B21,'75 - Summary Exhibit'!A:N,10,FALSE)</f>
        <v>17839424</v>
      </c>
      <c r="M21" s="6">
        <f>VLOOKUP(B21,'75 - Summary Exhibit'!A:N,11,FALSE)</f>
        <v>9266054</v>
      </c>
      <c r="N21" s="6">
        <f>VLOOKUP(B21,'75 - Summary Exhibit'!A:N,12,FALSE)</f>
        <v>-1226383</v>
      </c>
      <c r="O21" s="6">
        <f>VLOOKUP(B21,'75 - Summary Exhibit'!A:N,13,FALSE)</f>
        <v>-3319713</v>
      </c>
      <c r="P21" s="6">
        <f t="shared" si="0"/>
        <v>-4546096</v>
      </c>
      <c r="Q21" s="6">
        <f>VLOOKUP(B21,'75- Deferred Amortization'!A:G,3,FALSE)</f>
        <v>-7935705</v>
      </c>
      <c r="R21" s="6">
        <f>VLOOKUP(B21,'75- Deferred Amortization'!A:G,4,FALSE)</f>
        <v>-7628157</v>
      </c>
      <c r="S21" s="6">
        <f>VLOOKUP(B21,'75- Deferred Amortization'!A:G,5,FALSE)</f>
        <v>-4031102</v>
      </c>
      <c r="T21" s="6">
        <f>VLOOKUP(B21,'75- Deferred Amortization'!A:G,6,FALSE)</f>
        <v>938133</v>
      </c>
      <c r="U21" s="6">
        <f>VLOOKUP(B21,'75- Deferred Amortization'!A:G,7,FALSE)</f>
        <v>0</v>
      </c>
      <c r="V21" s="6">
        <f t="shared" si="1"/>
        <v>-1</v>
      </c>
      <c r="W21" s="6">
        <f t="shared" si="2"/>
        <v>0</v>
      </c>
      <c r="X21">
        <v>1</v>
      </c>
      <c r="Z21" s="208">
        <f>VLOOKUP(B21,'Noncap Contr Alloc'!A:C,3,FALSE)</f>
        <v>87842</v>
      </c>
      <c r="AC21" s="9">
        <v>60556469</v>
      </c>
      <c r="AD21" s="9">
        <v>587923</v>
      </c>
      <c r="AE21" s="9">
        <v>524393</v>
      </c>
      <c r="AF21" s="9">
        <v>4848332</v>
      </c>
      <c r="AG21" s="6">
        <v>818826</v>
      </c>
      <c r="AH21" s="6">
        <v>167566</v>
      </c>
      <c r="AI21" s="6">
        <v>0</v>
      </c>
      <c r="AJ21" s="6">
        <v>27560675</v>
      </c>
      <c r="AK21" s="6">
        <v>12454963</v>
      </c>
      <c r="AM21" s="6">
        <f t="shared" si="3"/>
        <v>-818826</v>
      </c>
      <c r="AN21" s="6">
        <f t="shared" si="4"/>
        <v>-3188909</v>
      </c>
      <c r="AO21" s="9">
        <f t="shared" si="5"/>
        <v>148407</v>
      </c>
      <c r="AP21" s="6">
        <f t="shared" si="6"/>
        <v>-102050</v>
      </c>
      <c r="AQ21" s="9">
        <f t="shared" si="7"/>
        <v>2395338</v>
      </c>
      <c r="AR21" s="6">
        <f t="shared" si="8"/>
        <v>-9721251</v>
      </c>
      <c r="AS21" s="9">
        <f t="shared" si="9"/>
        <v>6309963</v>
      </c>
      <c r="AT21" s="9">
        <f t="shared" si="10"/>
        <v>9770</v>
      </c>
      <c r="AU21" s="6">
        <f t="shared" si="11"/>
        <v>0</v>
      </c>
      <c r="AV21" s="285">
        <f t="shared" si="12"/>
        <v>66866432</v>
      </c>
    </row>
    <row r="22" spans="1:48">
      <c r="A22" t="s">
        <v>54</v>
      </c>
      <c r="B22">
        <v>30105</v>
      </c>
      <c r="C22" s="6">
        <f>VLOOKUP(B22,'ER Contributions'!A:D,4,FALSE)</f>
        <v>1030658</v>
      </c>
      <c r="D22" s="7">
        <f>VLOOKUP(B22,'ER Contributions'!A:D,3,FALSE)</f>
        <v>6.8590000000000003E-4</v>
      </c>
      <c r="E22" s="9">
        <f>VLOOKUP(B22,'75 - Summary Exhibit'!A:N,3,FALSE)</f>
        <v>18276223</v>
      </c>
      <c r="F22" s="9">
        <f>VLOOKUP(B22,'75 - Summary Exhibit'!A:N,4,FALSE)</f>
        <v>201257</v>
      </c>
      <c r="G22" s="9">
        <f>VLOOKUP(B22,'75 - Summary Exhibit'!A:N,5,FALSE)</f>
        <v>146000</v>
      </c>
      <c r="H22" s="9">
        <f>VLOOKUP(B22,'75 - Summary Exhibit'!A:N,6,FALSE)</f>
        <v>1979871</v>
      </c>
      <c r="I22" s="6">
        <f>VLOOKUP(B22,'75 - Summary Exhibit'!A:N,7,FALSE)</f>
        <v>283356</v>
      </c>
      <c r="J22" s="6">
        <f>VLOOKUP(B22,'75 - Summary Exhibit'!A:N,8,FALSE)</f>
        <v>17907</v>
      </c>
      <c r="K22" s="6">
        <f>VLOOKUP(B22,'75 - Summary Exhibit'!A:N,9,FALSE)</f>
        <v>0</v>
      </c>
      <c r="L22" s="6">
        <f>VLOOKUP(B22,'75 - Summary Exhibit'!A:N,10,FALSE)</f>
        <v>4875949</v>
      </c>
      <c r="M22" s="6">
        <f>VLOOKUP(B22,'75 - Summary Exhibit'!A:N,11,FALSE)</f>
        <v>1194216</v>
      </c>
      <c r="N22" s="6">
        <f>VLOOKUP(B22,'75 - Summary Exhibit'!A:N,12,FALSE)</f>
        <v>-335201</v>
      </c>
      <c r="O22" s="6">
        <f>VLOOKUP(B22,'75 - Summary Exhibit'!A:N,13,FALSE)</f>
        <v>-204517</v>
      </c>
      <c r="P22" s="6">
        <f t="shared" si="0"/>
        <v>-539718</v>
      </c>
      <c r="Q22" s="6">
        <f>VLOOKUP(B22,'75- Deferred Amortization'!A:G,3,FALSE)</f>
        <v>-1572661</v>
      </c>
      <c r="R22" s="6">
        <f>VLOOKUP(B22,'75- Deferred Amortization'!A:G,4,FALSE)</f>
        <v>-1619367</v>
      </c>
      <c r="S22" s="6">
        <f>VLOOKUP(B22,'75- Deferred Amortization'!A:G,5,FALSE)</f>
        <v>-550449</v>
      </c>
      <c r="T22" s="6">
        <f>VLOOKUP(B22,'75- Deferred Amortization'!A:G,6,FALSE)</f>
        <v>264889</v>
      </c>
      <c r="U22" s="6">
        <f>VLOOKUP(B22,'75- Deferred Amortization'!A:G,7,FALSE)</f>
        <v>0</v>
      </c>
      <c r="V22" s="6">
        <f t="shared" si="1"/>
        <v>-2</v>
      </c>
      <c r="W22" s="6">
        <f t="shared" si="2"/>
        <v>0</v>
      </c>
      <c r="X22">
        <v>2</v>
      </c>
      <c r="Z22" s="208">
        <f>VLOOKUP(B22,'Noncap Contr Alloc'!A:C,3,FALSE)</f>
        <v>24009</v>
      </c>
      <c r="AC22" s="9">
        <v>16513917</v>
      </c>
      <c r="AD22" s="9">
        <v>160328</v>
      </c>
      <c r="AE22" s="9">
        <v>143003</v>
      </c>
      <c r="AF22" s="9">
        <v>1322154</v>
      </c>
      <c r="AG22" s="6">
        <v>708092</v>
      </c>
      <c r="AH22" s="6">
        <v>45696</v>
      </c>
      <c r="AI22" s="6">
        <v>0</v>
      </c>
      <c r="AJ22" s="6">
        <v>7515872</v>
      </c>
      <c r="AK22" s="6">
        <v>1606286</v>
      </c>
      <c r="AM22" s="6">
        <f t="shared" si="3"/>
        <v>-424736</v>
      </c>
      <c r="AN22" s="6">
        <f t="shared" si="4"/>
        <v>-412070</v>
      </c>
      <c r="AO22" s="9">
        <f t="shared" si="5"/>
        <v>40929</v>
      </c>
      <c r="AP22" s="6">
        <f t="shared" si="6"/>
        <v>-27789</v>
      </c>
      <c r="AQ22" s="9">
        <f t="shared" si="7"/>
        <v>657717</v>
      </c>
      <c r="AR22" s="6">
        <f t="shared" si="8"/>
        <v>-2639923</v>
      </c>
      <c r="AS22" s="9">
        <f t="shared" si="9"/>
        <v>1762306</v>
      </c>
      <c r="AT22" s="9">
        <f t="shared" si="10"/>
        <v>2997</v>
      </c>
      <c r="AU22" s="6">
        <f t="shared" si="11"/>
        <v>0</v>
      </c>
      <c r="AV22" s="285">
        <f t="shared" si="12"/>
        <v>18276223</v>
      </c>
    </row>
    <row r="23" spans="1:48">
      <c r="A23" t="s">
        <v>59</v>
      </c>
      <c r="B23">
        <v>31105</v>
      </c>
      <c r="C23" s="6">
        <f>VLOOKUP(B23,'ER Contributions'!A:D,4,FALSE)</f>
        <v>1843473</v>
      </c>
      <c r="D23" s="7">
        <f>VLOOKUP(B23,'ER Contributions'!A:D,3,FALSE)</f>
        <v>1.2718E-3</v>
      </c>
      <c r="E23" s="9">
        <f>VLOOKUP(B23,'75 - Summary Exhibit'!A:N,3,FALSE)</f>
        <v>33889101</v>
      </c>
      <c r="F23" s="9">
        <f>VLOOKUP(B23,'75 - Summary Exhibit'!A:N,4,FALSE)</f>
        <v>373185</v>
      </c>
      <c r="G23" s="9">
        <f>VLOOKUP(B23,'75 - Summary Exhibit'!A:N,5,FALSE)</f>
        <v>270724</v>
      </c>
      <c r="H23" s="9">
        <f>VLOOKUP(B23,'75 - Summary Exhibit'!A:N,6,FALSE)</f>
        <v>3671221</v>
      </c>
      <c r="I23" s="6">
        <f>VLOOKUP(B23,'75 - Summary Exhibit'!A:N,7,FALSE)</f>
        <v>376275</v>
      </c>
      <c r="J23" s="6">
        <f>VLOOKUP(B23,'75 - Summary Exhibit'!A:N,8,FALSE)</f>
        <v>33205</v>
      </c>
      <c r="K23" s="6">
        <f>VLOOKUP(B23,'75 - Summary Exhibit'!A:N,9,FALSE)</f>
        <v>0</v>
      </c>
      <c r="L23" s="6">
        <f>VLOOKUP(B23,'75 - Summary Exhibit'!A:N,10,FALSE)</f>
        <v>9041339</v>
      </c>
      <c r="M23" s="6">
        <f>VLOOKUP(B23,'75 - Summary Exhibit'!A:N,11,FALSE)</f>
        <v>1511437</v>
      </c>
      <c r="N23" s="6">
        <f>VLOOKUP(B23,'75 - Summary Exhibit'!A:N,12,FALSE)</f>
        <v>-621551</v>
      </c>
      <c r="O23" s="6">
        <f>VLOOKUP(B23,'75 - Summary Exhibit'!A:N,13,FALSE)</f>
        <v>-97893</v>
      </c>
      <c r="P23" s="6">
        <f t="shared" si="0"/>
        <v>-719444</v>
      </c>
      <c r="Q23" s="6">
        <f>VLOOKUP(B23,'75- Deferred Amortization'!A:G,3,FALSE)</f>
        <v>-2614762</v>
      </c>
      <c r="R23" s="6">
        <f>VLOOKUP(B23,'75- Deferred Amortization'!A:G,4,FALSE)</f>
        <v>-2751970</v>
      </c>
      <c r="S23" s="6">
        <f>VLOOKUP(B23,'75- Deferred Amortization'!A:G,5,FALSE)</f>
        <v>-1122945</v>
      </c>
      <c r="T23" s="6">
        <f>VLOOKUP(B23,'75- Deferred Amortization'!A:G,6,FALSE)</f>
        <v>595103</v>
      </c>
      <c r="U23" s="6">
        <f>VLOOKUP(B23,'75- Deferred Amortization'!A:G,7,FALSE)</f>
        <v>0</v>
      </c>
      <c r="V23" s="6">
        <f t="shared" si="1"/>
        <v>0</v>
      </c>
      <c r="W23" s="6">
        <f t="shared" si="2"/>
        <v>-2</v>
      </c>
      <c r="X23">
        <v>2</v>
      </c>
      <c r="Z23" s="208">
        <f>VLOOKUP(B23,'Noncap Contr Alloc'!A:C,3,FALSE)</f>
        <v>44520</v>
      </c>
      <c r="AC23" s="9">
        <v>30189316</v>
      </c>
      <c r="AD23" s="9">
        <v>293098</v>
      </c>
      <c r="AE23" s="9">
        <v>261426</v>
      </c>
      <c r="AF23" s="9">
        <v>2417047</v>
      </c>
      <c r="AG23" s="6">
        <v>969395</v>
      </c>
      <c r="AH23" s="6">
        <v>83537</v>
      </c>
      <c r="AI23" s="6">
        <v>0</v>
      </c>
      <c r="AJ23" s="6">
        <v>13739868</v>
      </c>
      <c r="AK23" s="6">
        <v>2319359</v>
      </c>
      <c r="AM23" s="6">
        <f t="shared" si="3"/>
        <v>-593120</v>
      </c>
      <c r="AN23" s="6">
        <f t="shared" si="4"/>
        <v>-807922</v>
      </c>
      <c r="AO23" s="9">
        <f t="shared" si="5"/>
        <v>80087</v>
      </c>
      <c r="AP23" s="6">
        <f t="shared" si="6"/>
        <v>-50332</v>
      </c>
      <c r="AQ23" s="9">
        <f t="shared" si="7"/>
        <v>1254174</v>
      </c>
      <c r="AR23" s="6">
        <f t="shared" si="8"/>
        <v>-4698529</v>
      </c>
      <c r="AS23" s="9">
        <f t="shared" si="9"/>
        <v>3699785</v>
      </c>
      <c r="AT23" s="9">
        <f t="shared" si="10"/>
        <v>9298</v>
      </c>
      <c r="AU23" s="6">
        <f t="shared" si="11"/>
        <v>0</v>
      </c>
      <c r="AV23" s="285">
        <f t="shared" si="12"/>
        <v>33889101</v>
      </c>
    </row>
    <row r="24" spans="1:48">
      <c r="A24" t="s">
        <v>56</v>
      </c>
      <c r="B24">
        <v>30705</v>
      </c>
      <c r="C24" s="6">
        <f>VLOOKUP(B24,'ER Contributions'!A:D,4,FALSE)</f>
        <v>609581</v>
      </c>
      <c r="D24" s="7">
        <f>VLOOKUP(B24,'ER Contributions'!A:D,3,FALSE)</f>
        <v>4.2739999999999998E-4</v>
      </c>
      <c r="E24" s="9">
        <f>VLOOKUP(B24,'75 - Summary Exhibit'!A:N,3,FALSE)</f>
        <v>11389560</v>
      </c>
      <c r="F24" s="9">
        <f>VLOOKUP(B24,'75 - Summary Exhibit'!A:N,4,FALSE)</f>
        <v>125421</v>
      </c>
      <c r="G24" s="9">
        <f>VLOOKUP(B24,'75 - Summary Exhibit'!A:N,5,FALSE)</f>
        <v>90986</v>
      </c>
      <c r="H24" s="9">
        <f>VLOOKUP(B24,'75 - Summary Exhibit'!A:N,6,FALSE)</f>
        <v>1233836</v>
      </c>
      <c r="I24" s="6">
        <f>VLOOKUP(B24,'75 - Summary Exhibit'!A:N,7,FALSE)</f>
        <v>658198</v>
      </c>
      <c r="J24" s="6">
        <f>VLOOKUP(B24,'75 - Summary Exhibit'!A:N,8,FALSE)</f>
        <v>11159</v>
      </c>
      <c r="K24" s="6">
        <f>VLOOKUP(B24,'75 - Summary Exhibit'!A:N,9,FALSE)</f>
        <v>0</v>
      </c>
      <c r="L24" s="6">
        <f>VLOOKUP(B24,'75 - Summary Exhibit'!A:N,10,FALSE)</f>
        <v>3038643</v>
      </c>
      <c r="M24" s="6">
        <f>VLOOKUP(B24,'75 - Summary Exhibit'!A:N,11,FALSE)</f>
        <v>125465</v>
      </c>
      <c r="N24" s="6">
        <f>VLOOKUP(B24,'75 - Summary Exhibit'!A:N,12,FALSE)</f>
        <v>-208893</v>
      </c>
      <c r="O24" s="6">
        <f>VLOOKUP(B24,'75 - Summary Exhibit'!A:N,13,FALSE)</f>
        <v>116159</v>
      </c>
      <c r="P24" s="6">
        <f t="shared" si="0"/>
        <v>-92734</v>
      </c>
      <c r="Q24" s="6">
        <f>VLOOKUP(B24,'75- Deferred Amortization'!A:G,3,FALSE)</f>
        <v>-544434</v>
      </c>
      <c r="R24" s="6">
        <f>VLOOKUP(B24,'75- Deferred Amortization'!A:G,4,FALSE)</f>
        <v>-635341</v>
      </c>
      <c r="S24" s="6">
        <f>VLOOKUP(B24,'75- Deferred Amortization'!A:G,5,FALSE)</f>
        <v>-197002</v>
      </c>
      <c r="T24" s="6">
        <f>VLOOKUP(B24,'75- Deferred Amortization'!A:G,6,FALSE)</f>
        <v>309951</v>
      </c>
      <c r="U24" s="6">
        <f>VLOOKUP(B24,'75- Deferred Amortization'!A:G,7,FALSE)</f>
        <v>0</v>
      </c>
      <c r="V24" s="6">
        <f t="shared" si="1"/>
        <v>1</v>
      </c>
      <c r="W24" s="6">
        <f t="shared" si="2"/>
        <v>0</v>
      </c>
      <c r="X24">
        <v>2</v>
      </c>
      <c r="Z24" s="208">
        <f>VLOOKUP(B24,'Noncap Contr Alloc'!A:C,3,FALSE)</f>
        <v>14962</v>
      </c>
      <c r="AC24" s="9">
        <v>9734407</v>
      </c>
      <c r="AD24" s="9">
        <v>94508</v>
      </c>
      <c r="AE24" s="9">
        <v>84296</v>
      </c>
      <c r="AF24" s="9">
        <v>779366</v>
      </c>
      <c r="AG24" s="6">
        <v>263114</v>
      </c>
      <c r="AH24" s="6">
        <v>26936</v>
      </c>
      <c r="AI24" s="6">
        <v>0</v>
      </c>
      <c r="AJ24" s="6">
        <v>4430358</v>
      </c>
      <c r="AK24" s="6">
        <v>203247</v>
      </c>
      <c r="AM24" s="6">
        <f t="shared" si="3"/>
        <v>395084</v>
      </c>
      <c r="AN24" s="6">
        <f t="shared" si="4"/>
        <v>-77782</v>
      </c>
      <c r="AO24" s="9">
        <f t="shared" si="5"/>
        <v>30913</v>
      </c>
      <c r="AP24" s="6">
        <f t="shared" si="6"/>
        <v>-15777</v>
      </c>
      <c r="AQ24" s="9">
        <f t="shared" si="7"/>
        <v>454470</v>
      </c>
      <c r="AR24" s="6">
        <f t="shared" si="8"/>
        <v>-1391715</v>
      </c>
      <c r="AS24" s="9">
        <f t="shared" si="9"/>
        <v>1655153</v>
      </c>
      <c r="AT24" s="9">
        <f t="shared" si="10"/>
        <v>6690</v>
      </c>
      <c r="AU24" s="6">
        <f t="shared" si="11"/>
        <v>0</v>
      </c>
      <c r="AV24" s="285">
        <f t="shared" si="12"/>
        <v>11389560</v>
      </c>
    </row>
    <row r="25" spans="1:48">
      <c r="A25" t="s">
        <v>57</v>
      </c>
      <c r="B25">
        <v>30905</v>
      </c>
      <c r="C25" s="6">
        <f>VLOOKUP(B25,'ER Contributions'!A:D,4,FALSE)</f>
        <v>415157</v>
      </c>
      <c r="D25" s="7">
        <f>VLOOKUP(B25,'ER Contributions'!A:D,3,FALSE)</f>
        <v>2.285E-4</v>
      </c>
      <c r="E25" s="9">
        <f>VLOOKUP(B25,'75 - Summary Exhibit'!A:N,3,FALSE)</f>
        <v>6087807</v>
      </c>
      <c r="F25" s="9">
        <f>VLOOKUP(B25,'75 - Summary Exhibit'!A:N,4,FALSE)</f>
        <v>67039</v>
      </c>
      <c r="G25" s="9">
        <f>VLOOKUP(B25,'75 - Summary Exhibit'!A:N,5,FALSE)</f>
        <v>48633</v>
      </c>
      <c r="H25" s="9">
        <f>VLOOKUP(B25,'75 - Summary Exhibit'!A:N,6,FALSE)</f>
        <v>659495</v>
      </c>
      <c r="I25" s="6">
        <f>VLOOKUP(B25,'75 - Summary Exhibit'!A:N,7,FALSE)</f>
        <v>4684</v>
      </c>
      <c r="J25" s="6">
        <f>VLOOKUP(B25,'75 - Summary Exhibit'!A:N,8,FALSE)</f>
        <v>5965</v>
      </c>
      <c r="K25" s="6">
        <f>VLOOKUP(B25,'75 - Summary Exhibit'!A:N,9,FALSE)</f>
        <v>0</v>
      </c>
      <c r="L25" s="6">
        <f>VLOOKUP(B25,'75 - Summary Exhibit'!A:N,10,FALSE)</f>
        <v>1624178</v>
      </c>
      <c r="M25" s="6">
        <f>VLOOKUP(B25,'75 - Summary Exhibit'!A:N,11,FALSE)</f>
        <v>569446</v>
      </c>
      <c r="N25" s="6">
        <f>VLOOKUP(B25,'75 - Summary Exhibit'!A:N,12,FALSE)</f>
        <v>-111654</v>
      </c>
      <c r="O25" s="6">
        <f>VLOOKUP(B25,'75 - Summary Exhibit'!A:N,13,FALSE)</f>
        <v>-97704</v>
      </c>
      <c r="P25" s="6">
        <f t="shared" si="0"/>
        <v>-209358</v>
      </c>
      <c r="Q25" s="6">
        <f>VLOOKUP(B25,'75- Deferred Amortization'!A:G,3,FALSE)</f>
        <v>-516655</v>
      </c>
      <c r="R25" s="6">
        <f>VLOOKUP(B25,'75- Deferred Amortization'!A:G,4,FALSE)</f>
        <v>-587251</v>
      </c>
      <c r="S25" s="6">
        <f>VLOOKUP(B25,'75- Deferred Amortization'!A:G,5,FALSE)</f>
        <v>-370039</v>
      </c>
      <c r="T25" s="6">
        <f>VLOOKUP(B25,'75- Deferred Amortization'!A:G,6,FALSE)</f>
        <v>54207</v>
      </c>
      <c r="U25" s="6">
        <f>VLOOKUP(B25,'75- Deferred Amortization'!A:G,7,FALSE)</f>
        <v>0</v>
      </c>
      <c r="V25" s="6">
        <f t="shared" si="1"/>
        <v>2</v>
      </c>
      <c r="W25" s="6">
        <f t="shared" si="2"/>
        <v>0</v>
      </c>
      <c r="X25">
        <v>2</v>
      </c>
      <c r="Z25" s="208">
        <f>VLOOKUP(B25,'Noncap Contr Alloc'!A:C,3,FALSE)</f>
        <v>7998</v>
      </c>
      <c r="AC25" s="9">
        <v>5678782</v>
      </c>
      <c r="AD25" s="9">
        <v>55133</v>
      </c>
      <c r="AE25" s="9">
        <v>49176</v>
      </c>
      <c r="AF25" s="9">
        <v>454660</v>
      </c>
      <c r="AG25" s="6">
        <v>82609</v>
      </c>
      <c r="AH25" s="6">
        <v>15714</v>
      </c>
      <c r="AI25" s="6">
        <v>0</v>
      </c>
      <c r="AJ25" s="6">
        <v>2584547</v>
      </c>
      <c r="AK25" s="6">
        <v>502595</v>
      </c>
      <c r="AM25" s="6">
        <f t="shared" si="3"/>
        <v>-77925</v>
      </c>
      <c r="AN25" s="6">
        <f t="shared" si="4"/>
        <v>66851</v>
      </c>
      <c r="AO25" s="9">
        <f t="shared" si="5"/>
        <v>11906</v>
      </c>
      <c r="AP25" s="6">
        <f t="shared" si="6"/>
        <v>-9749</v>
      </c>
      <c r="AQ25" s="9">
        <f t="shared" si="7"/>
        <v>204835</v>
      </c>
      <c r="AR25" s="6">
        <f t="shared" si="8"/>
        <v>-960369</v>
      </c>
      <c r="AS25" s="9">
        <f t="shared" si="9"/>
        <v>409025</v>
      </c>
      <c r="AT25" s="9">
        <f t="shared" si="10"/>
        <v>-543</v>
      </c>
      <c r="AU25" s="6">
        <f t="shared" si="11"/>
        <v>0</v>
      </c>
      <c r="AV25" s="285">
        <f t="shared" si="12"/>
        <v>6087807</v>
      </c>
    </row>
    <row r="26" spans="1:48">
      <c r="A26" t="s">
        <v>78</v>
      </c>
      <c r="B26">
        <v>34505</v>
      </c>
      <c r="C26" s="6">
        <f>VLOOKUP(B26,'ER Contributions'!A:D,4,FALSE)</f>
        <v>898644</v>
      </c>
      <c r="D26" s="7">
        <f>VLOOKUP(B26,'ER Contributions'!A:D,3,FALSE)</f>
        <v>5.8980000000000002E-4</v>
      </c>
      <c r="E26" s="9">
        <f>VLOOKUP(B26,'75 - Summary Exhibit'!A:N,3,FALSE)</f>
        <v>15716921</v>
      </c>
      <c r="F26" s="9">
        <f>VLOOKUP(B26,'75 - Summary Exhibit'!A:N,4,FALSE)</f>
        <v>173074</v>
      </c>
      <c r="G26" s="9">
        <f>VLOOKUP(B26,'75 - Summary Exhibit'!A:N,5,FALSE)</f>
        <v>125555</v>
      </c>
      <c r="H26" s="9">
        <f>VLOOKUP(B26,'75 - Summary Exhibit'!A:N,6,FALSE)</f>
        <v>1702621</v>
      </c>
      <c r="I26" s="6">
        <f>VLOOKUP(B26,'75 - Summary Exhibit'!A:N,7,FALSE)</f>
        <v>854525</v>
      </c>
      <c r="J26" s="6">
        <f>VLOOKUP(B26,'75 - Summary Exhibit'!A:N,8,FALSE)</f>
        <v>15399</v>
      </c>
      <c r="K26" s="6">
        <f>VLOOKUP(B26,'75 - Summary Exhibit'!A:N,9,FALSE)</f>
        <v>0</v>
      </c>
      <c r="L26" s="6">
        <f>VLOOKUP(B26,'75 - Summary Exhibit'!A:N,10,FALSE)</f>
        <v>4193148</v>
      </c>
      <c r="M26" s="6">
        <f>VLOOKUP(B26,'75 - Summary Exhibit'!A:N,11,FALSE)</f>
        <v>148004</v>
      </c>
      <c r="N26" s="6">
        <f>VLOOKUP(B26,'75 - Summary Exhibit'!A:N,12,FALSE)</f>
        <v>-288261</v>
      </c>
      <c r="O26" s="6">
        <f>VLOOKUP(B26,'75 - Summary Exhibit'!A:N,13,FALSE)</f>
        <v>493302</v>
      </c>
      <c r="P26" s="6">
        <f t="shared" si="0"/>
        <v>205041</v>
      </c>
      <c r="Q26" s="6">
        <f>VLOOKUP(B26,'75- Deferred Amortization'!A:G,3,FALSE)</f>
        <v>-736320</v>
      </c>
      <c r="R26" s="6">
        <f>VLOOKUP(B26,'75- Deferred Amortization'!A:G,4,FALSE)</f>
        <v>-758481</v>
      </c>
      <c r="S26" s="6">
        <f>VLOOKUP(B26,'75- Deferred Amortization'!A:G,5,FALSE)</f>
        <v>-314388</v>
      </c>
      <c r="T26" s="6">
        <f>VLOOKUP(B26,'75- Deferred Amortization'!A:G,6,FALSE)</f>
        <v>308413</v>
      </c>
      <c r="U26" s="6">
        <f>VLOOKUP(B26,'75- Deferred Amortization'!A:G,7,FALSE)</f>
        <v>0</v>
      </c>
      <c r="V26" s="6">
        <f t="shared" si="1"/>
        <v>0</v>
      </c>
      <c r="W26" s="6">
        <f t="shared" si="2"/>
        <v>0</v>
      </c>
      <c r="X26">
        <v>2</v>
      </c>
      <c r="Z26" s="208">
        <f>VLOOKUP(B26,'Noncap Contr Alloc'!A:C,3,FALSE)</f>
        <v>20647</v>
      </c>
      <c r="AC26" s="9">
        <v>13913952</v>
      </c>
      <c r="AD26" s="9">
        <v>135086</v>
      </c>
      <c r="AE26" s="9">
        <v>120489</v>
      </c>
      <c r="AF26" s="9">
        <v>1113993</v>
      </c>
      <c r="AG26" s="6">
        <v>1279513</v>
      </c>
      <c r="AH26" s="6">
        <v>38501</v>
      </c>
      <c r="AI26" s="6">
        <v>0</v>
      </c>
      <c r="AJ26" s="6">
        <v>6332567</v>
      </c>
      <c r="AK26" s="6">
        <v>296008</v>
      </c>
      <c r="AM26" s="6">
        <f t="shared" si="3"/>
        <v>-424988</v>
      </c>
      <c r="AN26" s="6">
        <f t="shared" si="4"/>
        <v>-148004</v>
      </c>
      <c r="AO26" s="9">
        <f t="shared" si="5"/>
        <v>37988</v>
      </c>
      <c r="AP26" s="6">
        <f t="shared" si="6"/>
        <v>-23102</v>
      </c>
      <c r="AQ26" s="9">
        <f t="shared" si="7"/>
        <v>588628</v>
      </c>
      <c r="AR26" s="6">
        <f t="shared" si="8"/>
        <v>-2139419</v>
      </c>
      <c r="AS26" s="9">
        <f t="shared" si="9"/>
        <v>1802969</v>
      </c>
      <c r="AT26" s="9">
        <f t="shared" si="10"/>
        <v>5066</v>
      </c>
      <c r="AU26" s="6">
        <f t="shared" si="11"/>
        <v>0</v>
      </c>
      <c r="AV26" s="285">
        <f t="shared" si="12"/>
        <v>15716921</v>
      </c>
    </row>
    <row r="27" spans="1:48">
      <c r="A27" t="s">
        <v>58</v>
      </c>
      <c r="B27">
        <v>31005</v>
      </c>
      <c r="C27" s="6">
        <f>VLOOKUP(B27,'ER Contributions'!A:D,4,FALSE)</f>
        <v>608182</v>
      </c>
      <c r="D27" s="7">
        <f>VLOOKUP(B27,'ER Contributions'!A:D,3,FALSE)</f>
        <v>4.0190000000000001E-4</v>
      </c>
      <c r="E27" s="9">
        <f>VLOOKUP(B27,'75 - Summary Exhibit'!A:N,3,FALSE)</f>
        <v>10708711</v>
      </c>
      <c r="F27" s="9">
        <f>VLOOKUP(B27,'75 - Summary Exhibit'!A:N,4,FALSE)</f>
        <v>117924</v>
      </c>
      <c r="G27" s="9">
        <f>VLOOKUP(B27,'75 - Summary Exhibit'!A:N,5,FALSE)</f>
        <v>85547</v>
      </c>
      <c r="H27" s="9">
        <f>VLOOKUP(B27,'75 - Summary Exhibit'!A:N,6,FALSE)</f>
        <v>1160079</v>
      </c>
      <c r="I27" s="6">
        <f>VLOOKUP(B27,'75 - Summary Exhibit'!A:N,7,FALSE)</f>
        <v>916091</v>
      </c>
      <c r="J27" s="6">
        <f>VLOOKUP(B27,'75 - Summary Exhibit'!A:N,8,FALSE)</f>
        <v>10492</v>
      </c>
      <c r="K27" s="6">
        <f>VLOOKUP(B27,'75 - Summary Exhibit'!A:N,9,FALSE)</f>
        <v>0</v>
      </c>
      <c r="L27" s="6">
        <f>VLOOKUP(B27,'75 - Summary Exhibit'!A:N,10,FALSE)</f>
        <v>2856998</v>
      </c>
      <c r="M27" s="6">
        <f>VLOOKUP(B27,'75 - Summary Exhibit'!A:N,11,FALSE)</f>
        <v>211747</v>
      </c>
      <c r="N27" s="6">
        <f>VLOOKUP(B27,'75 - Summary Exhibit'!A:N,12,FALSE)</f>
        <v>-196406</v>
      </c>
      <c r="O27" s="6">
        <f>VLOOKUP(B27,'75 - Summary Exhibit'!A:N,13,FALSE)</f>
        <v>157066</v>
      </c>
      <c r="P27" s="6">
        <f t="shared" si="0"/>
        <v>-39340</v>
      </c>
      <c r="Q27" s="6">
        <f>VLOOKUP(B27,'75- Deferred Amortization'!A:G,3,FALSE)</f>
        <v>-446438</v>
      </c>
      <c r="R27" s="6">
        <f>VLOOKUP(B27,'75- Deferred Amortization'!A:G,4,FALSE)</f>
        <v>-547195</v>
      </c>
      <c r="S27" s="6">
        <f>VLOOKUP(B27,'75- Deferred Amortization'!A:G,5,FALSE)</f>
        <v>-77273</v>
      </c>
      <c r="T27" s="6">
        <f>VLOOKUP(B27,'75- Deferred Amortization'!A:G,6,FALSE)</f>
        <v>271310</v>
      </c>
      <c r="U27" s="6">
        <f>VLOOKUP(B27,'75- Deferred Amortization'!A:G,7,FALSE)</f>
        <v>0</v>
      </c>
      <c r="V27" s="6">
        <f t="shared" si="1"/>
        <v>0</v>
      </c>
      <c r="W27" s="6">
        <f t="shared" si="2"/>
        <v>0</v>
      </c>
      <c r="X27">
        <v>2</v>
      </c>
      <c r="Z27" s="208">
        <f>VLOOKUP(B27,'Noncap Contr Alloc'!A:C,3,FALSE)</f>
        <v>14068</v>
      </c>
      <c r="AC27" s="9">
        <v>9252248</v>
      </c>
      <c r="AD27" s="9">
        <v>89827</v>
      </c>
      <c r="AE27" s="9">
        <v>80120</v>
      </c>
      <c r="AF27" s="9">
        <v>740763</v>
      </c>
      <c r="AG27" s="6">
        <v>737988</v>
      </c>
      <c r="AH27" s="6">
        <v>25602</v>
      </c>
      <c r="AI27" s="6">
        <v>0</v>
      </c>
      <c r="AJ27" s="6">
        <v>4210916</v>
      </c>
      <c r="AK27" s="6">
        <v>329829</v>
      </c>
      <c r="AM27" s="6">
        <f t="shared" si="3"/>
        <v>178103</v>
      </c>
      <c r="AN27" s="6">
        <f t="shared" si="4"/>
        <v>-118082</v>
      </c>
      <c r="AO27" s="9">
        <f t="shared" si="5"/>
        <v>28097</v>
      </c>
      <c r="AP27" s="6">
        <f t="shared" si="6"/>
        <v>-15110</v>
      </c>
      <c r="AQ27" s="9">
        <f t="shared" si="7"/>
        <v>419316</v>
      </c>
      <c r="AR27" s="6">
        <f t="shared" si="8"/>
        <v>-1353918</v>
      </c>
      <c r="AS27" s="9">
        <f t="shared" si="9"/>
        <v>1456463</v>
      </c>
      <c r="AT27" s="9">
        <f t="shared" si="10"/>
        <v>5427</v>
      </c>
      <c r="AU27" s="6">
        <f t="shared" si="11"/>
        <v>0</v>
      </c>
      <c r="AV27" s="285">
        <f t="shared" si="12"/>
        <v>10708711</v>
      </c>
    </row>
    <row r="28" spans="1:48">
      <c r="A28" t="s">
        <v>61</v>
      </c>
      <c r="B28">
        <v>31405</v>
      </c>
      <c r="C28" s="6">
        <f>VLOOKUP(B28,'ER Contributions'!A:D,4,FALSE)</f>
        <v>1255426</v>
      </c>
      <c r="D28" s="7">
        <f>VLOOKUP(B28,'ER Contributions'!A:D,3,FALSE)</f>
        <v>7.7050000000000003E-4</v>
      </c>
      <c r="E28" s="9">
        <f>VLOOKUP(B28,'75 - Summary Exhibit'!A:N,3,FALSE)</f>
        <v>20530821</v>
      </c>
      <c r="F28" s="9">
        <f>VLOOKUP(B28,'75 - Summary Exhibit'!A:N,4,FALSE)</f>
        <v>226085</v>
      </c>
      <c r="G28" s="9">
        <f>VLOOKUP(B28,'75 - Summary Exhibit'!A:N,5,FALSE)</f>
        <v>164011</v>
      </c>
      <c r="H28" s="9">
        <f>VLOOKUP(B28,'75 - Summary Exhibit'!A:N,6,FALSE)</f>
        <v>2224113</v>
      </c>
      <c r="I28" s="6">
        <f>VLOOKUP(B28,'75 - Summary Exhibit'!A:N,7,FALSE)</f>
        <v>1527018</v>
      </c>
      <c r="J28" s="6">
        <f>VLOOKUP(B28,'75 - Summary Exhibit'!A:N,8,FALSE)</f>
        <v>20116</v>
      </c>
      <c r="K28" s="6">
        <f>VLOOKUP(B28,'75 - Summary Exhibit'!A:N,9,FALSE)</f>
        <v>0</v>
      </c>
      <c r="L28" s="6">
        <f>VLOOKUP(B28,'75 - Summary Exhibit'!A:N,10,FALSE)</f>
        <v>5477457</v>
      </c>
      <c r="M28" s="6">
        <f>VLOOKUP(B28,'75 - Summary Exhibit'!A:N,11,FALSE)</f>
        <v>840465</v>
      </c>
      <c r="N28" s="6">
        <f>VLOOKUP(B28,'75 - Summary Exhibit'!A:N,12,FALSE)</f>
        <v>-376552</v>
      </c>
      <c r="O28" s="6">
        <f>VLOOKUP(B28,'75 - Summary Exhibit'!A:N,13,FALSE)</f>
        <v>121015</v>
      </c>
      <c r="P28" s="6">
        <f t="shared" si="0"/>
        <v>-255537</v>
      </c>
      <c r="Q28" s="6">
        <f>VLOOKUP(B28,'75- Deferred Amortization'!A:G,3,FALSE)</f>
        <v>-1272933</v>
      </c>
      <c r="R28" s="6">
        <f>VLOOKUP(B28,'75- Deferred Amortization'!A:G,4,FALSE)</f>
        <v>-1203437</v>
      </c>
      <c r="S28" s="6">
        <f>VLOOKUP(B28,'75- Deferred Amortization'!A:G,5,FALSE)</f>
        <v>-216582</v>
      </c>
      <c r="T28" s="6">
        <f>VLOOKUP(B28,'75- Deferred Amortization'!A:G,6,FALSE)</f>
        <v>496140</v>
      </c>
      <c r="U28" s="6">
        <f>VLOOKUP(B28,'75- Deferred Amortization'!A:G,7,FALSE)</f>
        <v>0</v>
      </c>
      <c r="V28" s="6">
        <f t="shared" si="1"/>
        <v>2</v>
      </c>
      <c r="W28" s="6">
        <f t="shared" si="2"/>
        <v>1</v>
      </c>
      <c r="X28">
        <v>2</v>
      </c>
      <c r="Z28" s="208">
        <f>VLOOKUP(B28,'Noncap Contr Alloc'!A:C,3,FALSE)</f>
        <v>26971</v>
      </c>
      <c r="AC28" s="9">
        <v>17892586</v>
      </c>
      <c r="AD28" s="9">
        <v>173713</v>
      </c>
      <c r="AE28" s="9">
        <v>154942</v>
      </c>
      <c r="AF28" s="9">
        <v>1432534</v>
      </c>
      <c r="AG28" s="6">
        <v>1465265</v>
      </c>
      <c r="AH28" s="6">
        <v>49511</v>
      </c>
      <c r="AI28" s="6">
        <v>0</v>
      </c>
      <c r="AJ28" s="6">
        <v>8143337</v>
      </c>
      <c r="AK28" s="6">
        <v>1406588</v>
      </c>
      <c r="AM28" s="6">
        <f t="shared" si="3"/>
        <v>61753</v>
      </c>
      <c r="AN28" s="6">
        <f t="shared" si="4"/>
        <v>-566123</v>
      </c>
      <c r="AO28" s="9">
        <f t="shared" si="5"/>
        <v>52372</v>
      </c>
      <c r="AP28" s="6">
        <f t="shared" si="6"/>
        <v>-29395</v>
      </c>
      <c r="AQ28" s="9">
        <f t="shared" si="7"/>
        <v>791579</v>
      </c>
      <c r="AR28" s="6">
        <f t="shared" si="8"/>
        <v>-2665880</v>
      </c>
      <c r="AS28" s="9">
        <f t="shared" si="9"/>
        <v>2638235</v>
      </c>
      <c r="AT28" s="9">
        <f t="shared" si="10"/>
        <v>9069</v>
      </c>
      <c r="AU28" s="6">
        <f t="shared" si="11"/>
        <v>0</v>
      </c>
      <c r="AV28" s="285">
        <f t="shared" si="12"/>
        <v>20530821</v>
      </c>
    </row>
    <row r="29" spans="1:48">
      <c r="A29" t="s">
        <v>92</v>
      </c>
      <c r="B29">
        <v>36505</v>
      </c>
      <c r="C29" s="6">
        <f>VLOOKUP(B29,'ER Contributions'!A:D,4,FALSE)</f>
        <v>2647329</v>
      </c>
      <c r="D29" s="7">
        <f>VLOOKUP(B29,'ER Contributions'!A:D,3,FALSE)</f>
        <v>1.8238E-3</v>
      </c>
      <c r="E29" s="9">
        <f>VLOOKUP(B29,'75 - Summary Exhibit'!A:N,3,FALSE)</f>
        <v>48599192</v>
      </c>
      <c r="F29" s="9">
        <f>VLOOKUP(B29,'75 - Summary Exhibit'!A:N,4,FALSE)</f>
        <v>535172</v>
      </c>
      <c r="G29" s="9">
        <f>VLOOKUP(B29,'75 - Summary Exhibit'!A:N,5,FALSE)</f>
        <v>388235</v>
      </c>
      <c r="H29" s="9">
        <f>VLOOKUP(B29,'75 - Summary Exhibit'!A:N,6,FALSE)</f>
        <v>5264772</v>
      </c>
      <c r="I29" s="6">
        <f>VLOOKUP(B29,'75 - Summary Exhibit'!A:N,7,FALSE)</f>
        <v>3509529</v>
      </c>
      <c r="J29" s="6">
        <f>VLOOKUP(B29,'75 - Summary Exhibit'!A:N,8,FALSE)</f>
        <v>47617</v>
      </c>
      <c r="K29" s="6">
        <f>VLOOKUP(B29,'75 - Summary Exhibit'!A:N,9,FALSE)</f>
        <v>0</v>
      </c>
      <c r="L29" s="6">
        <f>VLOOKUP(B29,'75 - Summary Exhibit'!A:N,10,FALSE)</f>
        <v>12965872</v>
      </c>
      <c r="M29" s="6">
        <f>VLOOKUP(B29,'75 - Summary Exhibit'!A:N,11,FALSE)</f>
        <v>2070070</v>
      </c>
      <c r="N29" s="6">
        <f>VLOOKUP(B29,'75 - Summary Exhibit'!A:N,12,FALSE)</f>
        <v>-891348</v>
      </c>
      <c r="O29" s="6">
        <f>VLOOKUP(B29,'75 - Summary Exhibit'!A:N,13,FALSE)</f>
        <v>-204639</v>
      </c>
      <c r="P29" s="6">
        <f t="shared" si="0"/>
        <v>-1095987</v>
      </c>
      <c r="Q29" s="6">
        <f>VLOOKUP(B29,'75- Deferred Amortization'!A:G,3,FALSE)</f>
        <v>-2895275</v>
      </c>
      <c r="R29" s="6">
        <f>VLOOKUP(B29,'75- Deferred Amortization'!A:G,4,FALSE)</f>
        <v>-3056086</v>
      </c>
      <c r="S29" s="6">
        <f>VLOOKUP(B29,'75- Deferred Amortization'!A:G,5,FALSE)</f>
        <v>-925583</v>
      </c>
      <c r="T29" s="6">
        <f>VLOOKUP(B29,'75- Deferred Amortization'!A:G,6,FALSE)</f>
        <v>1491093</v>
      </c>
      <c r="U29" s="6">
        <f>VLOOKUP(B29,'75- Deferred Amortization'!A:G,7,FALSE)</f>
        <v>0</v>
      </c>
      <c r="V29" s="6">
        <f t="shared" si="1"/>
        <v>-2</v>
      </c>
      <c r="W29" s="6">
        <f t="shared" si="2"/>
        <v>0</v>
      </c>
      <c r="X29">
        <v>2</v>
      </c>
      <c r="Z29" s="208">
        <f>VLOOKUP(B29,'Noncap Contr Alloc'!A:C,3,FALSE)</f>
        <v>63845</v>
      </c>
      <c r="AC29" s="9">
        <v>40950824</v>
      </c>
      <c r="AD29" s="9">
        <v>397578</v>
      </c>
      <c r="AE29" s="9">
        <v>354616</v>
      </c>
      <c r="AF29" s="9">
        <v>3278646</v>
      </c>
      <c r="AG29" s="6">
        <v>1099596</v>
      </c>
      <c r="AH29" s="6">
        <v>113315</v>
      </c>
      <c r="AI29" s="6">
        <v>0</v>
      </c>
      <c r="AJ29" s="6">
        <v>18637684</v>
      </c>
      <c r="AK29" s="6">
        <v>3220815</v>
      </c>
      <c r="AM29" s="6">
        <f t="shared" si="3"/>
        <v>2409933</v>
      </c>
      <c r="AN29" s="6">
        <f t="shared" si="4"/>
        <v>-1150745</v>
      </c>
      <c r="AO29" s="9">
        <f t="shared" si="5"/>
        <v>137594</v>
      </c>
      <c r="AP29" s="6">
        <f t="shared" si="6"/>
        <v>-65698</v>
      </c>
      <c r="AQ29" s="9">
        <f t="shared" si="7"/>
        <v>1986126</v>
      </c>
      <c r="AR29" s="6">
        <f t="shared" si="8"/>
        <v>-5671812</v>
      </c>
      <c r="AS29" s="9">
        <f t="shared" si="9"/>
        <v>7648368</v>
      </c>
      <c r="AT29" s="9">
        <f t="shared" si="10"/>
        <v>33619</v>
      </c>
      <c r="AU29" s="6">
        <f t="shared" si="11"/>
        <v>0</v>
      </c>
      <c r="AV29" s="285">
        <f t="shared" si="12"/>
        <v>48599192</v>
      </c>
    </row>
    <row r="30" spans="1:48">
      <c r="A30" t="s">
        <v>62</v>
      </c>
      <c r="B30">
        <v>31605</v>
      </c>
      <c r="C30" s="6">
        <f>VLOOKUP(B30,'ER Contributions'!A:D,4,FALSE)</f>
        <v>671503</v>
      </c>
      <c r="D30" s="7">
        <f>VLOOKUP(B30,'ER Contributions'!A:D,3,FALSE)</f>
        <v>4.2870000000000001E-4</v>
      </c>
      <c r="E30" s="9">
        <f>VLOOKUP(B30,'75 - Summary Exhibit'!A:N,3,FALSE)</f>
        <v>11425055</v>
      </c>
      <c r="F30" s="9">
        <f>VLOOKUP(B30,'75 - Summary Exhibit'!A:N,4,FALSE)</f>
        <v>125812</v>
      </c>
      <c r="G30" s="9">
        <f>VLOOKUP(B30,'75 - Summary Exhibit'!A:N,5,FALSE)</f>
        <v>91269</v>
      </c>
      <c r="H30" s="9">
        <f>VLOOKUP(B30,'75 - Summary Exhibit'!A:N,6,FALSE)</f>
        <v>1237681</v>
      </c>
      <c r="I30" s="6">
        <f>VLOOKUP(B30,'75 - Summary Exhibit'!A:N,7,FALSE)</f>
        <v>688574</v>
      </c>
      <c r="J30" s="6">
        <f>VLOOKUP(B30,'75 - Summary Exhibit'!A:N,8,FALSE)</f>
        <v>11194</v>
      </c>
      <c r="K30" s="6">
        <f>VLOOKUP(B30,'75 - Summary Exhibit'!A:N,9,FALSE)</f>
        <v>0</v>
      </c>
      <c r="L30" s="6">
        <f>VLOOKUP(B30,'75 - Summary Exhibit'!A:N,10,FALSE)</f>
        <v>3048112</v>
      </c>
      <c r="M30" s="6">
        <f>VLOOKUP(B30,'75 - Summary Exhibit'!A:N,11,FALSE)</f>
        <v>28415</v>
      </c>
      <c r="N30" s="6">
        <f>VLOOKUP(B30,'75 - Summary Exhibit'!A:N,12,FALSE)</f>
        <v>-209545</v>
      </c>
      <c r="O30" s="6">
        <f>VLOOKUP(B30,'75 - Summary Exhibit'!A:N,13,FALSE)</f>
        <v>203127</v>
      </c>
      <c r="P30" s="6">
        <f t="shared" si="0"/>
        <v>-6418</v>
      </c>
      <c r="Q30" s="6">
        <f>VLOOKUP(B30,'75- Deferred Amortization'!A:G,3,FALSE)</f>
        <v>-444180</v>
      </c>
      <c r="R30" s="6">
        <f>VLOOKUP(B30,'75- Deferred Amortization'!A:G,4,FALSE)</f>
        <v>-539463</v>
      </c>
      <c r="S30" s="6">
        <f>VLOOKUP(B30,'75- Deferred Amortization'!A:G,5,FALSE)</f>
        <v>-212278</v>
      </c>
      <c r="T30" s="6">
        <f>VLOOKUP(B30,'75- Deferred Amortization'!A:G,6,FALSE)</f>
        <v>251537</v>
      </c>
      <c r="U30" s="6">
        <f>VLOOKUP(B30,'75- Deferred Amortization'!A:G,7,FALSE)</f>
        <v>0</v>
      </c>
      <c r="V30" s="6">
        <f t="shared" si="1"/>
        <v>0</v>
      </c>
      <c r="W30" s="6">
        <f t="shared" si="2"/>
        <v>-1</v>
      </c>
      <c r="X30">
        <v>2</v>
      </c>
      <c r="Z30" s="208">
        <f>VLOOKUP(B30,'Noncap Contr Alloc'!A:C,3,FALSE)</f>
        <v>15009</v>
      </c>
      <c r="AC30" s="9">
        <v>10027293</v>
      </c>
      <c r="AD30" s="9">
        <v>97352</v>
      </c>
      <c r="AE30" s="9">
        <v>86832</v>
      </c>
      <c r="AF30" s="9">
        <v>802815</v>
      </c>
      <c r="AG30" s="6">
        <v>627647</v>
      </c>
      <c r="AH30" s="6">
        <v>27747</v>
      </c>
      <c r="AI30" s="6">
        <v>0</v>
      </c>
      <c r="AJ30" s="6">
        <v>4563657</v>
      </c>
      <c r="AK30" s="6">
        <v>58319</v>
      </c>
      <c r="AM30" s="6">
        <f t="shared" si="3"/>
        <v>60927</v>
      </c>
      <c r="AN30" s="6">
        <f t="shared" si="4"/>
        <v>-29904</v>
      </c>
      <c r="AO30" s="9">
        <f t="shared" si="5"/>
        <v>28460</v>
      </c>
      <c r="AP30" s="6">
        <f t="shared" si="6"/>
        <v>-16553</v>
      </c>
      <c r="AQ30" s="9">
        <f t="shared" si="7"/>
        <v>434866</v>
      </c>
      <c r="AR30" s="6">
        <f t="shared" si="8"/>
        <v>-1515545</v>
      </c>
      <c r="AS30" s="9">
        <f t="shared" si="9"/>
        <v>1397762</v>
      </c>
      <c r="AT30" s="9">
        <f t="shared" si="10"/>
        <v>4437</v>
      </c>
      <c r="AU30" s="6">
        <f t="shared" si="11"/>
        <v>0</v>
      </c>
      <c r="AV30" s="285">
        <f t="shared" si="12"/>
        <v>11425055</v>
      </c>
    </row>
    <row r="31" spans="1:48">
      <c r="A31" t="s">
        <v>63</v>
      </c>
      <c r="B31">
        <v>31805</v>
      </c>
      <c r="C31" s="6">
        <f>VLOOKUP(B31,'ER Contributions'!A:D,4,FALSE)</f>
        <v>1570524</v>
      </c>
      <c r="D31" s="7">
        <f>VLOOKUP(B31,'ER Contributions'!A:D,3,FALSE)</f>
        <v>1.1253000000000001E-3</v>
      </c>
      <c r="E31" s="9">
        <f>VLOOKUP(B31,'75 - Summary Exhibit'!A:N,3,FALSE)</f>
        <v>29986754</v>
      </c>
      <c r="F31" s="9">
        <f>VLOOKUP(B31,'75 - Summary Exhibit'!A:N,4,FALSE)</f>
        <v>330213</v>
      </c>
      <c r="G31" s="9">
        <f>VLOOKUP(B31,'75 - Summary Exhibit'!A:N,5,FALSE)</f>
        <v>239550</v>
      </c>
      <c r="H31" s="9">
        <f>VLOOKUP(B31,'75 - Summary Exhibit'!A:N,6,FALSE)</f>
        <v>3248478</v>
      </c>
      <c r="I31" s="6">
        <f>VLOOKUP(B31,'75 - Summary Exhibit'!A:N,7,FALSE)</f>
        <v>3064747</v>
      </c>
      <c r="J31" s="6">
        <f>VLOOKUP(B31,'75 - Summary Exhibit'!A:N,8,FALSE)</f>
        <v>29381</v>
      </c>
      <c r="K31" s="6">
        <f>VLOOKUP(B31,'75 - Summary Exhibit'!A:N,9,FALSE)</f>
        <v>0</v>
      </c>
      <c r="L31" s="6">
        <f>VLOOKUP(B31,'75 - Summary Exhibit'!A:N,10,FALSE)</f>
        <v>8000224</v>
      </c>
      <c r="M31" s="6">
        <f>VLOOKUP(B31,'75 - Summary Exhibit'!A:N,11,FALSE)</f>
        <v>82401</v>
      </c>
      <c r="N31" s="6">
        <f>VLOOKUP(B31,'75 - Summary Exhibit'!A:N,12,FALSE)</f>
        <v>-549982</v>
      </c>
      <c r="O31" s="6">
        <f>VLOOKUP(B31,'75 - Summary Exhibit'!A:N,13,FALSE)</f>
        <v>1229405</v>
      </c>
      <c r="P31" s="6">
        <f t="shared" si="0"/>
        <v>679423</v>
      </c>
      <c r="Q31" s="6">
        <f>VLOOKUP(B31,'75- Deferred Amortization'!A:G,3,FALSE)</f>
        <v>-718684</v>
      </c>
      <c r="R31" s="6">
        <f>VLOOKUP(B31,'75- Deferred Amortization'!A:G,4,FALSE)</f>
        <v>-1131718</v>
      </c>
      <c r="S31" s="6">
        <f>VLOOKUP(B31,'75- Deferred Amortization'!A:G,5,FALSE)</f>
        <v>-71714</v>
      </c>
      <c r="T31" s="6">
        <f>VLOOKUP(B31,'75- Deferred Amortization'!A:G,6,FALSE)</f>
        <v>693097</v>
      </c>
      <c r="U31" s="6">
        <f>VLOOKUP(B31,'75- Deferred Amortization'!A:G,7,FALSE)</f>
        <v>0</v>
      </c>
      <c r="V31" s="6">
        <f t="shared" si="1"/>
        <v>-3</v>
      </c>
      <c r="W31" s="6">
        <f t="shared" si="2"/>
        <v>1</v>
      </c>
      <c r="X31">
        <v>2</v>
      </c>
      <c r="Z31" s="208">
        <f>VLOOKUP(B31,'Noncap Contr Alloc'!A:C,3,FALSE)</f>
        <v>39394</v>
      </c>
      <c r="AC31" s="9">
        <v>26055920</v>
      </c>
      <c r="AD31" s="9">
        <v>252969</v>
      </c>
      <c r="AE31" s="9">
        <v>225633</v>
      </c>
      <c r="AF31" s="9">
        <v>2086115</v>
      </c>
      <c r="AG31" s="6">
        <v>3392011</v>
      </c>
      <c r="AH31" s="6">
        <v>72099</v>
      </c>
      <c r="AI31" s="6">
        <v>0</v>
      </c>
      <c r="AJ31" s="6">
        <v>11858663</v>
      </c>
      <c r="AK31" s="6">
        <v>116310</v>
      </c>
      <c r="AM31" s="6">
        <f t="shared" si="3"/>
        <v>-327264</v>
      </c>
      <c r="AN31" s="6">
        <f t="shared" si="4"/>
        <v>-33909</v>
      </c>
      <c r="AO31" s="9">
        <f t="shared" si="5"/>
        <v>77244</v>
      </c>
      <c r="AP31" s="6">
        <f t="shared" si="6"/>
        <v>-42718</v>
      </c>
      <c r="AQ31" s="9">
        <f t="shared" si="7"/>
        <v>1162363</v>
      </c>
      <c r="AR31" s="6">
        <f t="shared" si="8"/>
        <v>-3858439</v>
      </c>
      <c r="AS31" s="9">
        <f t="shared" si="9"/>
        <v>3930834</v>
      </c>
      <c r="AT31" s="9">
        <f t="shared" si="10"/>
        <v>13917</v>
      </c>
      <c r="AU31" s="6">
        <f t="shared" si="11"/>
        <v>0</v>
      </c>
      <c r="AV31" s="285">
        <f t="shared" si="12"/>
        <v>29986754</v>
      </c>
    </row>
    <row r="32" spans="1:48">
      <c r="A32" t="s">
        <v>83</v>
      </c>
      <c r="B32">
        <v>35305</v>
      </c>
      <c r="C32" s="6">
        <f>VLOOKUP(B32,'ER Contributions'!A:D,4,FALSE)</f>
        <v>1746861</v>
      </c>
      <c r="D32" s="7">
        <f>VLOOKUP(B32,'ER Contributions'!A:D,3,FALSE)</f>
        <v>1.3847E-3</v>
      </c>
      <c r="E32" s="9">
        <f>VLOOKUP(B32,'75 - Summary Exhibit'!A:N,3,FALSE)</f>
        <v>36898723</v>
      </c>
      <c r="F32" s="9">
        <f>VLOOKUP(B32,'75 - Summary Exhibit'!A:N,4,FALSE)</f>
        <v>406327</v>
      </c>
      <c r="G32" s="9">
        <f>VLOOKUP(B32,'75 - Summary Exhibit'!A:N,5,FALSE)</f>
        <v>294766</v>
      </c>
      <c r="H32" s="9">
        <f>VLOOKUP(B32,'75 - Summary Exhibit'!A:N,6,FALSE)</f>
        <v>3997255</v>
      </c>
      <c r="I32" s="6">
        <f>VLOOKUP(B32,'75 - Summary Exhibit'!A:N,7,FALSE)</f>
        <v>3489860</v>
      </c>
      <c r="J32" s="6">
        <f>VLOOKUP(B32,'75 - Summary Exhibit'!A:N,8,FALSE)</f>
        <v>36153</v>
      </c>
      <c r="K32" s="6">
        <f>VLOOKUP(B32,'75 - Summary Exhibit'!A:N,9,FALSE)</f>
        <v>0</v>
      </c>
      <c r="L32" s="6">
        <f>VLOOKUP(B32,'75 - Summary Exhibit'!A:N,10,FALSE)</f>
        <v>9844282</v>
      </c>
      <c r="M32" s="6">
        <f>VLOOKUP(B32,'75 - Summary Exhibit'!A:N,11,FALSE)</f>
        <v>389421</v>
      </c>
      <c r="N32" s="6">
        <f>VLOOKUP(B32,'75 - Summary Exhibit'!A:N,12,FALSE)</f>
        <v>-676752</v>
      </c>
      <c r="O32" s="6">
        <f>VLOOKUP(B32,'75 - Summary Exhibit'!A:N,13,FALSE)</f>
        <v>1098190</v>
      </c>
      <c r="P32" s="6">
        <f t="shared" si="0"/>
        <v>421438</v>
      </c>
      <c r="Q32" s="6">
        <f>VLOOKUP(B32,'75- Deferred Amortization'!A:G,3,FALSE)</f>
        <v>-1275526</v>
      </c>
      <c r="R32" s="6">
        <f>VLOOKUP(B32,'75- Deferred Amortization'!A:G,4,FALSE)</f>
        <v>-1604841</v>
      </c>
      <c r="S32" s="6">
        <f>VLOOKUP(B32,'75- Deferred Amortization'!A:G,5,FALSE)</f>
        <v>-164667</v>
      </c>
      <c r="T32" s="6">
        <f>VLOOKUP(B32,'75- Deferred Amortization'!A:G,6,FALSE)</f>
        <v>963386</v>
      </c>
      <c r="U32" s="6">
        <f>VLOOKUP(B32,'75- Deferred Amortization'!A:G,7,FALSE)</f>
        <v>0</v>
      </c>
      <c r="V32" s="6">
        <f t="shared" si="1"/>
        <v>-2</v>
      </c>
      <c r="W32" s="6">
        <f t="shared" si="2"/>
        <v>0</v>
      </c>
      <c r="X32">
        <v>2</v>
      </c>
      <c r="Z32" s="208">
        <f>VLOOKUP(B32,'Noncap Contr Alloc'!A:C,3,FALSE)</f>
        <v>48474</v>
      </c>
      <c r="AC32" s="9">
        <v>31518731</v>
      </c>
      <c r="AD32" s="9">
        <v>306005</v>
      </c>
      <c r="AE32" s="9">
        <v>272939</v>
      </c>
      <c r="AF32" s="9">
        <v>2523484</v>
      </c>
      <c r="AG32" s="6">
        <v>3113393</v>
      </c>
      <c r="AH32" s="6">
        <v>87216</v>
      </c>
      <c r="AI32" s="6">
        <v>0</v>
      </c>
      <c r="AJ32" s="6">
        <v>14344917</v>
      </c>
      <c r="AK32" s="6">
        <v>619223</v>
      </c>
      <c r="AM32" s="6">
        <f t="shared" si="3"/>
        <v>376467</v>
      </c>
      <c r="AN32" s="6">
        <f t="shared" si="4"/>
        <v>-229802</v>
      </c>
      <c r="AO32" s="9">
        <f t="shared" si="5"/>
        <v>100322</v>
      </c>
      <c r="AP32" s="6">
        <f t="shared" si="6"/>
        <v>-51063</v>
      </c>
      <c r="AQ32" s="9">
        <f t="shared" si="7"/>
        <v>1473771</v>
      </c>
      <c r="AR32" s="6">
        <f t="shared" si="8"/>
        <v>-4500635</v>
      </c>
      <c r="AS32" s="9">
        <f t="shared" si="9"/>
        <v>5379992</v>
      </c>
      <c r="AT32" s="9">
        <f t="shared" si="10"/>
        <v>21827</v>
      </c>
      <c r="AU32" s="6">
        <f t="shared" si="11"/>
        <v>0</v>
      </c>
      <c r="AV32" s="285">
        <f t="shared" si="12"/>
        <v>36898723</v>
      </c>
    </row>
    <row r="33" spans="1:48">
      <c r="A33" t="s">
        <v>87</v>
      </c>
      <c r="B33">
        <v>36005</v>
      </c>
      <c r="C33" s="6">
        <f>VLOOKUP(B33,'ER Contributions'!A:D,4,FALSE)</f>
        <v>4927702</v>
      </c>
      <c r="D33" s="7">
        <f>VLOOKUP(B33,'ER Contributions'!A:D,3,FALSE)</f>
        <v>3.6684999999999999E-3</v>
      </c>
      <c r="E33" s="9">
        <f>VLOOKUP(B33,'75 - Summary Exhibit'!A:N,3,FALSE)</f>
        <v>97754959</v>
      </c>
      <c r="F33" s="9">
        <f>VLOOKUP(B33,'75 - Summary Exhibit'!A:N,4,FALSE)</f>
        <v>1076473</v>
      </c>
      <c r="G33" s="9">
        <f>VLOOKUP(B33,'75 - Summary Exhibit'!A:N,5,FALSE)</f>
        <v>780917</v>
      </c>
      <c r="H33" s="9">
        <f>VLOOKUP(B33,'75 - Summary Exhibit'!A:N,6,FALSE)</f>
        <v>10589838</v>
      </c>
      <c r="I33" s="6">
        <f>VLOOKUP(B33,'75 - Summary Exhibit'!A:N,7,FALSE)</f>
        <v>0</v>
      </c>
      <c r="J33" s="6">
        <f>VLOOKUP(B33,'75 - Summary Exhibit'!A:N,8,FALSE)</f>
        <v>95780</v>
      </c>
      <c r="K33" s="6">
        <f>VLOOKUP(B33,'75 - Summary Exhibit'!A:N,9,FALSE)</f>
        <v>0</v>
      </c>
      <c r="L33" s="6">
        <f>VLOOKUP(B33,'75 - Summary Exhibit'!A:N,10,FALSE)</f>
        <v>26080234</v>
      </c>
      <c r="M33" s="6">
        <f>VLOOKUP(B33,'75 - Summary Exhibit'!A:N,11,FALSE)</f>
        <v>10503545</v>
      </c>
      <c r="N33" s="6">
        <f>VLOOKUP(B33,'75 - Summary Exhibit'!A:N,12,FALSE)</f>
        <v>-1792900</v>
      </c>
      <c r="O33" s="6">
        <f>VLOOKUP(B33,'75 - Summary Exhibit'!A:N,13,FALSE)</f>
        <v>-3380279</v>
      </c>
      <c r="P33" s="6">
        <f t="shared" si="0"/>
        <v>-5173179</v>
      </c>
      <c r="Q33" s="6">
        <f>VLOOKUP(B33,'75- Deferred Amortization'!A:G,3,FALSE)</f>
        <v>-10147176</v>
      </c>
      <c r="R33" s="6">
        <f>VLOOKUP(B33,'75- Deferred Amortization'!A:G,4,FALSE)</f>
        <v>-9901326</v>
      </c>
      <c r="S33" s="6">
        <f>VLOOKUP(B33,'75- Deferred Amortization'!A:G,5,FALSE)</f>
        <v>-5298755</v>
      </c>
      <c r="T33" s="6">
        <f>VLOOKUP(B33,'75- Deferred Amortization'!A:G,6,FALSE)</f>
        <v>1114925</v>
      </c>
      <c r="U33" s="6">
        <f>VLOOKUP(B33,'75- Deferred Amortization'!A:G,7,FALSE)</f>
        <v>0</v>
      </c>
      <c r="V33" s="6">
        <f t="shared" si="1"/>
        <v>1</v>
      </c>
      <c r="W33" s="6">
        <f t="shared" si="2"/>
        <v>1</v>
      </c>
      <c r="X33">
        <v>2</v>
      </c>
      <c r="Z33" s="208">
        <f>VLOOKUP(B33,'Noncap Contr Alloc'!A:C,3,FALSE)</f>
        <v>128421</v>
      </c>
      <c r="AC33" s="9">
        <v>89008864</v>
      </c>
      <c r="AD33" s="9">
        <v>864158</v>
      </c>
      <c r="AE33" s="9">
        <v>770778</v>
      </c>
      <c r="AF33" s="9">
        <v>7126316</v>
      </c>
      <c r="AG33" s="6">
        <v>1215654</v>
      </c>
      <c r="AH33" s="6">
        <v>246297</v>
      </c>
      <c r="AI33" s="6">
        <v>0</v>
      </c>
      <c r="AJ33" s="6">
        <v>40510030</v>
      </c>
      <c r="AK33" s="6">
        <v>12428308</v>
      </c>
      <c r="AM33" s="6">
        <f t="shared" si="3"/>
        <v>-1215654</v>
      </c>
      <c r="AN33" s="6">
        <f t="shared" si="4"/>
        <v>-1924763</v>
      </c>
      <c r="AO33" s="9">
        <f t="shared" si="5"/>
        <v>212315</v>
      </c>
      <c r="AP33" s="6">
        <f t="shared" si="6"/>
        <v>-150517</v>
      </c>
      <c r="AQ33" s="9">
        <f t="shared" si="7"/>
        <v>3463522</v>
      </c>
      <c r="AR33" s="6">
        <f t="shared" si="8"/>
        <v>-14429796</v>
      </c>
      <c r="AS33" s="9">
        <f t="shared" si="9"/>
        <v>8746095</v>
      </c>
      <c r="AT33" s="9">
        <f t="shared" si="10"/>
        <v>10139</v>
      </c>
      <c r="AU33" s="6">
        <f t="shared" si="11"/>
        <v>0</v>
      </c>
      <c r="AV33" s="285">
        <f t="shared" si="12"/>
        <v>97754959</v>
      </c>
    </row>
    <row r="34" spans="1:48">
      <c r="A34" t="s">
        <v>65</v>
      </c>
      <c r="B34">
        <v>32305</v>
      </c>
      <c r="C34" s="6">
        <f>VLOOKUP(B34,'ER Contributions'!A:D,4,FALSE)</f>
        <v>834011</v>
      </c>
      <c r="D34" s="7">
        <f>VLOOKUP(B34,'ER Contributions'!A:D,3,FALSE)</f>
        <v>5.9969999999999999E-4</v>
      </c>
      <c r="E34" s="9">
        <f>VLOOKUP(B34,'75 - Summary Exhibit'!A:N,3,FALSE)</f>
        <v>15979281</v>
      </c>
      <c r="F34" s="9">
        <f>VLOOKUP(B34,'75 - Summary Exhibit'!A:N,4,FALSE)</f>
        <v>175963</v>
      </c>
      <c r="G34" s="9">
        <f>VLOOKUP(B34,'75 - Summary Exhibit'!A:N,5,FALSE)</f>
        <v>127651</v>
      </c>
      <c r="H34" s="9">
        <f>VLOOKUP(B34,'75 - Summary Exhibit'!A:N,6,FALSE)</f>
        <v>1731043</v>
      </c>
      <c r="I34" s="6">
        <f>VLOOKUP(B34,'75 - Summary Exhibit'!A:N,7,FALSE)</f>
        <v>2436149</v>
      </c>
      <c r="J34" s="6">
        <f>VLOOKUP(B34,'75 - Summary Exhibit'!A:N,8,FALSE)</f>
        <v>15656</v>
      </c>
      <c r="K34" s="6">
        <f>VLOOKUP(B34,'75 - Summary Exhibit'!A:N,9,FALSE)</f>
        <v>0</v>
      </c>
      <c r="L34" s="6">
        <f>VLOOKUP(B34,'75 - Summary Exhibit'!A:N,10,FALSE)</f>
        <v>4263143</v>
      </c>
      <c r="M34" s="6">
        <f>VLOOKUP(B34,'75 - Summary Exhibit'!A:N,11,FALSE)</f>
        <v>453619</v>
      </c>
      <c r="N34" s="6">
        <f>VLOOKUP(B34,'75 - Summary Exhibit'!A:N,12,FALSE)</f>
        <v>-293074</v>
      </c>
      <c r="O34" s="6">
        <f>VLOOKUP(B34,'75 - Summary Exhibit'!A:N,13,FALSE)</f>
        <v>313614</v>
      </c>
      <c r="P34" s="6">
        <f t="shared" si="0"/>
        <v>20540</v>
      </c>
      <c r="Q34" s="6">
        <f>VLOOKUP(B34,'75- Deferred Amortization'!A:G,3,FALSE)</f>
        <v>-360287</v>
      </c>
      <c r="R34" s="6">
        <f>VLOOKUP(B34,'75- Deferred Amortization'!A:G,4,FALSE)</f>
        <v>-680076</v>
      </c>
      <c r="S34" s="6">
        <f>VLOOKUP(B34,'75- Deferred Amortization'!A:G,5,FALSE)</f>
        <v>71878</v>
      </c>
      <c r="T34" s="6">
        <f>VLOOKUP(B34,'75- Deferred Amortization'!A:G,6,FALSE)</f>
        <v>706871</v>
      </c>
      <c r="U34" s="6">
        <f>VLOOKUP(B34,'75- Deferred Amortization'!A:G,7,FALSE)</f>
        <v>0</v>
      </c>
      <c r="V34" s="6">
        <f t="shared" si="1"/>
        <v>0</v>
      </c>
      <c r="W34" s="6">
        <f t="shared" si="2"/>
        <v>2</v>
      </c>
      <c r="X34">
        <v>2</v>
      </c>
      <c r="Z34" s="208">
        <f>VLOOKUP(B34,'Noncap Contr Alloc'!A:C,3,FALSE)</f>
        <v>20992</v>
      </c>
      <c r="AC34" s="9">
        <v>12641071</v>
      </c>
      <c r="AD34" s="9">
        <v>122728</v>
      </c>
      <c r="AE34" s="9">
        <v>109466</v>
      </c>
      <c r="AF34" s="9">
        <v>1012082</v>
      </c>
      <c r="AG34" s="6">
        <v>1013814</v>
      </c>
      <c r="AH34" s="6">
        <v>34979</v>
      </c>
      <c r="AI34" s="6">
        <v>0</v>
      </c>
      <c r="AJ34" s="6">
        <v>5753249</v>
      </c>
      <c r="AK34" s="6">
        <v>904147</v>
      </c>
      <c r="AM34" s="6">
        <f t="shared" si="3"/>
        <v>1422335</v>
      </c>
      <c r="AN34" s="6">
        <f t="shared" si="4"/>
        <v>-450528</v>
      </c>
      <c r="AO34" s="9">
        <f t="shared" si="5"/>
        <v>53235</v>
      </c>
      <c r="AP34" s="6">
        <f t="shared" si="6"/>
        <v>-19323</v>
      </c>
      <c r="AQ34" s="9">
        <f t="shared" si="7"/>
        <v>718961</v>
      </c>
      <c r="AR34" s="6">
        <f t="shared" si="8"/>
        <v>-1490106</v>
      </c>
      <c r="AS34" s="9">
        <f t="shared" si="9"/>
        <v>3338210</v>
      </c>
      <c r="AT34" s="9">
        <f t="shared" si="10"/>
        <v>18185</v>
      </c>
      <c r="AU34" s="6">
        <f t="shared" si="11"/>
        <v>0</v>
      </c>
      <c r="AV34" s="285">
        <f t="shared" si="12"/>
        <v>15979281</v>
      </c>
    </row>
    <row r="35" spans="1:48">
      <c r="A35" t="s">
        <v>93</v>
      </c>
      <c r="B35">
        <v>36705</v>
      </c>
      <c r="C35" s="6">
        <f>VLOOKUP(B35,'ER Contributions'!A:D,4,FALSE)</f>
        <v>1129163</v>
      </c>
      <c r="D35" s="7">
        <f>VLOOKUP(B35,'ER Contributions'!A:D,3,FALSE)</f>
        <v>7.8600000000000002E-4</v>
      </c>
      <c r="E35" s="9">
        <f>VLOOKUP(B35,'75 - Summary Exhibit'!A:N,3,FALSE)</f>
        <v>20945474</v>
      </c>
      <c r="F35" s="9">
        <f>VLOOKUP(B35,'75 - Summary Exhibit'!A:N,4,FALSE)</f>
        <v>230651</v>
      </c>
      <c r="G35" s="9">
        <f>VLOOKUP(B35,'75 - Summary Exhibit'!A:N,5,FALSE)</f>
        <v>167323</v>
      </c>
      <c r="H35" s="9">
        <f>VLOOKUP(B35,'75 - Summary Exhibit'!A:N,6,FALSE)</f>
        <v>2269032</v>
      </c>
      <c r="I35" s="6">
        <f>VLOOKUP(B35,'75 - Summary Exhibit'!A:N,7,FALSE)</f>
        <v>1619973</v>
      </c>
      <c r="J35" s="6">
        <f>VLOOKUP(B35,'75 - Summary Exhibit'!A:N,8,FALSE)</f>
        <v>20522</v>
      </c>
      <c r="K35" s="6">
        <f>VLOOKUP(B35,'75 - Summary Exhibit'!A:N,9,FALSE)</f>
        <v>0</v>
      </c>
      <c r="L35" s="6">
        <f>VLOOKUP(B35,'75 - Summary Exhibit'!A:N,10,FALSE)</f>
        <v>5588083</v>
      </c>
      <c r="M35" s="6">
        <f>VLOOKUP(B35,'75 - Summary Exhibit'!A:N,11,FALSE)</f>
        <v>5427879</v>
      </c>
      <c r="N35" s="6">
        <f>VLOOKUP(B35,'75 - Summary Exhibit'!A:N,12,FALSE)</f>
        <v>-384156</v>
      </c>
      <c r="O35" s="6">
        <f>VLOOKUP(B35,'75 - Summary Exhibit'!A:N,13,FALSE)</f>
        <v>-590985</v>
      </c>
      <c r="P35" s="6">
        <f t="shared" ref="P35:P66" si="13">N35+O35</f>
        <v>-975141</v>
      </c>
      <c r="Q35" s="6">
        <f>VLOOKUP(B35,'75- Deferred Amortization'!A:G,3,FALSE)</f>
        <v>-2383293</v>
      </c>
      <c r="R35" s="6">
        <f>VLOOKUP(B35,'75- Deferred Amortization'!A:G,4,FALSE)</f>
        <v>-2408238</v>
      </c>
      <c r="S35" s="6">
        <f>VLOOKUP(B35,'75- Deferred Amortization'!A:G,5,FALSE)</f>
        <v>-1410122</v>
      </c>
      <c r="T35" s="6">
        <f>VLOOKUP(B35,'75- Deferred Amortization'!A:G,6,FALSE)</f>
        <v>-547853</v>
      </c>
      <c r="U35" s="6">
        <f>VLOOKUP(B35,'75- Deferred Amortization'!A:G,7,FALSE)</f>
        <v>0</v>
      </c>
      <c r="V35" s="6">
        <f t="shared" si="1"/>
        <v>0</v>
      </c>
      <c r="W35" s="6">
        <f t="shared" si="2"/>
        <v>1</v>
      </c>
      <c r="X35">
        <v>2</v>
      </c>
      <c r="Z35" s="208">
        <f>VLOOKUP(B35,'Noncap Contr Alloc'!A:C,3,FALSE)</f>
        <v>27516</v>
      </c>
      <c r="AC35" s="9">
        <v>22019014</v>
      </c>
      <c r="AD35" s="9">
        <v>213776</v>
      </c>
      <c r="AE35" s="9">
        <v>190675</v>
      </c>
      <c r="AF35" s="9">
        <v>1762908</v>
      </c>
      <c r="AG35" s="6">
        <v>2762833</v>
      </c>
      <c r="AH35" s="6">
        <v>60929</v>
      </c>
      <c r="AI35" s="6">
        <v>0</v>
      </c>
      <c r="AJ35" s="6">
        <v>10021372</v>
      </c>
      <c r="AK35" s="6">
        <v>2655676</v>
      </c>
      <c r="AM35" s="6">
        <f t="shared" si="3"/>
        <v>-1142860</v>
      </c>
      <c r="AN35" s="6">
        <f t="shared" si="4"/>
        <v>2772203</v>
      </c>
      <c r="AO35" s="9">
        <f t="shared" si="5"/>
        <v>16875</v>
      </c>
      <c r="AP35" s="6">
        <f t="shared" si="6"/>
        <v>-40407</v>
      </c>
      <c r="AQ35" s="9">
        <f t="shared" si="7"/>
        <v>506124</v>
      </c>
      <c r="AR35" s="6">
        <f t="shared" si="8"/>
        <v>-4433289</v>
      </c>
      <c r="AS35" s="9">
        <f t="shared" si="9"/>
        <v>-1073540</v>
      </c>
      <c r="AT35" s="9">
        <f t="shared" si="10"/>
        <v>-23352</v>
      </c>
      <c r="AU35" s="6">
        <f t="shared" si="11"/>
        <v>0</v>
      </c>
      <c r="AV35" s="285">
        <f t="shared" si="12"/>
        <v>20945474</v>
      </c>
    </row>
    <row r="36" spans="1:48">
      <c r="A36" t="s">
        <v>95</v>
      </c>
      <c r="B36">
        <v>37005</v>
      </c>
      <c r="C36" s="6">
        <f>VLOOKUP(B36,'ER Contributions'!A:D,4,FALSE)</f>
        <v>752842</v>
      </c>
      <c r="D36" s="7">
        <f>VLOOKUP(B36,'ER Contributions'!A:D,3,FALSE)</f>
        <v>4.9600000000000002E-4</v>
      </c>
      <c r="E36" s="9">
        <f>VLOOKUP(B36,'75 - Summary Exhibit'!A:N,3,FALSE)</f>
        <v>13217981</v>
      </c>
      <c r="F36" s="9">
        <f>VLOOKUP(B36,'75 - Summary Exhibit'!A:N,4,FALSE)</f>
        <v>145556</v>
      </c>
      <c r="G36" s="9">
        <f>VLOOKUP(B36,'75 - Summary Exhibit'!A:N,5,FALSE)</f>
        <v>105592</v>
      </c>
      <c r="H36" s="9">
        <f>VLOOKUP(B36,'75 - Summary Exhibit'!A:N,6,FALSE)</f>
        <v>1431910</v>
      </c>
      <c r="I36" s="6">
        <f>VLOOKUP(B36,'75 - Summary Exhibit'!A:N,7,FALSE)</f>
        <v>1485144</v>
      </c>
      <c r="J36" s="6">
        <f>VLOOKUP(B36,'75 - Summary Exhibit'!A:N,8,FALSE)</f>
        <v>12951</v>
      </c>
      <c r="K36" s="6">
        <f>VLOOKUP(B36,'75 - Summary Exhibit'!A:N,9,FALSE)</f>
        <v>0</v>
      </c>
      <c r="L36" s="6">
        <f>VLOOKUP(B36,'75 - Summary Exhibit'!A:N,10,FALSE)</f>
        <v>3526451</v>
      </c>
      <c r="M36" s="6">
        <f>VLOOKUP(B36,'75 - Summary Exhibit'!A:N,11,FALSE)</f>
        <v>112768</v>
      </c>
      <c r="N36" s="6">
        <f>VLOOKUP(B36,'75 - Summary Exhibit'!A:N,12,FALSE)</f>
        <v>-242428</v>
      </c>
      <c r="O36" s="6">
        <f>VLOOKUP(B36,'75 - Summary Exhibit'!A:N,13,FALSE)</f>
        <v>407808</v>
      </c>
      <c r="P36" s="6">
        <f t="shared" si="13"/>
        <v>165380</v>
      </c>
      <c r="Q36" s="6">
        <f>VLOOKUP(B36,'75- Deferred Amortization'!A:G,3,FALSE)</f>
        <v>-357498</v>
      </c>
      <c r="R36" s="6">
        <f>VLOOKUP(B36,'75- Deferred Amortization'!A:G,4,FALSE)</f>
        <v>-387839</v>
      </c>
      <c r="S36" s="6">
        <f>VLOOKUP(B36,'75- Deferred Amortization'!A:G,5,FALSE)</f>
        <v>-51721</v>
      </c>
      <c r="T36" s="6">
        <f>VLOOKUP(B36,'75- Deferred Amortization'!A:G,6,FALSE)</f>
        <v>313090</v>
      </c>
      <c r="U36" s="6">
        <f>VLOOKUP(B36,'75- Deferred Amortization'!A:G,7,FALSE)</f>
        <v>0</v>
      </c>
      <c r="V36" s="6">
        <f t="shared" ref="V36:V67" si="14">ROUND(((F36-AD36)+(G36-AE36)+(H36-AF36)+(I36-AG36)+(AI36-K36)+P36-(E36-AC36)-(J36-AH36)-(L36-AJ36)-(M36-AK36)-C36),0)-Z36</f>
        <v>0</v>
      </c>
      <c r="W36" s="6">
        <f t="shared" ref="W36:W67" si="15">ROUND((F36+G36+H36+I36-J36-K36-L36-M36-Q36-R36-S36-T36-U36),0)</f>
        <v>0</v>
      </c>
      <c r="X36">
        <v>2</v>
      </c>
      <c r="Z36" s="208">
        <f>VLOOKUP(B36,'Noncap Contr Alloc'!A:C,3,FALSE)</f>
        <v>17364</v>
      </c>
      <c r="AC36" s="9">
        <v>11501975</v>
      </c>
      <c r="AD36" s="9">
        <v>111669</v>
      </c>
      <c r="AE36" s="9">
        <v>99602</v>
      </c>
      <c r="AF36" s="9">
        <v>920883</v>
      </c>
      <c r="AG36" s="6">
        <v>1555229</v>
      </c>
      <c r="AH36" s="6">
        <v>31827</v>
      </c>
      <c r="AI36" s="6">
        <v>0</v>
      </c>
      <c r="AJ36" s="6">
        <v>5234820</v>
      </c>
      <c r="AK36" s="6">
        <v>225536</v>
      </c>
      <c r="AM36" s="6">
        <f t="shared" ref="AM36:AM67" si="16">I36-AG36</f>
        <v>-70085</v>
      </c>
      <c r="AN36" s="6">
        <f t="shared" ref="AN36:AN67" si="17">M36-AK36</f>
        <v>-112768</v>
      </c>
      <c r="AO36" s="9">
        <f t="shared" ref="AO36:AO67" si="18">F36-AD36</f>
        <v>33887</v>
      </c>
      <c r="AP36" s="6">
        <f t="shared" ref="AP36:AP67" si="19">J36-AH36</f>
        <v>-18876</v>
      </c>
      <c r="AQ36" s="9">
        <f t="shared" ref="AQ36:AQ67" si="20">H36-AF36</f>
        <v>511027</v>
      </c>
      <c r="AR36" s="6">
        <f t="shared" ref="AR36:AR67" si="21">L36-AJ36</f>
        <v>-1708369</v>
      </c>
      <c r="AS36" s="9">
        <f t="shared" ref="AS36:AS67" si="22">E36-AC36</f>
        <v>1716006</v>
      </c>
      <c r="AT36" s="9">
        <f t="shared" ref="AT36:AT67" si="23">G36-AE36</f>
        <v>5990</v>
      </c>
      <c r="AU36" s="6">
        <f t="shared" ref="AU36:AU67" si="24">K36-AI36</f>
        <v>0</v>
      </c>
      <c r="AV36" s="285">
        <f t="shared" si="12"/>
        <v>13217981</v>
      </c>
    </row>
    <row r="37" spans="1:48">
      <c r="A37" t="s">
        <v>67</v>
      </c>
      <c r="B37">
        <v>32505</v>
      </c>
      <c r="C37" s="6">
        <f>VLOOKUP(B37,'ER Contributions'!A:D,4,FALSE)</f>
        <v>938565</v>
      </c>
      <c r="D37" s="7">
        <f>VLOOKUP(B37,'ER Contributions'!A:D,3,FALSE)</f>
        <v>6.468E-4</v>
      </c>
      <c r="E37" s="9">
        <f>VLOOKUP(B37,'75 - Summary Exhibit'!A:N,3,FALSE)</f>
        <v>17234913</v>
      </c>
      <c r="F37" s="9">
        <f>VLOOKUP(B37,'75 - Summary Exhibit'!A:N,4,FALSE)</f>
        <v>189790</v>
      </c>
      <c r="G37" s="9">
        <f>VLOOKUP(B37,'75 - Summary Exhibit'!A:N,5,FALSE)</f>
        <v>137681</v>
      </c>
      <c r="H37" s="9">
        <f>VLOOKUP(B37,'75 - Summary Exhibit'!A:N,6,FALSE)</f>
        <v>1867066</v>
      </c>
      <c r="I37" s="6">
        <f>VLOOKUP(B37,'75 - Summary Exhibit'!A:N,7,FALSE)</f>
        <v>1016014</v>
      </c>
      <c r="J37" s="6">
        <f>VLOOKUP(B37,'75 - Summary Exhibit'!A:N,8,FALSE)</f>
        <v>16887</v>
      </c>
      <c r="K37" s="6">
        <f>VLOOKUP(B37,'75 - Summary Exhibit'!A:N,9,FALSE)</f>
        <v>0</v>
      </c>
      <c r="L37" s="6">
        <f>VLOOKUP(B37,'75 - Summary Exhibit'!A:N,10,FALSE)</f>
        <v>4598136</v>
      </c>
      <c r="M37" s="6">
        <f>VLOOKUP(B37,'75 - Summary Exhibit'!A:N,11,FALSE)</f>
        <v>538013</v>
      </c>
      <c r="N37" s="6">
        <f>VLOOKUP(B37,'75 - Summary Exhibit'!A:N,12,FALSE)</f>
        <v>-316101</v>
      </c>
      <c r="O37" s="6">
        <f>VLOOKUP(B37,'75 - Summary Exhibit'!A:N,13,FALSE)</f>
        <v>319464</v>
      </c>
      <c r="P37" s="6">
        <f t="shared" si="13"/>
        <v>3363</v>
      </c>
      <c r="Q37" s="6">
        <f>VLOOKUP(B37,'75- Deferred Amortization'!A:G,3,FALSE)</f>
        <v>-1111679</v>
      </c>
      <c r="R37" s="6">
        <f>VLOOKUP(B37,'75- Deferred Amortization'!A:G,4,FALSE)</f>
        <v>-921656</v>
      </c>
      <c r="S37" s="6">
        <f>VLOOKUP(B37,'75- Deferred Amortization'!A:G,5,FALSE)</f>
        <v>-242830</v>
      </c>
      <c r="T37" s="6">
        <f>VLOOKUP(B37,'75- Deferred Amortization'!A:G,6,FALSE)</f>
        <v>333681</v>
      </c>
      <c r="U37" s="6">
        <f>VLOOKUP(B37,'75- Deferred Amortization'!A:G,7,FALSE)</f>
        <v>0</v>
      </c>
      <c r="V37" s="6">
        <f t="shared" si="14"/>
        <v>0</v>
      </c>
      <c r="W37" s="6">
        <f t="shared" si="15"/>
        <v>-1</v>
      </c>
      <c r="X37">
        <v>2</v>
      </c>
      <c r="Z37" s="208">
        <f>VLOOKUP(B37,'Noncap Contr Alloc'!A:C,3,FALSE)</f>
        <v>22641</v>
      </c>
      <c r="AC37" s="9">
        <v>15239951</v>
      </c>
      <c r="AD37" s="9">
        <v>147960</v>
      </c>
      <c r="AE37" s="9">
        <v>131971</v>
      </c>
      <c r="AF37" s="9">
        <v>1220156</v>
      </c>
      <c r="AG37" s="6">
        <v>1578185</v>
      </c>
      <c r="AH37" s="6">
        <v>42171</v>
      </c>
      <c r="AI37" s="6">
        <v>0</v>
      </c>
      <c r="AJ37" s="6">
        <v>6936060</v>
      </c>
      <c r="AK37" s="6">
        <v>995331</v>
      </c>
      <c r="AM37" s="6">
        <f t="shared" si="16"/>
        <v>-562171</v>
      </c>
      <c r="AN37" s="6">
        <f t="shared" si="17"/>
        <v>-457318</v>
      </c>
      <c r="AO37" s="9">
        <f t="shared" si="18"/>
        <v>41830</v>
      </c>
      <c r="AP37" s="6">
        <f t="shared" si="19"/>
        <v>-25284</v>
      </c>
      <c r="AQ37" s="9">
        <f t="shared" si="20"/>
        <v>646910</v>
      </c>
      <c r="AR37" s="6">
        <f t="shared" si="21"/>
        <v>-2337924</v>
      </c>
      <c r="AS37" s="9">
        <f t="shared" si="22"/>
        <v>1994962</v>
      </c>
      <c r="AT37" s="9">
        <f t="shared" si="23"/>
        <v>5710</v>
      </c>
      <c r="AU37" s="6">
        <f t="shared" si="24"/>
        <v>0</v>
      </c>
      <c r="AV37" s="285">
        <f t="shared" si="12"/>
        <v>17234913</v>
      </c>
    </row>
    <row r="38" spans="1:48">
      <c r="A38" t="s">
        <v>69</v>
      </c>
      <c r="B38">
        <v>32905</v>
      </c>
      <c r="C38" s="6">
        <f>VLOOKUP(B38,'ER Contributions'!A:D,4,FALSE)</f>
        <v>1068342</v>
      </c>
      <c r="D38" s="7">
        <f>VLOOKUP(B38,'ER Contributions'!A:D,3,FALSE)</f>
        <v>7.7570000000000004E-4</v>
      </c>
      <c r="E38" s="9">
        <f>VLOOKUP(B38,'75 - Summary Exhibit'!A:N,3,FALSE)</f>
        <v>20670606</v>
      </c>
      <c r="F38" s="9">
        <f>VLOOKUP(B38,'75 - Summary Exhibit'!A:N,4,FALSE)</f>
        <v>227624</v>
      </c>
      <c r="G38" s="9">
        <f>VLOOKUP(B38,'75 - Summary Exhibit'!A:N,5,FALSE)</f>
        <v>165127</v>
      </c>
      <c r="H38" s="9">
        <f>VLOOKUP(B38,'75 - Summary Exhibit'!A:N,6,FALSE)</f>
        <v>2239256</v>
      </c>
      <c r="I38" s="6">
        <f>VLOOKUP(B38,'75 - Summary Exhibit'!A:N,7,FALSE)</f>
        <v>784464</v>
      </c>
      <c r="J38" s="6">
        <f>VLOOKUP(B38,'75 - Summary Exhibit'!A:N,8,FALSE)</f>
        <v>20253</v>
      </c>
      <c r="K38" s="6">
        <f>VLOOKUP(B38,'75 - Summary Exhibit'!A:N,9,FALSE)</f>
        <v>0</v>
      </c>
      <c r="L38" s="6">
        <f>VLOOKUP(B38,'75 - Summary Exhibit'!A:N,10,FALSE)</f>
        <v>5514751</v>
      </c>
      <c r="M38" s="6">
        <f>VLOOKUP(B38,'75 - Summary Exhibit'!A:N,11,FALSE)</f>
        <v>411250</v>
      </c>
      <c r="N38" s="6">
        <f>VLOOKUP(B38,'75 - Summary Exhibit'!A:N,12,FALSE)</f>
        <v>-379116</v>
      </c>
      <c r="O38" s="6">
        <f>VLOOKUP(B38,'75 - Summary Exhibit'!A:N,13,FALSE)</f>
        <v>-60945</v>
      </c>
      <c r="P38" s="6">
        <f t="shared" si="13"/>
        <v>-440061</v>
      </c>
      <c r="Q38" s="6">
        <f>VLOOKUP(B38,'75- Deferred Amortization'!A:G,3,FALSE)</f>
        <v>-1329971</v>
      </c>
      <c r="R38" s="6">
        <f>VLOOKUP(B38,'75- Deferred Amortization'!A:G,4,FALSE)</f>
        <v>-1142520</v>
      </c>
      <c r="S38" s="6">
        <f>VLOOKUP(B38,'75- Deferred Amortization'!A:G,5,FALSE)</f>
        <v>-441791</v>
      </c>
      <c r="T38" s="6">
        <f>VLOOKUP(B38,'75- Deferred Amortization'!A:G,6,FALSE)</f>
        <v>384499</v>
      </c>
      <c r="U38" s="6">
        <f>VLOOKUP(B38,'75- Deferred Amortization'!A:G,7,FALSE)</f>
        <v>0</v>
      </c>
      <c r="V38" s="6">
        <f t="shared" si="14"/>
        <v>-2</v>
      </c>
      <c r="W38" s="6">
        <f t="shared" si="15"/>
        <v>0</v>
      </c>
      <c r="X38">
        <v>2</v>
      </c>
      <c r="Z38" s="208">
        <f>VLOOKUP(B38,'Noncap Contr Alloc'!A:C,3,FALSE)</f>
        <v>27155</v>
      </c>
      <c r="AC38" s="9">
        <v>18293537</v>
      </c>
      <c r="AD38" s="9">
        <v>177606</v>
      </c>
      <c r="AE38" s="9">
        <v>158414</v>
      </c>
      <c r="AF38" s="9">
        <v>1464635</v>
      </c>
      <c r="AG38" s="6">
        <v>955876</v>
      </c>
      <c r="AH38" s="6">
        <v>50620</v>
      </c>
      <c r="AI38" s="6">
        <v>0</v>
      </c>
      <c r="AJ38" s="6">
        <v>8325819</v>
      </c>
      <c r="AK38" s="6">
        <v>822500</v>
      </c>
      <c r="AM38" s="6">
        <f t="shared" si="16"/>
        <v>-171412</v>
      </c>
      <c r="AN38" s="6">
        <f t="shared" si="17"/>
        <v>-411250</v>
      </c>
      <c r="AO38" s="9">
        <f t="shared" si="18"/>
        <v>50018</v>
      </c>
      <c r="AP38" s="6">
        <f t="shared" si="19"/>
        <v>-30367</v>
      </c>
      <c r="AQ38" s="9">
        <f t="shared" si="20"/>
        <v>774621</v>
      </c>
      <c r="AR38" s="6">
        <f t="shared" si="21"/>
        <v>-2811068</v>
      </c>
      <c r="AS38" s="9">
        <f t="shared" si="22"/>
        <v>2377069</v>
      </c>
      <c r="AT38" s="9">
        <f t="shared" si="23"/>
        <v>6713</v>
      </c>
      <c r="AU38" s="6">
        <f t="shared" si="24"/>
        <v>0</v>
      </c>
      <c r="AV38" s="285">
        <f t="shared" si="12"/>
        <v>20670606</v>
      </c>
    </row>
    <row r="39" spans="1:48">
      <c r="A39" t="s">
        <v>71</v>
      </c>
      <c r="B39">
        <v>33205</v>
      </c>
      <c r="C39" s="6">
        <f>VLOOKUP(B39,'ER Contributions'!A:D,4,FALSE)</f>
        <v>1634034</v>
      </c>
      <c r="D39" s="7">
        <f>VLOOKUP(B39,'ER Contributions'!A:D,3,FALSE)</f>
        <v>1.1536000000000001E-3</v>
      </c>
      <c r="E39" s="9">
        <f>VLOOKUP(B39,'75 - Summary Exhibit'!A:N,3,FALSE)</f>
        <v>30741510</v>
      </c>
      <c r="F39" s="9">
        <f>VLOOKUP(B39,'75 - Summary Exhibit'!A:N,4,FALSE)</f>
        <v>338524</v>
      </c>
      <c r="G39" s="9">
        <f>VLOOKUP(B39,'75 - Summary Exhibit'!A:N,5,FALSE)</f>
        <v>245579</v>
      </c>
      <c r="H39" s="9">
        <f>VLOOKUP(B39,'75 - Summary Exhibit'!A:N,6,FALSE)</f>
        <v>3330241</v>
      </c>
      <c r="I39" s="6">
        <f>VLOOKUP(B39,'75 - Summary Exhibit'!A:N,7,FALSE)</f>
        <v>3872569</v>
      </c>
      <c r="J39" s="6">
        <f>VLOOKUP(B39,'75 - Summary Exhibit'!A:N,8,FALSE)</f>
        <v>30121</v>
      </c>
      <c r="K39" s="6">
        <f>VLOOKUP(B39,'75 - Summary Exhibit'!A:N,9,FALSE)</f>
        <v>0</v>
      </c>
      <c r="L39" s="6">
        <f>VLOOKUP(B39,'75 - Summary Exhibit'!A:N,10,FALSE)</f>
        <v>8201587</v>
      </c>
      <c r="M39" s="6">
        <f>VLOOKUP(B39,'75 - Summary Exhibit'!A:N,11,FALSE)</f>
        <v>1061393</v>
      </c>
      <c r="N39" s="6">
        <f>VLOOKUP(B39,'75 - Summary Exhibit'!A:N,12,FALSE)</f>
        <v>-563824</v>
      </c>
      <c r="O39" s="6">
        <f>VLOOKUP(B39,'75 - Summary Exhibit'!A:N,13,FALSE)</f>
        <v>572968</v>
      </c>
      <c r="P39" s="6">
        <f t="shared" si="13"/>
        <v>9144</v>
      </c>
      <c r="Q39" s="6">
        <f>VLOOKUP(B39,'75- Deferred Amortization'!A:G,3,FALSE)</f>
        <v>-1255565</v>
      </c>
      <c r="R39" s="6">
        <f>VLOOKUP(B39,'75- Deferred Amortization'!A:G,4,FALSE)</f>
        <v>-1205517</v>
      </c>
      <c r="S39" s="6">
        <f>VLOOKUP(B39,'75- Deferred Amortization'!A:G,5,FALSE)</f>
        <v>200610</v>
      </c>
      <c r="T39" s="6">
        <f>VLOOKUP(B39,'75- Deferred Amortization'!A:G,6,FALSE)</f>
        <v>754286</v>
      </c>
      <c r="U39" s="6">
        <f>VLOOKUP(B39,'75- Deferred Amortization'!A:G,7,FALSE)</f>
        <v>0</v>
      </c>
      <c r="V39" s="6">
        <f t="shared" si="14"/>
        <v>-3</v>
      </c>
      <c r="W39" s="6">
        <f t="shared" si="15"/>
        <v>-2</v>
      </c>
      <c r="X39">
        <v>2</v>
      </c>
      <c r="Z39" s="208">
        <f>VLOOKUP(B39,'Noncap Contr Alloc'!A:C,3,FALSE)</f>
        <v>40385</v>
      </c>
      <c r="AC39" s="9">
        <v>26568491</v>
      </c>
      <c r="AD39" s="9">
        <v>257945</v>
      </c>
      <c r="AE39" s="9">
        <v>230072</v>
      </c>
      <c r="AF39" s="9">
        <v>2127153</v>
      </c>
      <c r="AG39" s="6">
        <v>3989346</v>
      </c>
      <c r="AH39" s="6">
        <v>73518</v>
      </c>
      <c r="AI39" s="6">
        <v>0</v>
      </c>
      <c r="AJ39" s="6">
        <v>12091946</v>
      </c>
      <c r="AK39" s="6">
        <v>1783531</v>
      </c>
      <c r="AM39" s="6">
        <f t="shared" si="16"/>
        <v>-116777</v>
      </c>
      <c r="AN39" s="6">
        <f t="shared" si="17"/>
        <v>-722138</v>
      </c>
      <c r="AO39" s="9">
        <f t="shared" si="18"/>
        <v>80579</v>
      </c>
      <c r="AP39" s="6">
        <f t="shared" si="19"/>
        <v>-43397</v>
      </c>
      <c r="AQ39" s="9">
        <f t="shared" si="20"/>
        <v>1203088</v>
      </c>
      <c r="AR39" s="6">
        <f t="shared" si="21"/>
        <v>-3890359</v>
      </c>
      <c r="AS39" s="9">
        <f t="shared" si="22"/>
        <v>4173019</v>
      </c>
      <c r="AT39" s="9">
        <f t="shared" si="23"/>
        <v>15507</v>
      </c>
      <c r="AU39" s="6">
        <f t="shared" si="24"/>
        <v>0</v>
      </c>
      <c r="AV39" s="285">
        <f t="shared" si="12"/>
        <v>30741510</v>
      </c>
    </row>
    <row r="40" spans="1:48">
      <c r="A40" t="s">
        <v>72</v>
      </c>
      <c r="B40">
        <v>33305</v>
      </c>
      <c r="C40" s="6">
        <f>VLOOKUP(B40,'ER Contributions'!A:D,4,FALSE)</f>
        <v>585103</v>
      </c>
      <c r="D40" s="7">
        <f>VLOOKUP(B40,'ER Contributions'!A:D,3,FALSE)</f>
        <v>3.813E-4</v>
      </c>
      <c r="E40" s="9">
        <f>VLOOKUP(B40,'75 - Summary Exhibit'!A:N,3,FALSE)</f>
        <v>10159989</v>
      </c>
      <c r="F40" s="9">
        <f>VLOOKUP(B40,'75 - Summary Exhibit'!A:N,4,FALSE)</f>
        <v>111881</v>
      </c>
      <c r="G40" s="9">
        <f>VLOOKUP(B40,'75 - Summary Exhibit'!A:N,5,FALSE)</f>
        <v>81163</v>
      </c>
      <c r="H40" s="9">
        <f>VLOOKUP(B40,'75 - Summary Exhibit'!A:N,6,FALSE)</f>
        <v>1100636</v>
      </c>
      <c r="I40" s="6">
        <f>VLOOKUP(B40,'75 - Summary Exhibit'!A:N,7,FALSE)</f>
        <v>716044</v>
      </c>
      <c r="J40" s="6">
        <f>VLOOKUP(B40,'75 - Summary Exhibit'!A:N,8,FALSE)</f>
        <v>9955</v>
      </c>
      <c r="K40" s="6">
        <f>VLOOKUP(B40,'75 - Summary Exhibit'!A:N,9,FALSE)</f>
        <v>0</v>
      </c>
      <c r="L40" s="6">
        <f>VLOOKUP(B40,'75 - Summary Exhibit'!A:N,10,FALSE)</f>
        <v>2710603</v>
      </c>
      <c r="M40" s="6">
        <f>VLOOKUP(B40,'75 - Summary Exhibit'!A:N,11,FALSE)</f>
        <v>1731745</v>
      </c>
      <c r="N40" s="6">
        <f>VLOOKUP(B40,'75 - Summary Exhibit'!A:N,12,FALSE)</f>
        <v>-186342</v>
      </c>
      <c r="O40" s="6">
        <f>VLOOKUP(B40,'75 - Summary Exhibit'!A:N,13,FALSE)</f>
        <v>-685002</v>
      </c>
      <c r="P40" s="6">
        <f t="shared" si="13"/>
        <v>-871344</v>
      </c>
      <c r="Q40" s="6">
        <f>VLOOKUP(B40,'75- Deferred Amortization'!A:G,3,FALSE)</f>
        <v>-1187273</v>
      </c>
      <c r="R40" s="6">
        <f>VLOOKUP(B40,'75- Deferred Amortization'!A:G,4,FALSE)</f>
        <v>-1112011</v>
      </c>
      <c r="S40" s="6">
        <f>VLOOKUP(B40,'75- Deferred Amortization'!A:G,5,FALSE)</f>
        <v>-493708</v>
      </c>
      <c r="T40" s="6">
        <f>VLOOKUP(B40,'75- Deferred Amortization'!A:G,6,FALSE)</f>
        <v>350413</v>
      </c>
      <c r="U40" s="6">
        <f>VLOOKUP(B40,'75- Deferred Amortization'!A:G,7,FALSE)</f>
        <v>0</v>
      </c>
      <c r="V40" s="6">
        <f t="shared" si="14"/>
        <v>0</v>
      </c>
      <c r="W40" s="6">
        <f t="shared" si="15"/>
        <v>0</v>
      </c>
      <c r="X40">
        <v>2</v>
      </c>
      <c r="Z40" s="208">
        <f>VLOOKUP(B40,'Noncap Contr Alloc'!A:C,3,FALSE)</f>
        <v>13347</v>
      </c>
      <c r="AC40" s="9">
        <v>8442037</v>
      </c>
      <c r="AD40" s="9">
        <v>81961</v>
      </c>
      <c r="AE40" s="9">
        <v>73104</v>
      </c>
      <c r="AF40" s="9">
        <v>675895</v>
      </c>
      <c r="AG40" s="6">
        <v>0</v>
      </c>
      <c r="AH40" s="6">
        <v>23360</v>
      </c>
      <c r="AI40" s="6">
        <v>0</v>
      </c>
      <c r="AJ40" s="6">
        <v>3842170</v>
      </c>
      <c r="AK40" s="6">
        <v>2595755</v>
      </c>
      <c r="AM40" s="6">
        <f t="shared" si="16"/>
        <v>716044</v>
      </c>
      <c r="AN40" s="6">
        <f t="shared" si="17"/>
        <v>-864010</v>
      </c>
      <c r="AO40" s="9">
        <f t="shared" si="18"/>
        <v>29920</v>
      </c>
      <c r="AP40" s="6">
        <f t="shared" si="19"/>
        <v>-13405</v>
      </c>
      <c r="AQ40" s="9">
        <f t="shared" si="20"/>
        <v>424741</v>
      </c>
      <c r="AR40" s="6">
        <f t="shared" si="21"/>
        <v>-1131567</v>
      </c>
      <c r="AS40" s="9">
        <f t="shared" si="22"/>
        <v>1717952</v>
      </c>
      <c r="AT40" s="9">
        <f t="shared" si="23"/>
        <v>8059</v>
      </c>
      <c r="AU40" s="6">
        <f t="shared" si="24"/>
        <v>0</v>
      </c>
      <c r="AV40" s="285">
        <f t="shared" si="12"/>
        <v>10159989</v>
      </c>
    </row>
    <row r="41" spans="1:48">
      <c r="A41" t="s">
        <v>68</v>
      </c>
      <c r="B41">
        <v>32605</v>
      </c>
      <c r="C41" s="6">
        <f>VLOOKUP(B41,'ER Contributions'!A:D,4,FALSE)</f>
        <v>3686273</v>
      </c>
      <c r="D41" s="7">
        <f>VLOOKUP(B41,'ER Contributions'!A:D,3,FALSE)</f>
        <v>2.5812999999999999E-3</v>
      </c>
      <c r="E41" s="9">
        <f>VLOOKUP(B41,'75 - Summary Exhibit'!A:N,3,FALSE)</f>
        <v>68785878</v>
      </c>
      <c r="F41" s="9">
        <f>VLOOKUP(B41,'75 - Summary Exhibit'!A:N,4,FALSE)</f>
        <v>757467</v>
      </c>
      <c r="G41" s="9">
        <f>VLOOKUP(B41,'75 - Summary Exhibit'!A:N,5,FALSE)</f>
        <v>549497</v>
      </c>
      <c r="H41" s="9">
        <f>VLOOKUP(B41,'75 - Summary Exhibit'!A:N,6,FALSE)</f>
        <v>7451605</v>
      </c>
      <c r="I41" s="6">
        <f>VLOOKUP(B41,'75 - Summary Exhibit'!A:N,7,FALSE)</f>
        <v>9641819</v>
      </c>
      <c r="J41" s="6">
        <f>VLOOKUP(B41,'75 - Summary Exhibit'!A:N,8,FALSE)</f>
        <v>67396</v>
      </c>
      <c r="K41" s="6">
        <f>VLOOKUP(B41,'75 - Summary Exhibit'!A:N,9,FALSE)</f>
        <v>0</v>
      </c>
      <c r="L41" s="6">
        <f>VLOOKUP(B41,'75 - Summary Exhibit'!A:N,10,FALSE)</f>
        <v>18351517</v>
      </c>
      <c r="M41" s="6">
        <f>VLOOKUP(B41,'75 - Summary Exhibit'!A:N,11,FALSE)</f>
        <v>405714</v>
      </c>
      <c r="N41" s="6">
        <f>VLOOKUP(B41,'75 - Summary Exhibit'!A:N,12,FALSE)</f>
        <v>-1261586</v>
      </c>
      <c r="O41" s="6">
        <f>VLOOKUP(B41,'75 - Summary Exhibit'!A:N,13,FALSE)</f>
        <v>3339320</v>
      </c>
      <c r="P41" s="6">
        <f t="shared" si="13"/>
        <v>2077734</v>
      </c>
      <c r="Q41" s="6">
        <f>VLOOKUP(B41,'75- Deferred Amortization'!A:G,3,FALSE)</f>
        <v>-1144350</v>
      </c>
      <c r="R41" s="6">
        <f>VLOOKUP(B41,'75- Deferred Amortization'!A:G,4,FALSE)</f>
        <v>-1901414</v>
      </c>
      <c r="S41" s="6">
        <f>VLOOKUP(B41,'75- Deferred Amortization'!A:G,5,FALSE)</f>
        <v>134245</v>
      </c>
      <c r="T41" s="6">
        <f>VLOOKUP(B41,'75- Deferred Amortization'!A:G,6,FALSE)</f>
        <v>2487279</v>
      </c>
      <c r="U41" s="6">
        <f>VLOOKUP(B41,'75- Deferred Amortization'!A:G,7,FALSE)</f>
        <v>0</v>
      </c>
      <c r="V41" s="6">
        <f t="shared" si="14"/>
        <v>2</v>
      </c>
      <c r="W41" s="6">
        <f t="shared" si="15"/>
        <v>1</v>
      </c>
      <c r="X41">
        <v>2</v>
      </c>
      <c r="Z41" s="208">
        <f>VLOOKUP(B41,'Noncap Contr Alloc'!A:C,3,FALSE)</f>
        <v>90364</v>
      </c>
      <c r="AC41" s="9">
        <v>56530015</v>
      </c>
      <c r="AD41" s="9">
        <v>548832</v>
      </c>
      <c r="AE41" s="9">
        <v>489525</v>
      </c>
      <c r="AF41" s="9">
        <v>4525962</v>
      </c>
      <c r="AG41" s="6">
        <v>6482191</v>
      </c>
      <c r="AH41" s="6">
        <v>156424</v>
      </c>
      <c r="AI41" s="6">
        <v>0</v>
      </c>
      <c r="AJ41" s="6">
        <v>25728141</v>
      </c>
      <c r="AK41" s="6">
        <v>540952</v>
      </c>
      <c r="AM41" s="6">
        <f t="shared" si="16"/>
        <v>3159628</v>
      </c>
      <c r="AN41" s="6">
        <f t="shared" si="17"/>
        <v>-135238</v>
      </c>
      <c r="AO41" s="9">
        <f t="shared" si="18"/>
        <v>208635</v>
      </c>
      <c r="AP41" s="6">
        <f t="shared" si="19"/>
        <v>-89028</v>
      </c>
      <c r="AQ41" s="9">
        <f t="shared" si="20"/>
        <v>2925643</v>
      </c>
      <c r="AR41" s="6">
        <f t="shared" si="21"/>
        <v>-7376624</v>
      </c>
      <c r="AS41" s="9">
        <f t="shared" si="22"/>
        <v>12255863</v>
      </c>
      <c r="AT41" s="9">
        <f t="shared" si="23"/>
        <v>59972</v>
      </c>
      <c r="AU41" s="6">
        <f t="shared" si="24"/>
        <v>0</v>
      </c>
      <c r="AV41" s="285">
        <f t="shared" si="12"/>
        <v>68785878</v>
      </c>
    </row>
    <row r="42" spans="1:48">
      <c r="A42" t="s">
        <v>73</v>
      </c>
      <c r="B42">
        <v>33405</v>
      </c>
      <c r="C42" s="6">
        <f>VLOOKUP(B42,'ER Contributions'!A:D,4,FALSE)</f>
        <v>2321730</v>
      </c>
      <c r="D42" s="7">
        <f>VLOOKUP(B42,'ER Contributions'!A:D,3,FALSE)</f>
        <v>1.6815999999999999E-3</v>
      </c>
      <c r="E42" s="9">
        <f>VLOOKUP(B42,'75 - Summary Exhibit'!A:N,3,FALSE)</f>
        <v>44811442</v>
      </c>
      <c r="F42" s="9">
        <f>VLOOKUP(B42,'75 - Summary Exhibit'!A:N,4,FALSE)</f>
        <v>493462</v>
      </c>
      <c r="G42" s="9">
        <f>VLOOKUP(B42,'75 - Summary Exhibit'!A:N,5,FALSE)</f>
        <v>357977</v>
      </c>
      <c r="H42" s="9">
        <f>VLOOKUP(B42,'75 - Summary Exhibit'!A:N,6,FALSE)</f>
        <v>4854443</v>
      </c>
      <c r="I42" s="6">
        <f>VLOOKUP(B42,'75 - Summary Exhibit'!A:N,7,FALSE)</f>
        <v>3731906</v>
      </c>
      <c r="J42" s="6">
        <f>VLOOKUP(B42,'75 - Summary Exhibit'!A:N,8,FALSE)</f>
        <v>43906</v>
      </c>
      <c r="K42" s="6">
        <f>VLOOKUP(B42,'75 - Summary Exhibit'!A:N,9,FALSE)</f>
        <v>0</v>
      </c>
      <c r="L42" s="6">
        <f>VLOOKUP(B42,'75 - Summary Exhibit'!A:N,10,FALSE)</f>
        <v>11955331</v>
      </c>
      <c r="M42" s="6">
        <f>VLOOKUP(B42,'75 - Summary Exhibit'!A:N,11,FALSE)</f>
        <v>633233</v>
      </c>
      <c r="N42" s="6">
        <f>VLOOKUP(B42,'75 - Summary Exhibit'!A:N,12,FALSE)</f>
        <v>-821877</v>
      </c>
      <c r="O42" s="6">
        <f>VLOOKUP(B42,'75 - Summary Exhibit'!A:N,13,FALSE)</f>
        <v>148636</v>
      </c>
      <c r="P42" s="6">
        <f t="shared" si="13"/>
        <v>-673241</v>
      </c>
      <c r="Q42" s="6">
        <f>VLOOKUP(B42,'75- Deferred Amortization'!A:G,3,FALSE)</f>
        <v>-1922907</v>
      </c>
      <c r="R42" s="6">
        <f>VLOOKUP(B42,'75- Deferred Amortization'!A:G,4,FALSE)</f>
        <v>-2071418</v>
      </c>
      <c r="S42" s="6">
        <f>VLOOKUP(B42,'75- Deferred Amortization'!A:G,5,FALSE)</f>
        <v>-367967</v>
      </c>
      <c r="T42" s="6">
        <f>VLOOKUP(B42,'75- Deferred Amortization'!A:G,6,FALSE)</f>
        <v>1167610</v>
      </c>
      <c r="U42" s="6">
        <f>VLOOKUP(B42,'75- Deferred Amortization'!A:G,7,FALSE)</f>
        <v>0</v>
      </c>
      <c r="V42" s="6">
        <f t="shared" si="14"/>
        <v>0</v>
      </c>
      <c r="W42" s="6">
        <f t="shared" si="15"/>
        <v>0</v>
      </c>
      <c r="X42">
        <v>2</v>
      </c>
      <c r="Z42" s="208">
        <f>VLOOKUP(B42,'Noncap Contr Alloc'!A:C,3,FALSE)</f>
        <v>58869</v>
      </c>
      <c r="AC42" s="9">
        <v>38433764</v>
      </c>
      <c r="AD42" s="9">
        <v>373141</v>
      </c>
      <c r="AE42" s="9">
        <v>332820</v>
      </c>
      <c r="AF42" s="9">
        <v>3077122</v>
      </c>
      <c r="AG42" s="6">
        <v>2780536</v>
      </c>
      <c r="AH42" s="6">
        <v>106350</v>
      </c>
      <c r="AI42" s="6">
        <v>0</v>
      </c>
      <c r="AJ42" s="6">
        <v>17492111</v>
      </c>
      <c r="AK42" s="6">
        <v>1591358</v>
      </c>
      <c r="AM42" s="6">
        <f t="shared" si="16"/>
        <v>951370</v>
      </c>
      <c r="AN42" s="6">
        <f t="shared" si="17"/>
        <v>-958125</v>
      </c>
      <c r="AO42" s="9">
        <f t="shared" si="18"/>
        <v>120321</v>
      </c>
      <c r="AP42" s="6">
        <f t="shared" si="19"/>
        <v>-62444</v>
      </c>
      <c r="AQ42" s="9">
        <f t="shared" si="20"/>
        <v>1777321</v>
      </c>
      <c r="AR42" s="6">
        <f t="shared" si="21"/>
        <v>-5536780</v>
      </c>
      <c r="AS42" s="9">
        <f t="shared" si="22"/>
        <v>6377678</v>
      </c>
      <c r="AT42" s="9">
        <f t="shared" si="23"/>
        <v>25157</v>
      </c>
      <c r="AU42" s="6">
        <f t="shared" si="24"/>
        <v>0</v>
      </c>
      <c r="AV42" s="285">
        <f t="shared" si="12"/>
        <v>44811442</v>
      </c>
    </row>
    <row r="43" spans="1:48">
      <c r="A43" t="s">
        <v>74</v>
      </c>
      <c r="B43">
        <v>33605</v>
      </c>
      <c r="C43" s="6">
        <f>VLOOKUP(B43,'ER Contributions'!A:D,4,FALSE)</f>
        <v>1788154</v>
      </c>
      <c r="D43" s="7">
        <f>VLOOKUP(B43,'ER Contributions'!A:D,3,FALSE)</f>
        <v>1.0816999999999999E-3</v>
      </c>
      <c r="E43" s="9">
        <f>VLOOKUP(B43,'75 - Summary Exhibit'!A:N,3,FALSE)</f>
        <v>28825741</v>
      </c>
      <c r="F43" s="9">
        <f>VLOOKUP(B43,'75 - Summary Exhibit'!A:N,4,FALSE)</f>
        <v>317428</v>
      </c>
      <c r="G43" s="9">
        <f>VLOOKUP(B43,'75 - Summary Exhibit'!A:N,5,FALSE)</f>
        <v>230275</v>
      </c>
      <c r="H43" s="9">
        <f>VLOOKUP(B43,'75 - Summary Exhibit'!A:N,6,FALSE)</f>
        <v>3122705</v>
      </c>
      <c r="I43" s="6">
        <f>VLOOKUP(B43,'75 - Summary Exhibit'!A:N,7,FALSE)</f>
        <v>2310782</v>
      </c>
      <c r="J43" s="6">
        <f>VLOOKUP(B43,'75 - Summary Exhibit'!A:N,8,FALSE)</f>
        <v>28243</v>
      </c>
      <c r="K43" s="6">
        <f>VLOOKUP(B43,'75 - Summary Exhibit'!A:N,9,FALSE)</f>
        <v>0</v>
      </c>
      <c r="L43" s="6">
        <f>VLOOKUP(B43,'75 - Summary Exhibit'!A:N,10,FALSE)</f>
        <v>7690475</v>
      </c>
      <c r="M43" s="6">
        <f>VLOOKUP(B43,'75 - Summary Exhibit'!A:N,11,FALSE)</f>
        <v>2037994</v>
      </c>
      <c r="N43" s="6">
        <f>VLOOKUP(B43,'75 - Summary Exhibit'!A:N,12,FALSE)</f>
        <v>-528686</v>
      </c>
      <c r="O43" s="6">
        <f>VLOOKUP(B43,'75 - Summary Exhibit'!A:N,13,FALSE)</f>
        <v>-738068</v>
      </c>
      <c r="P43" s="6">
        <f t="shared" si="13"/>
        <v>-1266754</v>
      </c>
      <c r="Q43" s="6">
        <f>VLOOKUP(B43,'75- Deferred Amortization'!A:G,3,FALSE)</f>
        <v>-2176106</v>
      </c>
      <c r="R43" s="6">
        <f>VLOOKUP(B43,'75- Deferred Amortization'!A:G,4,FALSE)</f>
        <v>-2050169</v>
      </c>
      <c r="S43" s="6">
        <f>VLOOKUP(B43,'75- Deferred Amortization'!A:G,5,FALSE)</f>
        <v>-473592</v>
      </c>
      <c r="T43" s="6">
        <f>VLOOKUP(B43,'75- Deferred Amortization'!A:G,6,FALSE)</f>
        <v>924344</v>
      </c>
      <c r="U43" s="6">
        <f>VLOOKUP(B43,'75- Deferred Amortization'!A:G,7,FALSE)</f>
        <v>0</v>
      </c>
      <c r="V43" s="6">
        <f t="shared" si="14"/>
        <v>2</v>
      </c>
      <c r="W43" s="6">
        <f t="shared" si="15"/>
        <v>1</v>
      </c>
      <c r="X43">
        <v>2</v>
      </c>
      <c r="Z43" s="208">
        <f>VLOOKUP(B43,'Noncap Contr Alloc'!A:C,3,FALSE)</f>
        <v>37868</v>
      </c>
      <c r="AC43" s="9">
        <v>24302704</v>
      </c>
      <c r="AD43" s="9">
        <v>235947</v>
      </c>
      <c r="AE43" s="9">
        <v>210451</v>
      </c>
      <c r="AF43" s="9">
        <v>1945747</v>
      </c>
      <c r="AG43" s="6">
        <v>744808</v>
      </c>
      <c r="AH43" s="6">
        <v>67248</v>
      </c>
      <c r="AI43" s="6">
        <v>0</v>
      </c>
      <c r="AJ43" s="6">
        <v>11060733</v>
      </c>
      <c r="AK43" s="6">
        <v>3400309</v>
      </c>
      <c r="AM43" s="6">
        <f t="shared" si="16"/>
        <v>1565974</v>
      </c>
      <c r="AN43" s="6">
        <f t="shared" si="17"/>
        <v>-1362315</v>
      </c>
      <c r="AO43" s="9">
        <f t="shared" si="18"/>
        <v>81481</v>
      </c>
      <c r="AP43" s="6">
        <f t="shared" si="19"/>
        <v>-39005</v>
      </c>
      <c r="AQ43" s="9">
        <f t="shared" si="20"/>
        <v>1176958</v>
      </c>
      <c r="AR43" s="6">
        <f t="shared" si="21"/>
        <v>-3370258</v>
      </c>
      <c r="AS43" s="9">
        <f t="shared" si="22"/>
        <v>4523037</v>
      </c>
      <c r="AT43" s="9">
        <f t="shared" si="23"/>
        <v>19824</v>
      </c>
      <c r="AU43" s="6">
        <f t="shared" si="24"/>
        <v>0</v>
      </c>
      <c r="AV43" s="285">
        <f t="shared" si="12"/>
        <v>28825741</v>
      </c>
    </row>
    <row r="44" spans="1:48">
      <c r="A44" t="s">
        <v>75</v>
      </c>
      <c r="B44">
        <v>34105</v>
      </c>
      <c r="C44" s="6">
        <f>VLOOKUP(B44,'ER Contributions'!A:D,4,FALSE)</f>
        <v>2908477</v>
      </c>
      <c r="D44" s="7">
        <f>VLOOKUP(B44,'ER Contributions'!A:D,3,FALSE)</f>
        <v>1.8044000000000001E-3</v>
      </c>
      <c r="E44" s="9">
        <f>VLOOKUP(B44,'75 - Summary Exhibit'!A:N,3,FALSE)</f>
        <v>48083431</v>
      </c>
      <c r="F44" s="9">
        <f>VLOOKUP(B44,'75 - Summary Exhibit'!A:N,4,FALSE)</f>
        <v>529493</v>
      </c>
      <c r="G44" s="9">
        <f>VLOOKUP(B44,'75 - Summary Exhibit'!A:N,5,FALSE)</f>
        <v>384115</v>
      </c>
      <c r="H44" s="9">
        <f>VLOOKUP(B44,'75 - Summary Exhibit'!A:N,6,FALSE)</f>
        <v>5208899</v>
      </c>
      <c r="I44" s="6">
        <f>VLOOKUP(B44,'75 - Summary Exhibit'!A:N,7,FALSE)</f>
        <v>1383382</v>
      </c>
      <c r="J44" s="6">
        <f>VLOOKUP(B44,'75 - Summary Exhibit'!A:N,8,FALSE)</f>
        <v>47112</v>
      </c>
      <c r="K44" s="6">
        <f>VLOOKUP(B44,'75 - Summary Exhibit'!A:N,9,FALSE)</f>
        <v>0</v>
      </c>
      <c r="L44" s="6">
        <f>VLOOKUP(B44,'75 - Summary Exhibit'!A:N,10,FALSE)</f>
        <v>12828271</v>
      </c>
      <c r="M44" s="6">
        <f>VLOOKUP(B44,'75 - Summary Exhibit'!A:N,11,FALSE)</f>
        <v>3261100</v>
      </c>
      <c r="N44" s="6">
        <f>VLOOKUP(B44,'75 - Summary Exhibit'!A:N,12,FALSE)</f>
        <v>-881886</v>
      </c>
      <c r="O44" s="6">
        <f>VLOOKUP(B44,'75 - Summary Exhibit'!A:N,13,FALSE)</f>
        <v>-1923210</v>
      </c>
      <c r="P44" s="6">
        <f t="shared" si="13"/>
        <v>-2805096</v>
      </c>
      <c r="Q44" s="6">
        <f>VLOOKUP(B44,'75- Deferred Amortization'!A:G,3,FALSE)</f>
        <v>-4190867</v>
      </c>
      <c r="R44" s="6">
        <f>VLOOKUP(B44,'75- Deferred Amortization'!A:G,4,FALSE)</f>
        <v>-3845957</v>
      </c>
      <c r="S44" s="6">
        <f>VLOOKUP(B44,'75- Deferred Amortization'!A:G,5,FALSE)</f>
        <v>-1616217</v>
      </c>
      <c r="T44" s="6">
        <f>VLOOKUP(B44,'75- Deferred Amortization'!A:G,6,FALSE)</f>
        <v>1022448</v>
      </c>
      <c r="U44" s="6">
        <f>VLOOKUP(B44,'75- Deferred Amortization'!A:G,7,FALSE)</f>
        <v>0</v>
      </c>
      <c r="V44" s="6">
        <f t="shared" si="14"/>
        <v>1</v>
      </c>
      <c r="W44" s="6">
        <f t="shared" si="15"/>
        <v>-1</v>
      </c>
      <c r="X44">
        <v>2</v>
      </c>
      <c r="Z44" s="208">
        <f>VLOOKUP(B44,'Noncap Contr Alloc'!A:C,3,FALSE)</f>
        <v>63167</v>
      </c>
      <c r="AC44" s="9">
        <v>42394438</v>
      </c>
      <c r="AD44" s="9">
        <v>411594</v>
      </c>
      <c r="AE44" s="9">
        <v>367117</v>
      </c>
      <c r="AF44" s="9">
        <v>3394226</v>
      </c>
      <c r="AG44" s="6">
        <v>717768</v>
      </c>
      <c r="AH44" s="6">
        <v>117310</v>
      </c>
      <c r="AI44" s="6">
        <v>0</v>
      </c>
      <c r="AJ44" s="6">
        <v>19294707</v>
      </c>
      <c r="AK44" s="6">
        <v>5575016</v>
      </c>
      <c r="AM44" s="6">
        <f t="shared" si="16"/>
        <v>665614</v>
      </c>
      <c r="AN44" s="6">
        <f t="shared" si="17"/>
        <v>-2313916</v>
      </c>
      <c r="AO44" s="9">
        <f t="shared" si="18"/>
        <v>117899</v>
      </c>
      <c r="AP44" s="6">
        <f t="shared" si="19"/>
        <v>-70198</v>
      </c>
      <c r="AQ44" s="9">
        <f t="shared" si="20"/>
        <v>1814673</v>
      </c>
      <c r="AR44" s="6">
        <f t="shared" si="21"/>
        <v>-6466436</v>
      </c>
      <c r="AS44" s="9">
        <f t="shared" si="22"/>
        <v>5688993</v>
      </c>
      <c r="AT44" s="9">
        <f t="shared" si="23"/>
        <v>16998</v>
      </c>
      <c r="AU44" s="6">
        <f t="shared" si="24"/>
        <v>0</v>
      </c>
      <c r="AV44" s="285">
        <f t="shared" si="12"/>
        <v>48083431</v>
      </c>
    </row>
    <row r="45" spans="1:48">
      <c r="A45" t="s">
        <v>76</v>
      </c>
      <c r="B45">
        <v>34205</v>
      </c>
      <c r="C45" s="6">
        <f>VLOOKUP(B45,'ER Contributions'!A:D,4,FALSE)</f>
        <v>454723</v>
      </c>
      <c r="D45" s="7">
        <f>VLOOKUP(B45,'ER Contributions'!A:D,3,FALSE)</f>
        <v>3.2539999999999999E-4</v>
      </c>
      <c r="E45" s="9">
        <f>VLOOKUP(B45,'75 - Summary Exhibit'!A:N,3,FALSE)</f>
        <v>8671747</v>
      </c>
      <c r="F45" s="9">
        <f>VLOOKUP(B45,'75 - Summary Exhibit'!A:N,4,FALSE)</f>
        <v>95493</v>
      </c>
      <c r="G45" s="9">
        <f>VLOOKUP(B45,'75 - Summary Exhibit'!A:N,5,FALSE)</f>
        <v>69274</v>
      </c>
      <c r="H45" s="9">
        <f>VLOOKUP(B45,'75 - Summary Exhibit'!A:N,6,FALSE)</f>
        <v>939414</v>
      </c>
      <c r="I45" s="6">
        <f>VLOOKUP(B45,'75 - Summary Exhibit'!A:N,7,FALSE)</f>
        <v>637611</v>
      </c>
      <c r="J45" s="6">
        <f>VLOOKUP(B45,'75 - Summary Exhibit'!A:N,8,FALSE)</f>
        <v>8497</v>
      </c>
      <c r="K45" s="6">
        <f>VLOOKUP(B45,'75 - Summary Exhibit'!A:N,9,FALSE)</f>
        <v>0</v>
      </c>
      <c r="L45" s="6">
        <f>VLOOKUP(B45,'75 - Summary Exhibit'!A:N,10,FALSE)</f>
        <v>2313552</v>
      </c>
      <c r="M45" s="6">
        <f>VLOOKUP(B45,'75 - Summary Exhibit'!A:N,11,FALSE)</f>
        <v>1139331</v>
      </c>
      <c r="N45" s="6">
        <f>VLOOKUP(B45,'75 - Summary Exhibit'!A:N,12,FALSE)</f>
        <v>-159046</v>
      </c>
      <c r="O45" s="6">
        <f>VLOOKUP(B45,'75 - Summary Exhibit'!A:N,13,FALSE)</f>
        <v>-363458</v>
      </c>
      <c r="P45" s="6">
        <f t="shared" si="13"/>
        <v>-522504</v>
      </c>
      <c r="Q45" s="6">
        <f>VLOOKUP(B45,'75- Deferred Amortization'!A:G,3,FALSE)</f>
        <v>-823881</v>
      </c>
      <c r="R45" s="6">
        <f>VLOOKUP(B45,'75- Deferred Amortization'!A:G,4,FALSE)</f>
        <v>-769081</v>
      </c>
      <c r="S45" s="6">
        <f>VLOOKUP(B45,'75- Deferred Amortization'!A:G,5,FALSE)</f>
        <v>-241623</v>
      </c>
      <c r="T45" s="6">
        <f>VLOOKUP(B45,'75- Deferred Amortization'!A:G,6,FALSE)</f>
        <v>114998</v>
      </c>
      <c r="U45" s="6">
        <f>VLOOKUP(B45,'75- Deferred Amortization'!A:G,7,FALSE)</f>
        <v>0</v>
      </c>
      <c r="V45" s="6">
        <f t="shared" si="14"/>
        <v>-2</v>
      </c>
      <c r="W45" s="6">
        <f t="shared" si="15"/>
        <v>-1</v>
      </c>
      <c r="X45">
        <v>2</v>
      </c>
      <c r="Z45" s="208">
        <f>VLOOKUP(B45,'Noncap Contr Alloc'!A:C,3,FALSE)</f>
        <v>11392</v>
      </c>
      <c r="AC45" s="9">
        <v>7849633</v>
      </c>
      <c r="AD45" s="9">
        <v>76210</v>
      </c>
      <c r="AE45" s="9">
        <v>67974</v>
      </c>
      <c r="AF45" s="9">
        <v>628465</v>
      </c>
      <c r="AG45" s="6">
        <v>850148</v>
      </c>
      <c r="AH45" s="6">
        <v>21721</v>
      </c>
      <c r="AI45" s="6">
        <v>0</v>
      </c>
      <c r="AJ45" s="6">
        <v>3572553</v>
      </c>
      <c r="AK45" s="6">
        <v>1558842</v>
      </c>
      <c r="AM45" s="6">
        <f t="shared" si="16"/>
        <v>-212537</v>
      </c>
      <c r="AN45" s="6">
        <f t="shared" si="17"/>
        <v>-419511</v>
      </c>
      <c r="AO45" s="9">
        <f t="shared" si="18"/>
        <v>19283</v>
      </c>
      <c r="AP45" s="6">
        <f t="shared" si="19"/>
        <v>-13224</v>
      </c>
      <c r="AQ45" s="9">
        <f t="shared" si="20"/>
        <v>310949</v>
      </c>
      <c r="AR45" s="6">
        <f t="shared" si="21"/>
        <v>-1259001</v>
      </c>
      <c r="AS45" s="9">
        <f t="shared" si="22"/>
        <v>822114</v>
      </c>
      <c r="AT45" s="9">
        <f t="shared" si="23"/>
        <v>1300</v>
      </c>
      <c r="AU45" s="6">
        <f t="shared" si="24"/>
        <v>0</v>
      </c>
      <c r="AV45" s="285">
        <f t="shared" si="12"/>
        <v>8671747</v>
      </c>
    </row>
    <row r="46" spans="1:48">
      <c r="A46" t="s">
        <v>77</v>
      </c>
      <c r="B46">
        <v>34405</v>
      </c>
      <c r="C46" s="6">
        <f>VLOOKUP(B46,'ER Contributions'!A:D,4,FALSE)</f>
        <v>568060</v>
      </c>
      <c r="D46" s="7">
        <f>VLOOKUP(B46,'ER Contributions'!A:D,3,FALSE)</f>
        <v>4.372E-4</v>
      </c>
      <c r="E46" s="9">
        <f>VLOOKUP(B46,'75 - Summary Exhibit'!A:N,3,FALSE)</f>
        <v>11651430</v>
      </c>
      <c r="F46" s="9">
        <f>VLOOKUP(B46,'75 - Summary Exhibit'!A:N,4,FALSE)</f>
        <v>128305</v>
      </c>
      <c r="G46" s="9">
        <f>VLOOKUP(B46,'75 - Summary Exhibit'!A:N,5,FALSE)</f>
        <v>93078</v>
      </c>
      <c r="H46" s="9">
        <f>VLOOKUP(B46,'75 - Summary Exhibit'!A:N,6,FALSE)</f>
        <v>1262205</v>
      </c>
      <c r="I46" s="6">
        <f>VLOOKUP(B46,'75 - Summary Exhibit'!A:N,7,FALSE)</f>
        <v>63924</v>
      </c>
      <c r="J46" s="6">
        <f>VLOOKUP(B46,'75 - Summary Exhibit'!A:N,8,FALSE)</f>
        <v>11416</v>
      </c>
      <c r="K46" s="6">
        <f>VLOOKUP(B46,'75 - Summary Exhibit'!A:N,9,FALSE)</f>
        <v>0</v>
      </c>
      <c r="L46" s="6">
        <f>VLOOKUP(B46,'75 - Summary Exhibit'!A:N,10,FALSE)</f>
        <v>3108507</v>
      </c>
      <c r="M46" s="6">
        <f>VLOOKUP(B46,'75 - Summary Exhibit'!A:N,11,FALSE)</f>
        <v>869910</v>
      </c>
      <c r="N46" s="6">
        <f>VLOOKUP(B46,'75 - Summary Exhibit'!A:N,12,FALSE)</f>
        <v>-213698</v>
      </c>
      <c r="O46" s="6">
        <f>VLOOKUP(B46,'75 - Summary Exhibit'!A:N,13,FALSE)</f>
        <v>-391189</v>
      </c>
      <c r="P46" s="6">
        <f t="shared" si="13"/>
        <v>-604887</v>
      </c>
      <c r="Q46" s="6">
        <f>VLOOKUP(B46,'75- Deferred Amortization'!A:G,3,FALSE)</f>
        <v>-1043691</v>
      </c>
      <c r="R46" s="6">
        <f>VLOOKUP(B46,'75- Deferred Amortization'!A:G,4,FALSE)</f>
        <v>-1152253</v>
      </c>
      <c r="S46" s="6">
        <f>VLOOKUP(B46,'75- Deferred Amortization'!A:G,5,FALSE)</f>
        <v>-422643</v>
      </c>
      <c r="T46" s="6">
        <f>VLOOKUP(B46,'75- Deferred Amortization'!A:G,6,FALSE)</f>
        <v>176265</v>
      </c>
      <c r="U46" s="6">
        <f>VLOOKUP(B46,'75- Deferred Amortization'!A:G,7,FALSE)</f>
        <v>0</v>
      </c>
      <c r="V46" s="6">
        <f t="shared" si="14"/>
        <v>1</v>
      </c>
      <c r="W46" s="6">
        <f t="shared" si="15"/>
        <v>1</v>
      </c>
      <c r="X46">
        <v>2</v>
      </c>
      <c r="Z46" s="208">
        <f>VLOOKUP(B46,'Noncap Contr Alloc'!A:C,3,FALSE)</f>
        <v>15306</v>
      </c>
      <c r="AC46" s="9">
        <v>10435269</v>
      </c>
      <c r="AD46" s="9">
        <v>101313</v>
      </c>
      <c r="AE46" s="9">
        <v>90365</v>
      </c>
      <c r="AF46" s="9">
        <v>835479</v>
      </c>
      <c r="AG46" s="6">
        <v>85232</v>
      </c>
      <c r="AH46" s="6">
        <v>28875</v>
      </c>
      <c r="AI46" s="6">
        <v>0</v>
      </c>
      <c r="AJ46" s="6">
        <v>4749337</v>
      </c>
      <c r="AK46" s="6">
        <v>1180913</v>
      </c>
      <c r="AM46" s="6">
        <f t="shared" si="16"/>
        <v>-21308</v>
      </c>
      <c r="AN46" s="6">
        <f t="shared" si="17"/>
        <v>-311003</v>
      </c>
      <c r="AO46" s="9">
        <f t="shared" si="18"/>
        <v>26992</v>
      </c>
      <c r="AP46" s="6">
        <f t="shared" si="19"/>
        <v>-17459</v>
      </c>
      <c r="AQ46" s="9">
        <f t="shared" si="20"/>
        <v>426726</v>
      </c>
      <c r="AR46" s="6">
        <f t="shared" si="21"/>
        <v>-1640830</v>
      </c>
      <c r="AS46" s="9">
        <f t="shared" si="22"/>
        <v>1216161</v>
      </c>
      <c r="AT46" s="9">
        <f t="shared" si="23"/>
        <v>2713</v>
      </c>
      <c r="AU46" s="6">
        <f t="shared" si="24"/>
        <v>0</v>
      </c>
      <c r="AV46" s="285">
        <f t="shared" si="12"/>
        <v>11651430</v>
      </c>
    </row>
    <row r="47" spans="1:48">
      <c r="A47" t="s">
        <v>103</v>
      </c>
      <c r="B47">
        <v>38105</v>
      </c>
      <c r="C47" s="6">
        <f>VLOOKUP(B47,'ER Contributions'!A:D,4,FALSE)</f>
        <v>743070</v>
      </c>
      <c r="D47" s="7">
        <f>VLOOKUP(B47,'ER Contributions'!A:D,3,FALSE)</f>
        <v>5.4040000000000002E-4</v>
      </c>
      <c r="E47" s="9">
        <f>VLOOKUP(B47,'75 - Summary Exhibit'!A:N,3,FALSE)</f>
        <v>14399051</v>
      </c>
      <c r="F47" s="9">
        <f>VLOOKUP(B47,'75 - Summary Exhibit'!A:N,4,FALSE)</f>
        <v>158562</v>
      </c>
      <c r="G47" s="9">
        <f>VLOOKUP(B47,'75 - Summary Exhibit'!A:N,5,FALSE)</f>
        <v>115027</v>
      </c>
      <c r="H47" s="9">
        <f>VLOOKUP(B47,'75 - Summary Exhibit'!A:N,6,FALSE)</f>
        <v>1559856</v>
      </c>
      <c r="I47" s="6">
        <f>VLOOKUP(B47,'75 - Summary Exhibit'!A:N,7,FALSE)</f>
        <v>1030272</v>
      </c>
      <c r="J47" s="6">
        <f>VLOOKUP(B47,'75 - Summary Exhibit'!A:N,8,FALSE)</f>
        <v>14108</v>
      </c>
      <c r="K47" s="6">
        <f>VLOOKUP(B47,'75 - Summary Exhibit'!A:N,9,FALSE)</f>
        <v>0</v>
      </c>
      <c r="L47" s="6">
        <f>VLOOKUP(B47,'75 - Summary Exhibit'!A:N,10,FALSE)</f>
        <v>3841551</v>
      </c>
      <c r="M47" s="6">
        <f>VLOOKUP(B47,'75 - Summary Exhibit'!A:N,11,FALSE)</f>
        <v>560222</v>
      </c>
      <c r="N47" s="6">
        <f>VLOOKUP(B47,'75 - Summary Exhibit'!A:N,12,FALSE)</f>
        <v>-264088</v>
      </c>
      <c r="O47" s="6">
        <f>VLOOKUP(B47,'75 - Summary Exhibit'!A:N,13,FALSE)</f>
        <v>-64401</v>
      </c>
      <c r="P47" s="6">
        <f t="shared" si="13"/>
        <v>-328489</v>
      </c>
      <c r="Q47" s="6">
        <f>VLOOKUP(B47,'75- Deferred Amortization'!A:G,3,FALSE)</f>
        <v>-835495</v>
      </c>
      <c r="R47" s="6">
        <f>VLOOKUP(B47,'75- Deferred Amortization'!A:G,4,FALSE)</f>
        <v>-859324</v>
      </c>
      <c r="S47" s="6">
        <f>VLOOKUP(B47,'75- Deferred Amortization'!A:G,5,FALSE)</f>
        <v>-308463</v>
      </c>
      <c r="T47" s="6">
        <f>VLOOKUP(B47,'75- Deferred Amortization'!A:G,6,FALSE)</f>
        <v>451117</v>
      </c>
      <c r="U47" s="6">
        <f>VLOOKUP(B47,'75- Deferred Amortization'!A:G,7,FALSE)</f>
        <v>0</v>
      </c>
      <c r="V47" s="6">
        <f t="shared" si="14"/>
        <v>3</v>
      </c>
      <c r="W47" s="6">
        <f t="shared" si="15"/>
        <v>1</v>
      </c>
      <c r="X47">
        <v>2</v>
      </c>
      <c r="Z47" s="208">
        <f>VLOOKUP(B47,'Noncap Contr Alloc'!A:C,3,FALSE)</f>
        <v>18916</v>
      </c>
      <c r="AC47" s="9">
        <v>12068285</v>
      </c>
      <c r="AD47" s="9">
        <v>117167</v>
      </c>
      <c r="AE47" s="9">
        <v>104506</v>
      </c>
      <c r="AF47" s="9">
        <v>966223</v>
      </c>
      <c r="AG47" s="6">
        <v>263296</v>
      </c>
      <c r="AH47" s="6">
        <v>33394</v>
      </c>
      <c r="AI47" s="6">
        <v>0</v>
      </c>
      <c r="AJ47" s="6">
        <v>5492561</v>
      </c>
      <c r="AK47" s="6">
        <v>898645</v>
      </c>
      <c r="AM47" s="6">
        <f t="shared" si="16"/>
        <v>766976</v>
      </c>
      <c r="AN47" s="6">
        <f t="shared" si="17"/>
        <v>-338423</v>
      </c>
      <c r="AO47" s="9">
        <f t="shared" si="18"/>
        <v>41395</v>
      </c>
      <c r="AP47" s="6">
        <f t="shared" si="19"/>
        <v>-19286</v>
      </c>
      <c r="AQ47" s="9">
        <f t="shared" si="20"/>
        <v>593633</v>
      </c>
      <c r="AR47" s="6">
        <f t="shared" si="21"/>
        <v>-1651010</v>
      </c>
      <c r="AS47" s="9">
        <f t="shared" si="22"/>
        <v>2330766</v>
      </c>
      <c r="AT47" s="9">
        <f t="shared" si="23"/>
        <v>10521</v>
      </c>
      <c r="AU47" s="6">
        <f t="shared" si="24"/>
        <v>0</v>
      </c>
      <c r="AV47" s="285">
        <f t="shared" si="12"/>
        <v>14399051</v>
      </c>
    </row>
    <row r="48" spans="1:48">
      <c r="A48" t="s">
        <v>70</v>
      </c>
      <c r="B48">
        <v>33105</v>
      </c>
      <c r="C48" s="6">
        <f>VLOOKUP(B48,'ER Contributions'!A:D,4,FALSE)</f>
        <v>518970</v>
      </c>
      <c r="D48" s="7">
        <f>VLOOKUP(B48,'ER Contributions'!A:D,3,FALSE)</f>
        <v>3.7100000000000002E-4</v>
      </c>
      <c r="E48" s="9">
        <f>VLOOKUP(B48,'75 - Summary Exhibit'!A:N,3,FALSE)</f>
        <v>9886789</v>
      </c>
      <c r="F48" s="9">
        <f>VLOOKUP(B48,'75 - Summary Exhibit'!A:N,4,FALSE)</f>
        <v>108873</v>
      </c>
      <c r="G48" s="9">
        <f>VLOOKUP(B48,'75 - Summary Exhibit'!A:N,5,FALSE)</f>
        <v>78981</v>
      </c>
      <c r="H48" s="9">
        <f>VLOOKUP(B48,'75 - Summary Exhibit'!A:N,6,FALSE)</f>
        <v>1071040</v>
      </c>
      <c r="I48" s="6">
        <f>VLOOKUP(B48,'75 - Summary Exhibit'!A:N,7,FALSE)</f>
        <v>1252514</v>
      </c>
      <c r="J48" s="6">
        <f>VLOOKUP(B48,'75 - Summary Exhibit'!A:N,8,FALSE)</f>
        <v>9687</v>
      </c>
      <c r="K48" s="6">
        <f>VLOOKUP(B48,'75 - Summary Exhibit'!A:N,9,FALSE)</f>
        <v>0</v>
      </c>
      <c r="L48" s="6">
        <f>VLOOKUP(B48,'75 - Summary Exhibit'!A:N,10,FALSE)</f>
        <v>2637716</v>
      </c>
      <c r="M48" s="6">
        <f>VLOOKUP(B48,'75 - Summary Exhibit'!A:N,11,FALSE)</f>
        <v>167968</v>
      </c>
      <c r="N48" s="6">
        <f>VLOOKUP(B48,'75 - Summary Exhibit'!A:N,12,FALSE)</f>
        <v>-181331</v>
      </c>
      <c r="O48" s="6">
        <f>VLOOKUP(B48,'75 - Summary Exhibit'!A:N,13,FALSE)</f>
        <v>191557</v>
      </c>
      <c r="P48" s="6">
        <f t="shared" si="13"/>
        <v>10226</v>
      </c>
      <c r="Q48" s="6">
        <f>VLOOKUP(B48,'75- Deferred Amortization'!A:G,3,FALSE)</f>
        <v>-362064</v>
      </c>
      <c r="R48" s="6">
        <f>VLOOKUP(B48,'75- Deferred Amortization'!A:G,4,FALSE)</f>
        <v>-301139</v>
      </c>
      <c r="S48" s="6">
        <f>VLOOKUP(B48,'75- Deferred Amortization'!A:G,5,FALSE)</f>
        <v>20663</v>
      </c>
      <c r="T48" s="6">
        <f>VLOOKUP(B48,'75- Deferred Amortization'!A:G,6,FALSE)</f>
        <v>338578</v>
      </c>
      <c r="U48" s="6">
        <f>VLOOKUP(B48,'75- Deferred Amortization'!A:G,7,FALSE)</f>
        <v>0</v>
      </c>
      <c r="V48" s="6">
        <f t="shared" si="14"/>
        <v>2</v>
      </c>
      <c r="W48" s="6">
        <f t="shared" si="15"/>
        <v>-1</v>
      </c>
      <c r="X48">
        <v>2</v>
      </c>
      <c r="Z48" s="208">
        <f>VLOOKUP(B48,'Noncap Contr Alloc'!A:C,3,FALSE)</f>
        <v>12988</v>
      </c>
      <c r="AC48" s="9">
        <v>8186829</v>
      </c>
      <c r="AD48" s="9">
        <v>79483</v>
      </c>
      <c r="AE48" s="9">
        <v>70894</v>
      </c>
      <c r="AF48" s="9">
        <v>655462</v>
      </c>
      <c r="AG48" s="6">
        <v>760937</v>
      </c>
      <c r="AH48" s="6">
        <v>22654</v>
      </c>
      <c r="AI48" s="6">
        <v>0</v>
      </c>
      <c r="AJ48" s="6">
        <v>3726019</v>
      </c>
      <c r="AK48" s="6">
        <v>343760</v>
      </c>
      <c r="AM48" s="6">
        <f t="shared" si="16"/>
        <v>491577</v>
      </c>
      <c r="AN48" s="6">
        <f t="shared" si="17"/>
        <v>-175792</v>
      </c>
      <c r="AO48" s="9">
        <f t="shared" si="18"/>
        <v>29390</v>
      </c>
      <c r="AP48" s="6">
        <f t="shared" si="19"/>
        <v>-12967</v>
      </c>
      <c r="AQ48" s="9">
        <f t="shared" si="20"/>
        <v>415578</v>
      </c>
      <c r="AR48" s="6">
        <f t="shared" si="21"/>
        <v>-1088303</v>
      </c>
      <c r="AS48" s="9">
        <f t="shared" si="22"/>
        <v>1699960</v>
      </c>
      <c r="AT48" s="9">
        <f t="shared" si="23"/>
        <v>8087</v>
      </c>
      <c r="AU48" s="6">
        <f t="shared" si="24"/>
        <v>0</v>
      </c>
      <c r="AV48" s="285">
        <f t="shared" si="12"/>
        <v>9886789</v>
      </c>
    </row>
    <row r="49" spans="1:48">
      <c r="A49" t="s">
        <v>82</v>
      </c>
      <c r="B49">
        <v>35105</v>
      </c>
      <c r="C49" s="6">
        <f>VLOOKUP(B49,'ER Contributions'!A:D,4,FALSE)</f>
        <v>1319392</v>
      </c>
      <c r="D49" s="7">
        <f>VLOOKUP(B49,'ER Contributions'!A:D,3,FALSE)</f>
        <v>9.6089999999999999E-4</v>
      </c>
      <c r="E49" s="9">
        <f>VLOOKUP(B49,'75 - Summary Exhibit'!A:N,3,FALSE)</f>
        <v>25604593</v>
      </c>
      <c r="F49" s="9">
        <f>VLOOKUP(B49,'75 - Summary Exhibit'!A:N,4,FALSE)</f>
        <v>281957</v>
      </c>
      <c r="G49" s="9">
        <f>VLOOKUP(B49,'75 - Summary Exhibit'!A:N,5,FALSE)</f>
        <v>204543</v>
      </c>
      <c r="H49" s="9">
        <f>VLOOKUP(B49,'75 - Summary Exhibit'!A:N,6,FALSE)</f>
        <v>2773757</v>
      </c>
      <c r="I49" s="6">
        <f>VLOOKUP(B49,'75 - Summary Exhibit'!A:N,7,FALSE)</f>
        <v>284718</v>
      </c>
      <c r="J49" s="6">
        <f>VLOOKUP(B49,'75 - Summary Exhibit'!A:N,8,FALSE)</f>
        <v>25087</v>
      </c>
      <c r="K49" s="6">
        <f>VLOOKUP(B49,'75 - Summary Exhibit'!A:N,9,FALSE)</f>
        <v>0</v>
      </c>
      <c r="L49" s="6">
        <f>VLOOKUP(B49,'75 - Summary Exhibit'!A:N,10,FALSE)</f>
        <v>6831099</v>
      </c>
      <c r="M49" s="6">
        <f>VLOOKUP(B49,'75 - Summary Exhibit'!A:N,11,FALSE)</f>
        <v>1330754</v>
      </c>
      <c r="N49" s="6">
        <f>VLOOKUP(B49,'75 - Summary Exhibit'!A:N,12,FALSE)</f>
        <v>-469607</v>
      </c>
      <c r="O49" s="6">
        <f>VLOOKUP(B49,'75 - Summary Exhibit'!A:N,13,FALSE)</f>
        <v>-202904</v>
      </c>
      <c r="P49" s="6">
        <f t="shared" si="13"/>
        <v>-672511</v>
      </c>
      <c r="Q49" s="6">
        <f>VLOOKUP(B49,'75- Deferred Amortization'!A:G,3,FALSE)</f>
        <v>-1820851</v>
      </c>
      <c r="R49" s="6">
        <f>VLOOKUP(B49,'75- Deferred Amortization'!A:G,4,FALSE)</f>
        <v>-2092724</v>
      </c>
      <c r="S49" s="6">
        <f>VLOOKUP(B49,'75- Deferred Amortization'!A:G,5,FALSE)</f>
        <v>-1222394</v>
      </c>
      <c r="T49" s="6">
        <f>VLOOKUP(B49,'75- Deferred Amortization'!A:G,6,FALSE)</f>
        <v>494004</v>
      </c>
      <c r="U49" s="6">
        <f>VLOOKUP(B49,'75- Deferred Amortization'!A:G,7,FALSE)</f>
        <v>0</v>
      </c>
      <c r="V49" s="6">
        <f t="shared" si="14"/>
        <v>1</v>
      </c>
      <c r="W49" s="6">
        <f t="shared" si="15"/>
        <v>0</v>
      </c>
      <c r="X49">
        <v>2</v>
      </c>
      <c r="Z49" s="208">
        <f>VLOOKUP(B49,'Noncap Contr Alloc'!A:C,3,FALSE)</f>
        <v>33637</v>
      </c>
      <c r="AC49" s="9">
        <v>22592014</v>
      </c>
      <c r="AD49" s="9">
        <v>219339</v>
      </c>
      <c r="AE49" s="9">
        <v>195637</v>
      </c>
      <c r="AF49" s="9">
        <v>1808784</v>
      </c>
      <c r="AG49" s="6">
        <v>218728</v>
      </c>
      <c r="AH49" s="6">
        <v>62514</v>
      </c>
      <c r="AI49" s="6">
        <v>0</v>
      </c>
      <c r="AJ49" s="6">
        <v>10282157</v>
      </c>
      <c r="AK49" s="6">
        <v>1777902</v>
      </c>
      <c r="AM49" s="6">
        <f t="shared" si="16"/>
        <v>65990</v>
      </c>
      <c r="AN49" s="6">
        <f t="shared" si="17"/>
        <v>-447148</v>
      </c>
      <c r="AO49" s="9">
        <f t="shared" si="18"/>
        <v>62618</v>
      </c>
      <c r="AP49" s="6">
        <f t="shared" si="19"/>
        <v>-37427</v>
      </c>
      <c r="AQ49" s="9">
        <f t="shared" si="20"/>
        <v>964973</v>
      </c>
      <c r="AR49" s="6">
        <f t="shared" si="21"/>
        <v>-3451058</v>
      </c>
      <c r="AS49" s="9">
        <f t="shared" si="22"/>
        <v>3012579</v>
      </c>
      <c r="AT49" s="9">
        <f t="shared" si="23"/>
        <v>8906</v>
      </c>
      <c r="AU49" s="6">
        <f t="shared" si="24"/>
        <v>0</v>
      </c>
      <c r="AV49" s="285">
        <f t="shared" si="12"/>
        <v>25604593</v>
      </c>
    </row>
    <row r="50" spans="1:48">
      <c r="A50" t="s">
        <v>84</v>
      </c>
      <c r="B50">
        <v>35405</v>
      </c>
      <c r="C50" s="6">
        <f>VLOOKUP(B50,'ER Contributions'!A:D,4,FALSE)</f>
        <v>983585</v>
      </c>
      <c r="D50" s="7">
        <f>VLOOKUP(B50,'ER Contributions'!A:D,3,FALSE)</f>
        <v>7.2690000000000005E-4</v>
      </c>
      <c r="E50" s="9">
        <f>VLOOKUP(B50,'75 - Summary Exhibit'!A:N,3,FALSE)</f>
        <v>19371061</v>
      </c>
      <c r="F50" s="9">
        <f>VLOOKUP(B50,'75 - Summary Exhibit'!A:N,4,FALSE)</f>
        <v>213313</v>
      </c>
      <c r="G50" s="9">
        <f>VLOOKUP(B50,'75 - Summary Exhibit'!A:N,5,FALSE)</f>
        <v>154746</v>
      </c>
      <c r="H50" s="9">
        <f>VLOOKUP(B50,'75 - Summary Exhibit'!A:N,6,FALSE)</f>
        <v>2098476</v>
      </c>
      <c r="I50" s="6">
        <f>VLOOKUP(B50,'75 - Summary Exhibit'!A:N,7,FALSE)</f>
        <v>208533</v>
      </c>
      <c r="J50" s="6">
        <f>VLOOKUP(B50,'75 - Summary Exhibit'!A:N,8,FALSE)</f>
        <v>18980</v>
      </c>
      <c r="K50" s="6">
        <f>VLOOKUP(B50,'75 - Summary Exhibit'!A:N,9,FALSE)</f>
        <v>0</v>
      </c>
      <c r="L50" s="6">
        <f>VLOOKUP(B50,'75 - Summary Exhibit'!A:N,10,FALSE)</f>
        <v>5168043</v>
      </c>
      <c r="M50" s="6">
        <f>VLOOKUP(B50,'75 - Summary Exhibit'!A:N,11,FALSE)</f>
        <v>2660850</v>
      </c>
      <c r="N50" s="6">
        <f>VLOOKUP(B50,'75 - Summary Exhibit'!A:N,12,FALSE)</f>
        <v>-355281</v>
      </c>
      <c r="O50" s="6">
        <f>VLOOKUP(B50,'75 - Summary Exhibit'!A:N,13,FALSE)</f>
        <v>-1075299</v>
      </c>
      <c r="P50" s="6">
        <f t="shared" si="13"/>
        <v>-1430580</v>
      </c>
      <c r="Q50" s="6">
        <f>VLOOKUP(B50,'75- Deferred Amortization'!A:G,3,FALSE)</f>
        <v>-2132841</v>
      </c>
      <c r="R50" s="6">
        <f>VLOOKUP(B50,'75- Deferred Amortization'!A:G,4,FALSE)</f>
        <v>-2066175</v>
      </c>
      <c r="S50" s="6">
        <f>VLOOKUP(B50,'75- Deferred Amortization'!A:G,5,FALSE)</f>
        <v>-1172594</v>
      </c>
      <c r="T50" s="6">
        <f>VLOOKUP(B50,'75- Deferred Amortization'!A:G,6,FALSE)</f>
        <v>198805</v>
      </c>
      <c r="U50" s="6">
        <f>VLOOKUP(B50,'75- Deferred Amortization'!A:G,7,FALSE)</f>
        <v>0</v>
      </c>
      <c r="V50" s="6">
        <f t="shared" si="14"/>
        <v>-1</v>
      </c>
      <c r="W50" s="6">
        <f t="shared" si="15"/>
        <v>0</v>
      </c>
      <c r="X50">
        <v>2</v>
      </c>
      <c r="Z50" s="208">
        <f>VLOOKUP(B50,'Noncap Contr Alloc'!A:C,3,FALSE)</f>
        <v>25448</v>
      </c>
      <c r="AC50" s="9">
        <v>17724558</v>
      </c>
      <c r="AD50" s="9">
        <v>172082</v>
      </c>
      <c r="AE50" s="9">
        <v>153487</v>
      </c>
      <c r="AF50" s="9">
        <v>1419081</v>
      </c>
      <c r="AG50" s="6">
        <v>278044</v>
      </c>
      <c r="AH50" s="6">
        <v>49046</v>
      </c>
      <c r="AI50" s="6">
        <v>0</v>
      </c>
      <c r="AJ50" s="6">
        <v>8066863</v>
      </c>
      <c r="AK50" s="6">
        <v>3165705</v>
      </c>
      <c r="AM50" s="6">
        <f t="shared" si="16"/>
        <v>-69511</v>
      </c>
      <c r="AN50" s="6">
        <f t="shared" si="17"/>
        <v>-504855</v>
      </c>
      <c r="AO50" s="9">
        <f t="shared" si="18"/>
        <v>41231</v>
      </c>
      <c r="AP50" s="6">
        <f t="shared" si="19"/>
        <v>-30066</v>
      </c>
      <c r="AQ50" s="9">
        <f t="shared" si="20"/>
        <v>679395</v>
      </c>
      <c r="AR50" s="6">
        <f t="shared" si="21"/>
        <v>-2898820</v>
      </c>
      <c r="AS50" s="9">
        <f t="shared" si="22"/>
        <v>1646503</v>
      </c>
      <c r="AT50" s="9">
        <f t="shared" si="23"/>
        <v>1259</v>
      </c>
      <c r="AU50" s="6">
        <f t="shared" si="24"/>
        <v>0</v>
      </c>
      <c r="AV50" s="285">
        <f t="shared" si="12"/>
        <v>19371061</v>
      </c>
    </row>
    <row r="51" spans="1:48">
      <c r="A51" t="s">
        <v>85</v>
      </c>
      <c r="B51">
        <v>35805</v>
      </c>
      <c r="C51" s="6">
        <f>VLOOKUP(B51,'ER Contributions'!A:D,4,FALSE)</f>
        <v>330622</v>
      </c>
      <c r="D51" s="7">
        <f>VLOOKUP(B51,'ER Contributions'!A:D,3,FALSE)</f>
        <v>1.9660000000000001E-4</v>
      </c>
      <c r="E51" s="9">
        <f>VLOOKUP(B51,'75 - Summary Exhibit'!A:N,3,FALSE)</f>
        <v>5238708</v>
      </c>
      <c r="F51" s="9">
        <f>VLOOKUP(B51,'75 - Summary Exhibit'!A:N,4,FALSE)</f>
        <v>57688</v>
      </c>
      <c r="G51" s="9">
        <f>VLOOKUP(B51,'75 - Summary Exhibit'!A:N,5,FALSE)</f>
        <v>41849</v>
      </c>
      <c r="H51" s="9">
        <f>VLOOKUP(B51,'75 - Summary Exhibit'!A:N,6,FALSE)</f>
        <v>567512</v>
      </c>
      <c r="I51" s="6">
        <f>VLOOKUP(B51,'75 - Summary Exhibit'!A:N,7,FALSE)</f>
        <v>86709</v>
      </c>
      <c r="J51" s="6">
        <f>VLOOKUP(B51,'75 - Summary Exhibit'!A:N,8,FALSE)</f>
        <v>5133</v>
      </c>
      <c r="K51" s="6">
        <f>VLOOKUP(B51,'75 - Summary Exhibit'!A:N,9,FALSE)</f>
        <v>0</v>
      </c>
      <c r="L51" s="6">
        <f>VLOOKUP(B51,'75 - Summary Exhibit'!A:N,10,FALSE)</f>
        <v>1397645</v>
      </c>
      <c r="M51" s="6">
        <f>VLOOKUP(B51,'75 - Summary Exhibit'!A:N,11,FALSE)</f>
        <v>496451</v>
      </c>
      <c r="N51" s="6">
        <f>VLOOKUP(B51,'75 - Summary Exhibit'!A:N,12,FALSE)</f>
        <v>-96082</v>
      </c>
      <c r="O51" s="6">
        <f>VLOOKUP(B51,'75 - Summary Exhibit'!A:N,13,FALSE)</f>
        <v>102142</v>
      </c>
      <c r="P51" s="6">
        <f t="shared" si="13"/>
        <v>6060</v>
      </c>
      <c r="Q51" s="6">
        <f>VLOOKUP(B51,'75- Deferred Amortization'!A:G,3,FALSE)</f>
        <v>-354119</v>
      </c>
      <c r="R51" s="6">
        <f>VLOOKUP(B51,'75- Deferred Amortization'!A:G,4,FALSE)</f>
        <v>-497547</v>
      </c>
      <c r="S51" s="6">
        <f>VLOOKUP(B51,'75- Deferred Amortization'!A:G,5,FALSE)</f>
        <v>-295009</v>
      </c>
      <c r="T51" s="6">
        <f>VLOOKUP(B51,'75- Deferred Amortization'!A:G,6,FALSE)</f>
        <v>1205</v>
      </c>
      <c r="U51" s="6">
        <f>VLOOKUP(B51,'75- Deferred Amortization'!A:G,7,FALSE)</f>
        <v>0</v>
      </c>
      <c r="V51" s="6">
        <f t="shared" si="14"/>
        <v>-1</v>
      </c>
      <c r="W51" s="6">
        <f t="shared" si="15"/>
        <v>-1</v>
      </c>
      <c r="X51">
        <v>2</v>
      </c>
      <c r="Z51" s="208">
        <f>VLOOKUP(B51,'Noncap Contr Alloc'!A:C,3,FALSE)</f>
        <v>6882</v>
      </c>
      <c r="AC51" s="9">
        <v>5034273</v>
      </c>
      <c r="AD51" s="9">
        <v>48876</v>
      </c>
      <c r="AE51" s="9">
        <v>43595</v>
      </c>
      <c r="AF51" s="9">
        <v>403059</v>
      </c>
      <c r="AG51" s="6">
        <v>332184</v>
      </c>
      <c r="AH51" s="6">
        <v>13930</v>
      </c>
      <c r="AI51" s="6">
        <v>0</v>
      </c>
      <c r="AJ51" s="6">
        <v>2291216</v>
      </c>
      <c r="AK51" s="6">
        <v>203917</v>
      </c>
      <c r="AM51" s="6">
        <f t="shared" si="16"/>
        <v>-245475</v>
      </c>
      <c r="AN51" s="6">
        <f t="shared" si="17"/>
        <v>292534</v>
      </c>
      <c r="AO51" s="9">
        <f t="shared" si="18"/>
        <v>8812</v>
      </c>
      <c r="AP51" s="6">
        <f t="shared" si="19"/>
        <v>-8797</v>
      </c>
      <c r="AQ51" s="9">
        <f t="shared" si="20"/>
        <v>164453</v>
      </c>
      <c r="AR51" s="6">
        <f t="shared" si="21"/>
        <v>-893571</v>
      </c>
      <c r="AS51" s="9">
        <f t="shared" si="22"/>
        <v>204435</v>
      </c>
      <c r="AT51" s="9">
        <f t="shared" si="23"/>
        <v>-1746</v>
      </c>
      <c r="AU51" s="6">
        <f t="shared" si="24"/>
        <v>0</v>
      </c>
      <c r="AV51" s="285">
        <f t="shared" si="12"/>
        <v>5238708</v>
      </c>
    </row>
    <row r="52" spans="1:48">
      <c r="A52" t="s">
        <v>88</v>
      </c>
      <c r="B52">
        <v>36105</v>
      </c>
      <c r="C52" s="6">
        <f>VLOOKUP(B52,'ER Contributions'!A:D,4,FALSE)</f>
        <v>425272</v>
      </c>
      <c r="D52" s="7">
        <f>VLOOKUP(B52,'ER Contributions'!A:D,3,FALSE)</f>
        <v>2.8810000000000001E-4</v>
      </c>
      <c r="E52" s="9">
        <f>VLOOKUP(B52,'75 - Summary Exhibit'!A:N,3,FALSE)</f>
        <v>7676508</v>
      </c>
      <c r="F52" s="9">
        <f>VLOOKUP(B52,'75 - Summary Exhibit'!A:N,4,FALSE)</f>
        <v>84533</v>
      </c>
      <c r="G52" s="9">
        <f>VLOOKUP(B52,'75 - Summary Exhibit'!A:N,5,FALSE)</f>
        <v>61324</v>
      </c>
      <c r="H52" s="9">
        <f>VLOOKUP(B52,'75 - Summary Exhibit'!A:N,6,FALSE)</f>
        <v>831599</v>
      </c>
      <c r="I52" s="6">
        <f>VLOOKUP(B52,'75 - Summary Exhibit'!A:N,7,FALSE)</f>
        <v>390618</v>
      </c>
      <c r="J52" s="6">
        <f>VLOOKUP(B52,'75 - Summary Exhibit'!A:N,8,FALSE)</f>
        <v>7521</v>
      </c>
      <c r="K52" s="6">
        <f>VLOOKUP(B52,'75 - Summary Exhibit'!A:N,9,FALSE)</f>
        <v>0</v>
      </c>
      <c r="L52" s="6">
        <f>VLOOKUP(B52,'75 - Summary Exhibit'!A:N,10,FALSE)</f>
        <v>2048030</v>
      </c>
      <c r="M52" s="6">
        <f>VLOOKUP(B52,'75 - Summary Exhibit'!A:N,11,FALSE)</f>
        <v>1043131</v>
      </c>
      <c r="N52" s="6">
        <f>VLOOKUP(B52,'75 - Summary Exhibit'!A:N,12,FALSE)</f>
        <v>-140792</v>
      </c>
      <c r="O52" s="6">
        <f>VLOOKUP(B52,'75 - Summary Exhibit'!A:N,13,FALSE)</f>
        <v>-343489</v>
      </c>
      <c r="P52" s="6">
        <f t="shared" si="13"/>
        <v>-484281</v>
      </c>
      <c r="Q52" s="6">
        <f>VLOOKUP(B52,'75- Deferred Amortization'!A:G,3,FALSE)</f>
        <v>-810020</v>
      </c>
      <c r="R52" s="6">
        <f>VLOOKUP(B52,'75- Deferred Amortization'!A:G,4,FALSE)</f>
        <v>-651419</v>
      </c>
      <c r="S52" s="6">
        <f>VLOOKUP(B52,'75- Deferred Amortization'!A:G,5,FALSE)</f>
        <v>-459222</v>
      </c>
      <c r="T52" s="6">
        <f>VLOOKUP(B52,'75- Deferred Amortization'!A:G,6,FALSE)</f>
        <v>190053</v>
      </c>
      <c r="U52" s="6">
        <f>VLOOKUP(B52,'75- Deferred Amortization'!A:G,7,FALSE)</f>
        <v>0</v>
      </c>
      <c r="V52" s="6">
        <f t="shared" si="14"/>
        <v>0</v>
      </c>
      <c r="W52" s="6">
        <f t="shared" si="15"/>
        <v>0</v>
      </c>
      <c r="X52">
        <v>2</v>
      </c>
      <c r="Z52" s="208">
        <f>VLOOKUP(B52,'Noncap Contr Alloc'!A:C,3,FALSE)</f>
        <v>10085</v>
      </c>
      <c r="AC52" s="9">
        <v>6640883</v>
      </c>
      <c r="AD52" s="9">
        <v>64474</v>
      </c>
      <c r="AE52" s="9">
        <v>57507</v>
      </c>
      <c r="AF52" s="9">
        <v>531689</v>
      </c>
      <c r="AG52" s="6">
        <v>253241</v>
      </c>
      <c r="AH52" s="6">
        <v>18376</v>
      </c>
      <c r="AI52" s="6">
        <v>0</v>
      </c>
      <c r="AJ52" s="6">
        <v>3022422</v>
      </c>
      <c r="AK52" s="6">
        <v>1551984</v>
      </c>
      <c r="AM52" s="6">
        <f t="shared" si="16"/>
        <v>137377</v>
      </c>
      <c r="AN52" s="6">
        <f t="shared" si="17"/>
        <v>-508853</v>
      </c>
      <c r="AO52" s="9">
        <f t="shared" si="18"/>
        <v>20059</v>
      </c>
      <c r="AP52" s="6">
        <f t="shared" si="19"/>
        <v>-10855</v>
      </c>
      <c r="AQ52" s="9">
        <f t="shared" si="20"/>
        <v>299910</v>
      </c>
      <c r="AR52" s="6">
        <f t="shared" si="21"/>
        <v>-974392</v>
      </c>
      <c r="AS52" s="9">
        <f t="shared" si="22"/>
        <v>1035625</v>
      </c>
      <c r="AT52" s="9">
        <f t="shared" si="23"/>
        <v>3817</v>
      </c>
      <c r="AU52" s="6">
        <f t="shared" si="24"/>
        <v>0</v>
      </c>
      <c r="AV52" s="285">
        <f t="shared" si="12"/>
        <v>7676508</v>
      </c>
    </row>
    <row r="53" spans="1:48">
      <c r="A53" t="s">
        <v>86</v>
      </c>
      <c r="B53">
        <v>35905</v>
      </c>
      <c r="C53" s="6">
        <f>VLOOKUP(B53,'ER Contributions'!A:D,4,FALSE)</f>
        <v>463577</v>
      </c>
      <c r="D53" s="7">
        <f>VLOOKUP(B53,'ER Contributions'!A:D,3,FALSE)</f>
        <v>3.0630000000000002E-4</v>
      </c>
      <c r="E53" s="9">
        <f>VLOOKUP(B53,'75 - Summary Exhibit'!A:N,3,FALSE)</f>
        <v>8162197</v>
      </c>
      <c r="F53" s="9">
        <f>VLOOKUP(B53,'75 - Summary Exhibit'!A:N,4,FALSE)</f>
        <v>89882</v>
      </c>
      <c r="G53" s="9">
        <f>VLOOKUP(B53,'75 - Summary Exhibit'!A:N,5,FALSE)</f>
        <v>65204</v>
      </c>
      <c r="H53" s="9">
        <f>VLOOKUP(B53,'75 - Summary Exhibit'!A:N,6,FALSE)</f>
        <v>884214</v>
      </c>
      <c r="I53" s="6">
        <f>VLOOKUP(B53,'75 - Summary Exhibit'!A:N,7,FALSE)</f>
        <v>2274944</v>
      </c>
      <c r="J53" s="6">
        <f>VLOOKUP(B53,'75 - Summary Exhibit'!A:N,8,FALSE)</f>
        <v>7997</v>
      </c>
      <c r="K53" s="6">
        <f>VLOOKUP(B53,'75 - Summary Exhibit'!A:N,9,FALSE)</f>
        <v>0</v>
      </c>
      <c r="L53" s="6">
        <f>VLOOKUP(B53,'75 - Summary Exhibit'!A:N,10,FALSE)</f>
        <v>2177608</v>
      </c>
      <c r="M53" s="6">
        <f>VLOOKUP(B53,'75 - Summary Exhibit'!A:N,11,FALSE)</f>
        <v>488828</v>
      </c>
      <c r="N53" s="6">
        <f>VLOOKUP(B53,'75 - Summary Exhibit'!A:N,12,FALSE)</f>
        <v>-149700</v>
      </c>
      <c r="O53" s="6">
        <f>VLOOKUP(B53,'75 - Summary Exhibit'!A:N,13,FALSE)</f>
        <v>145459</v>
      </c>
      <c r="P53" s="6">
        <f t="shared" si="13"/>
        <v>-4241</v>
      </c>
      <c r="Q53" s="6">
        <f>VLOOKUP(B53,'75- Deferred Amortization'!A:G,3,FALSE)</f>
        <v>-165963</v>
      </c>
      <c r="R53" s="6">
        <f>VLOOKUP(B53,'75- Deferred Amortization'!A:G,4,FALSE)</f>
        <v>-97861</v>
      </c>
      <c r="S53" s="6">
        <f>VLOOKUP(B53,'75- Deferred Amortization'!A:G,5,FALSE)</f>
        <v>351582</v>
      </c>
      <c r="T53" s="6">
        <f>VLOOKUP(B53,'75- Deferred Amortization'!A:G,6,FALSE)</f>
        <v>552052</v>
      </c>
      <c r="U53" s="6">
        <f>VLOOKUP(B53,'75- Deferred Amortization'!A:G,7,FALSE)</f>
        <v>0</v>
      </c>
      <c r="V53" s="6">
        <f t="shared" si="14"/>
        <v>1</v>
      </c>
      <c r="W53" s="6">
        <f t="shared" si="15"/>
        <v>1</v>
      </c>
      <c r="X53">
        <v>2</v>
      </c>
      <c r="Z53" s="208">
        <f>VLOOKUP(B53,'Noncap Contr Alloc'!A:C,3,FALSE)</f>
        <v>10723</v>
      </c>
      <c r="AC53" s="9">
        <v>5782252</v>
      </c>
      <c r="AD53" s="9">
        <v>56138</v>
      </c>
      <c r="AE53" s="9">
        <v>50072</v>
      </c>
      <c r="AF53" s="9">
        <v>462944</v>
      </c>
      <c r="AG53" s="6">
        <v>823376</v>
      </c>
      <c r="AH53" s="6">
        <v>16000</v>
      </c>
      <c r="AI53" s="6">
        <v>0</v>
      </c>
      <c r="AJ53" s="6">
        <v>2631639</v>
      </c>
      <c r="AK53" s="6">
        <v>963567</v>
      </c>
      <c r="AM53" s="6">
        <f t="shared" si="16"/>
        <v>1451568</v>
      </c>
      <c r="AN53" s="6">
        <f t="shared" si="17"/>
        <v>-474739</v>
      </c>
      <c r="AO53" s="9">
        <f t="shared" si="18"/>
        <v>33744</v>
      </c>
      <c r="AP53" s="6">
        <f t="shared" si="19"/>
        <v>-8003</v>
      </c>
      <c r="AQ53" s="9">
        <f t="shared" si="20"/>
        <v>421270</v>
      </c>
      <c r="AR53" s="6">
        <f t="shared" si="21"/>
        <v>-454031</v>
      </c>
      <c r="AS53" s="9">
        <f t="shared" si="22"/>
        <v>2379945</v>
      </c>
      <c r="AT53" s="9">
        <f t="shared" si="23"/>
        <v>15132</v>
      </c>
      <c r="AU53" s="6">
        <f t="shared" si="24"/>
        <v>0</v>
      </c>
      <c r="AV53" s="285">
        <f t="shared" si="12"/>
        <v>8162197</v>
      </c>
    </row>
    <row r="54" spans="1:48">
      <c r="A54" t="s">
        <v>80</v>
      </c>
      <c r="B54">
        <v>34905</v>
      </c>
      <c r="C54" s="6">
        <f>VLOOKUP(B54,'ER Contributions'!A:D,4,FALSE)</f>
        <v>807826</v>
      </c>
      <c r="D54" s="7">
        <f>VLOOKUP(B54,'ER Contributions'!A:D,3,FALSE)</f>
        <v>5.9360000000000001E-4</v>
      </c>
      <c r="E54" s="9">
        <f>VLOOKUP(B54,'75 - Summary Exhibit'!A:N,3,FALSE)</f>
        <v>15818669</v>
      </c>
      <c r="F54" s="9">
        <f>VLOOKUP(B54,'75 - Summary Exhibit'!A:N,4,FALSE)</f>
        <v>174195</v>
      </c>
      <c r="G54" s="9">
        <f>VLOOKUP(B54,'75 - Summary Exhibit'!A:N,5,FALSE)</f>
        <v>126368</v>
      </c>
      <c r="H54" s="9">
        <f>VLOOKUP(B54,'75 - Summary Exhibit'!A:N,6,FALSE)</f>
        <v>1713643</v>
      </c>
      <c r="I54" s="6">
        <f>VLOOKUP(B54,'75 - Summary Exhibit'!A:N,7,FALSE)</f>
        <v>692058</v>
      </c>
      <c r="J54" s="6">
        <f>VLOOKUP(B54,'75 - Summary Exhibit'!A:N,8,FALSE)</f>
        <v>15499</v>
      </c>
      <c r="K54" s="6">
        <f>VLOOKUP(B54,'75 - Summary Exhibit'!A:N,9,FALSE)</f>
        <v>0</v>
      </c>
      <c r="L54" s="6">
        <f>VLOOKUP(B54,'75 - Summary Exhibit'!A:N,10,FALSE)</f>
        <v>4220293</v>
      </c>
      <c r="M54" s="6">
        <f>VLOOKUP(B54,'75 - Summary Exhibit'!A:N,11,FALSE)</f>
        <v>514022</v>
      </c>
      <c r="N54" s="6">
        <f>VLOOKUP(B54,'75 - Summary Exhibit'!A:N,12,FALSE)</f>
        <v>-290126</v>
      </c>
      <c r="O54" s="6">
        <f>VLOOKUP(B54,'75 - Summary Exhibit'!A:N,13,FALSE)</f>
        <v>18750</v>
      </c>
      <c r="P54" s="6">
        <f t="shared" si="13"/>
        <v>-271376</v>
      </c>
      <c r="Q54" s="6">
        <f>VLOOKUP(B54,'75- Deferred Amortization'!A:G,3,FALSE)</f>
        <v>-910944</v>
      </c>
      <c r="R54" s="6">
        <f>VLOOKUP(B54,'75- Deferred Amortization'!A:G,4,FALSE)</f>
        <v>-1034938</v>
      </c>
      <c r="S54" s="6">
        <f>VLOOKUP(B54,'75- Deferred Amortization'!A:G,5,FALSE)</f>
        <v>-520352</v>
      </c>
      <c r="T54" s="6">
        <f>VLOOKUP(B54,'75- Deferred Amortization'!A:G,6,FALSE)</f>
        <v>422683</v>
      </c>
      <c r="U54" s="6">
        <f>VLOOKUP(B54,'75- Deferred Amortization'!A:G,7,FALSE)</f>
        <v>0</v>
      </c>
      <c r="V54" s="6">
        <f t="shared" si="14"/>
        <v>1</v>
      </c>
      <c r="W54" s="6">
        <f t="shared" si="15"/>
        <v>1</v>
      </c>
      <c r="X54">
        <v>2</v>
      </c>
      <c r="Z54" s="208">
        <f>VLOOKUP(B54,'Noncap Contr Alloc'!A:C,3,FALSE)</f>
        <v>20781</v>
      </c>
      <c r="AC54" s="9">
        <v>13520011</v>
      </c>
      <c r="AD54" s="9">
        <v>131261</v>
      </c>
      <c r="AE54" s="9">
        <v>117077</v>
      </c>
      <c r="AF54" s="9">
        <v>1082453</v>
      </c>
      <c r="AG54" s="6">
        <v>134581</v>
      </c>
      <c r="AH54" s="6">
        <v>37411</v>
      </c>
      <c r="AI54" s="6">
        <v>0</v>
      </c>
      <c r="AJ54" s="6">
        <v>6153275</v>
      </c>
      <c r="AK54" s="6">
        <v>716878</v>
      </c>
      <c r="AM54" s="6">
        <f t="shared" si="16"/>
        <v>557477</v>
      </c>
      <c r="AN54" s="6">
        <f t="shared" si="17"/>
        <v>-202856</v>
      </c>
      <c r="AO54" s="9">
        <f t="shared" si="18"/>
        <v>42934</v>
      </c>
      <c r="AP54" s="6">
        <f t="shared" si="19"/>
        <v>-21912</v>
      </c>
      <c r="AQ54" s="9">
        <f t="shared" si="20"/>
        <v>631190</v>
      </c>
      <c r="AR54" s="6">
        <f t="shared" si="21"/>
        <v>-1932982</v>
      </c>
      <c r="AS54" s="9">
        <f t="shared" si="22"/>
        <v>2298658</v>
      </c>
      <c r="AT54" s="9">
        <f t="shared" si="23"/>
        <v>9291</v>
      </c>
      <c r="AU54" s="6">
        <f t="shared" si="24"/>
        <v>0</v>
      </c>
      <c r="AV54" s="285">
        <f t="shared" si="12"/>
        <v>15818669</v>
      </c>
    </row>
    <row r="55" spans="1:48">
      <c r="A55" t="s">
        <v>89</v>
      </c>
      <c r="B55">
        <v>36205</v>
      </c>
      <c r="C55" s="6">
        <f>VLOOKUP(B55,'ER Contributions'!A:D,4,FALSE)</f>
        <v>334717</v>
      </c>
      <c r="D55" s="7">
        <f>VLOOKUP(B55,'ER Contributions'!A:D,3,FALSE)</f>
        <v>2.408E-4</v>
      </c>
      <c r="E55" s="9">
        <f>VLOOKUP(B55,'75 - Summary Exhibit'!A:N,3,FALSE)</f>
        <v>6416309</v>
      </c>
      <c r="F55" s="9">
        <f>VLOOKUP(B55,'75 - Summary Exhibit'!A:N,4,FALSE)</f>
        <v>70656</v>
      </c>
      <c r="G55" s="9">
        <f>VLOOKUP(B55,'75 - Summary Exhibit'!A:N,5,FALSE)</f>
        <v>51257</v>
      </c>
      <c r="H55" s="9">
        <f>VLOOKUP(B55,'75 - Summary Exhibit'!A:N,6,FALSE)</f>
        <v>695082</v>
      </c>
      <c r="I55" s="6">
        <f>VLOOKUP(B55,'75 - Summary Exhibit'!A:N,7,FALSE)</f>
        <v>170607</v>
      </c>
      <c r="J55" s="6">
        <f>VLOOKUP(B55,'75 - Summary Exhibit'!A:N,8,FALSE)</f>
        <v>6287</v>
      </c>
      <c r="K55" s="6">
        <f>VLOOKUP(B55,'75 - Summary Exhibit'!A:N,9,FALSE)</f>
        <v>0</v>
      </c>
      <c r="L55" s="6">
        <f>VLOOKUP(B55,'75 - Summary Exhibit'!A:N,10,FALSE)</f>
        <v>1711819</v>
      </c>
      <c r="M55" s="6">
        <f>VLOOKUP(B55,'75 - Summary Exhibit'!A:N,11,FALSE)</f>
        <v>613046</v>
      </c>
      <c r="N55" s="6">
        <f>VLOOKUP(B55,'75 - Summary Exhibit'!A:N,12,FALSE)</f>
        <v>-117680</v>
      </c>
      <c r="O55" s="6">
        <f>VLOOKUP(B55,'75 - Summary Exhibit'!A:N,13,FALSE)</f>
        <v>94392</v>
      </c>
      <c r="P55" s="6">
        <f t="shared" si="13"/>
        <v>-23288</v>
      </c>
      <c r="Q55" s="6">
        <f>VLOOKUP(B55,'75- Deferred Amortization'!A:G,3,FALSE)</f>
        <v>-417827</v>
      </c>
      <c r="R55" s="6">
        <f>VLOOKUP(B55,'75- Deferred Amortization'!A:G,4,FALSE)</f>
        <v>-534653</v>
      </c>
      <c r="S55" s="6">
        <f>VLOOKUP(B55,'75- Deferred Amortization'!A:G,5,FALSE)</f>
        <v>-373602</v>
      </c>
      <c r="T55" s="6">
        <f>VLOOKUP(B55,'75- Deferred Amortization'!A:G,6,FALSE)</f>
        <v>-17469</v>
      </c>
      <c r="U55" s="6">
        <f>VLOOKUP(B55,'75- Deferred Amortization'!A:G,7,FALSE)</f>
        <v>0</v>
      </c>
      <c r="V55" s="6">
        <f t="shared" si="14"/>
        <v>1</v>
      </c>
      <c r="W55" s="6">
        <f t="shared" si="15"/>
        <v>1</v>
      </c>
      <c r="X55">
        <v>2</v>
      </c>
      <c r="Z55" s="208">
        <f>VLOOKUP(B55,'Noncap Contr Alloc'!A:C,3,FALSE)</f>
        <v>8429</v>
      </c>
      <c r="AC55" s="9">
        <v>6183941</v>
      </c>
      <c r="AD55" s="9">
        <v>60038</v>
      </c>
      <c r="AE55" s="9">
        <v>53550</v>
      </c>
      <c r="AF55" s="9">
        <v>495105</v>
      </c>
      <c r="AG55" s="6">
        <v>427443</v>
      </c>
      <c r="AH55" s="6">
        <v>17112</v>
      </c>
      <c r="AI55" s="6">
        <v>0</v>
      </c>
      <c r="AJ55" s="6">
        <v>2814457</v>
      </c>
      <c r="AK55" s="6">
        <v>146920</v>
      </c>
      <c r="AM55" s="6">
        <f t="shared" si="16"/>
        <v>-256836</v>
      </c>
      <c r="AN55" s="6">
        <f t="shared" si="17"/>
        <v>466126</v>
      </c>
      <c r="AO55" s="9">
        <f t="shared" si="18"/>
        <v>10618</v>
      </c>
      <c r="AP55" s="6">
        <f t="shared" si="19"/>
        <v>-10825</v>
      </c>
      <c r="AQ55" s="9">
        <f t="shared" si="20"/>
        <v>199977</v>
      </c>
      <c r="AR55" s="6">
        <f t="shared" si="21"/>
        <v>-1102638</v>
      </c>
      <c r="AS55" s="9">
        <f t="shared" si="22"/>
        <v>232368</v>
      </c>
      <c r="AT55" s="9">
        <f t="shared" si="23"/>
        <v>-2293</v>
      </c>
      <c r="AU55" s="6">
        <f t="shared" si="24"/>
        <v>0</v>
      </c>
      <c r="AV55" s="285">
        <f t="shared" si="12"/>
        <v>6416309</v>
      </c>
    </row>
    <row r="56" spans="1:48">
      <c r="A56" t="s">
        <v>91</v>
      </c>
      <c r="B56">
        <v>36405</v>
      </c>
      <c r="C56" s="6">
        <f>VLOOKUP(B56,'ER Contributions'!A:D,4,FALSE)</f>
        <v>884371</v>
      </c>
      <c r="D56" s="7">
        <f>VLOOKUP(B56,'ER Contributions'!A:D,3,FALSE)</f>
        <v>6.4099999999999997E-4</v>
      </c>
      <c r="E56" s="9">
        <f>VLOOKUP(B56,'75 - Summary Exhibit'!A:N,3,FALSE)</f>
        <v>17080976</v>
      </c>
      <c r="F56" s="9">
        <f>VLOOKUP(B56,'75 - Summary Exhibit'!A:N,4,FALSE)</f>
        <v>188095</v>
      </c>
      <c r="G56" s="9">
        <f>VLOOKUP(B56,'75 - Summary Exhibit'!A:N,5,FALSE)</f>
        <v>136452</v>
      </c>
      <c r="H56" s="9">
        <f>VLOOKUP(B56,'75 - Summary Exhibit'!A:N,6,FALSE)</f>
        <v>1850390</v>
      </c>
      <c r="I56" s="6">
        <f>VLOOKUP(B56,'75 - Summary Exhibit'!A:N,7,FALSE)</f>
        <v>0</v>
      </c>
      <c r="J56" s="6">
        <f>VLOOKUP(B56,'75 - Summary Exhibit'!A:N,8,FALSE)</f>
        <v>16736</v>
      </c>
      <c r="K56" s="6">
        <f>VLOOKUP(B56,'75 - Summary Exhibit'!A:N,9,FALSE)</f>
        <v>0</v>
      </c>
      <c r="L56" s="6">
        <f>VLOOKUP(B56,'75 - Summary Exhibit'!A:N,10,FALSE)</f>
        <v>4557067</v>
      </c>
      <c r="M56" s="6">
        <f>VLOOKUP(B56,'75 - Summary Exhibit'!A:N,11,FALSE)</f>
        <v>2494267</v>
      </c>
      <c r="N56" s="6">
        <f>VLOOKUP(B56,'75 - Summary Exhibit'!A:N,12,FALSE)</f>
        <v>-313278</v>
      </c>
      <c r="O56" s="6">
        <f>VLOOKUP(B56,'75 - Summary Exhibit'!A:N,13,FALSE)</f>
        <v>-1007060</v>
      </c>
      <c r="P56" s="6">
        <f t="shared" si="13"/>
        <v>-1320338</v>
      </c>
      <c r="Q56" s="6">
        <f>VLOOKUP(B56,'75- Deferred Amortization'!A:G,3,FALSE)</f>
        <v>-2137326</v>
      </c>
      <c r="R56" s="6">
        <f>VLOOKUP(B56,'75- Deferred Amortization'!A:G,4,FALSE)</f>
        <v>-1936053</v>
      </c>
      <c r="S56" s="6">
        <f>VLOOKUP(B56,'75- Deferred Amortization'!A:G,5,FALSE)</f>
        <v>-1062211</v>
      </c>
      <c r="T56" s="6">
        <f>VLOOKUP(B56,'75- Deferred Amortization'!A:G,6,FALSE)</f>
        <v>242457</v>
      </c>
      <c r="U56" s="6">
        <f>VLOOKUP(B56,'75- Deferred Amortization'!A:G,7,FALSE)</f>
        <v>0</v>
      </c>
      <c r="V56" s="6">
        <f t="shared" si="14"/>
        <v>1</v>
      </c>
      <c r="W56" s="6">
        <f t="shared" si="15"/>
        <v>0</v>
      </c>
      <c r="X56">
        <v>2</v>
      </c>
      <c r="Z56" s="208">
        <f>VLOOKUP(B56,'Noncap Contr Alloc'!A:C,3,FALSE)</f>
        <v>22439</v>
      </c>
      <c r="AC56" s="9">
        <v>15394692</v>
      </c>
      <c r="AD56" s="9">
        <v>149462</v>
      </c>
      <c r="AE56" s="9">
        <v>133311</v>
      </c>
      <c r="AF56" s="9">
        <v>1232545</v>
      </c>
      <c r="AG56" s="6">
        <v>160287</v>
      </c>
      <c r="AH56" s="6">
        <v>42599</v>
      </c>
      <c r="AI56" s="6">
        <v>0</v>
      </c>
      <c r="AJ56" s="6">
        <v>7006487</v>
      </c>
      <c r="AK56" s="6">
        <v>3433085</v>
      </c>
      <c r="AM56" s="6">
        <f t="shared" si="16"/>
        <v>-160287</v>
      </c>
      <c r="AN56" s="6">
        <f t="shared" si="17"/>
        <v>-938818</v>
      </c>
      <c r="AO56" s="9">
        <f t="shared" si="18"/>
        <v>38633</v>
      </c>
      <c r="AP56" s="6">
        <f t="shared" si="19"/>
        <v>-25863</v>
      </c>
      <c r="AQ56" s="9">
        <f t="shared" si="20"/>
        <v>617845</v>
      </c>
      <c r="AR56" s="6">
        <f t="shared" si="21"/>
        <v>-2449420</v>
      </c>
      <c r="AS56" s="9">
        <f t="shared" si="22"/>
        <v>1686284</v>
      </c>
      <c r="AT56" s="9">
        <f t="shared" si="23"/>
        <v>3141</v>
      </c>
      <c r="AU56" s="6">
        <f t="shared" si="24"/>
        <v>0</v>
      </c>
      <c r="AV56" s="285">
        <f t="shared" si="12"/>
        <v>17080976</v>
      </c>
    </row>
    <row r="57" spans="1:48">
      <c r="A57" t="s">
        <v>94</v>
      </c>
      <c r="B57">
        <v>36905</v>
      </c>
      <c r="C57" s="6">
        <f>VLOOKUP(B57,'ER Contributions'!A:D,4,FALSE)</f>
        <v>263528</v>
      </c>
      <c r="D57" s="7">
        <f>VLOOKUP(B57,'ER Contributions'!A:D,3,FALSE)</f>
        <v>1.8340000000000001E-4</v>
      </c>
      <c r="E57" s="9">
        <f>VLOOKUP(B57,'75 - Summary Exhibit'!A:N,3,FALSE)</f>
        <v>4886949</v>
      </c>
      <c r="F57" s="9">
        <f>VLOOKUP(B57,'75 - Summary Exhibit'!A:N,4,FALSE)</f>
        <v>53815</v>
      </c>
      <c r="G57" s="9">
        <f>VLOOKUP(B57,'75 - Summary Exhibit'!A:N,5,FALSE)</f>
        <v>39039</v>
      </c>
      <c r="H57" s="9">
        <f>VLOOKUP(B57,'75 - Summary Exhibit'!A:N,6,FALSE)</f>
        <v>529405</v>
      </c>
      <c r="I57" s="6">
        <f>VLOOKUP(B57,'75 - Summary Exhibit'!A:N,7,FALSE)</f>
        <v>107441</v>
      </c>
      <c r="J57" s="6">
        <f>VLOOKUP(B57,'75 - Summary Exhibit'!A:N,8,FALSE)</f>
        <v>4788</v>
      </c>
      <c r="K57" s="6">
        <f>VLOOKUP(B57,'75 - Summary Exhibit'!A:N,9,FALSE)</f>
        <v>0</v>
      </c>
      <c r="L57" s="6">
        <f>VLOOKUP(B57,'75 - Summary Exhibit'!A:N,10,FALSE)</f>
        <v>1303798</v>
      </c>
      <c r="M57" s="6">
        <f>VLOOKUP(B57,'75 - Summary Exhibit'!A:N,11,FALSE)</f>
        <v>386135</v>
      </c>
      <c r="N57" s="6">
        <f>VLOOKUP(B57,'75 - Summary Exhibit'!A:N,12,FALSE)</f>
        <v>-89629</v>
      </c>
      <c r="O57" s="6">
        <f>VLOOKUP(B57,'75 - Summary Exhibit'!A:N,13,FALSE)</f>
        <v>26035</v>
      </c>
      <c r="P57" s="6">
        <f t="shared" si="13"/>
        <v>-63594</v>
      </c>
      <c r="Q57" s="6">
        <f>VLOOKUP(B57,'75- Deferred Amortization'!A:G,3,FALSE)</f>
        <v>-313626</v>
      </c>
      <c r="R57" s="6">
        <f>VLOOKUP(B57,'75- Deferred Amortization'!A:G,4,FALSE)</f>
        <v>-473977</v>
      </c>
      <c r="S57" s="6">
        <f>VLOOKUP(B57,'75- Deferred Amortization'!A:G,5,FALSE)</f>
        <v>-257575</v>
      </c>
      <c r="T57" s="6">
        <f>VLOOKUP(B57,'75- Deferred Amortization'!A:G,6,FALSE)</f>
        <v>80156</v>
      </c>
      <c r="U57" s="6">
        <f>VLOOKUP(B57,'75- Deferred Amortization'!A:G,7,FALSE)</f>
        <v>0</v>
      </c>
      <c r="V57" s="6">
        <f t="shared" si="14"/>
        <v>2</v>
      </c>
      <c r="W57" s="6">
        <f t="shared" si="15"/>
        <v>1</v>
      </c>
      <c r="X57">
        <v>2</v>
      </c>
      <c r="Z57" s="208">
        <f>VLOOKUP(B57,'Noncap Contr Alloc'!A:C,3,FALSE)</f>
        <v>6420</v>
      </c>
      <c r="AC57" s="9">
        <v>4372546</v>
      </c>
      <c r="AD57" s="9">
        <v>42452</v>
      </c>
      <c r="AE57" s="9">
        <v>37864</v>
      </c>
      <c r="AF57" s="9">
        <v>350079</v>
      </c>
      <c r="AG57" s="6">
        <v>277030</v>
      </c>
      <c r="AH57" s="6">
        <v>12099</v>
      </c>
      <c r="AI57" s="6">
        <v>0</v>
      </c>
      <c r="AJ57" s="6">
        <v>1990049</v>
      </c>
      <c r="AK57" s="6">
        <v>518245</v>
      </c>
      <c r="AM57" s="6">
        <f t="shared" si="16"/>
        <v>-169589</v>
      </c>
      <c r="AN57" s="6">
        <f t="shared" si="17"/>
        <v>-132110</v>
      </c>
      <c r="AO57" s="9">
        <f t="shared" si="18"/>
        <v>11363</v>
      </c>
      <c r="AP57" s="6">
        <f t="shared" si="19"/>
        <v>-7311</v>
      </c>
      <c r="AQ57" s="9">
        <f t="shared" si="20"/>
        <v>179326</v>
      </c>
      <c r="AR57" s="6">
        <f t="shared" si="21"/>
        <v>-686251</v>
      </c>
      <c r="AS57" s="9">
        <f t="shared" si="22"/>
        <v>514403</v>
      </c>
      <c r="AT57" s="9">
        <f t="shared" si="23"/>
        <v>1175</v>
      </c>
      <c r="AU57" s="6">
        <f t="shared" si="24"/>
        <v>0</v>
      </c>
      <c r="AV57" s="285">
        <f t="shared" si="12"/>
        <v>4886949</v>
      </c>
    </row>
    <row r="58" spans="1:48">
      <c r="A58" t="s">
        <v>96</v>
      </c>
      <c r="B58">
        <v>37305</v>
      </c>
      <c r="C58" s="6">
        <f>VLOOKUP(B58,'ER Contributions'!A:D,4,FALSE)</f>
        <v>577013</v>
      </c>
      <c r="D58" s="7">
        <f>VLOOKUP(B58,'ER Contributions'!A:D,3,FALSE)</f>
        <v>3.7300000000000001E-4</v>
      </c>
      <c r="E58" s="9">
        <f>VLOOKUP(B58,'75 - Summary Exhibit'!A:N,3,FALSE)</f>
        <v>9939890</v>
      </c>
      <c r="F58" s="9">
        <f>VLOOKUP(B58,'75 - Summary Exhibit'!A:N,4,FALSE)</f>
        <v>109458</v>
      </c>
      <c r="G58" s="9">
        <f>VLOOKUP(B58,'75 - Summary Exhibit'!A:N,5,FALSE)</f>
        <v>79405</v>
      </c>
      <c r="H58" s="9">
        <f>VLOOKUP(B58,'75 - Summary Exhibit'!A:N,6,FALSE)</f>
        <v>1076793</v>
      </c>
      <c r="I58" s="6">
        <f>VLOOKUP(B58,'75 - Summary Exhibit'!A:N,7,FALSE)</f>
        <v>401273</v>
      </c>
      <c r="J58" s="6">
        <f>VLOOKUP(B58,'75 - Summary Exhibit'!A:N,8,FALSE)</f>
        <v>9739</v>
      </c>
      <c r="K58" s="6">
        <f>VLOOKUP(B58,'75 - Summary Exhibit'!A:N,9,FALSE)</f>
        <v>0</v>
      </c>
      <c r="L58" s="6">
        <f>VLOOKUP(B58,'75 - Summary Exhibit'!A:N,10,FALSE)</f>
        <v>2651882</v>
      </c>
      <c r="M58" s="6">
        <f>VLOOKUP(B58,'75 - Summary Exhibit'!A:N,11,FALSE)</f>
        <v>560774</v>
      </c>
      <c r="N58" s="6">
        <f>VLOOKUP(B58,'75 - Summary Exhibit'!A:N,12,FALSE)</f>
        <v>-182306</v>
      </c>
      <c r="O58" s="6">
        <f>VLOOKUP(B58,'75 - Summary Exhibit'!A:N,13,FALSE)</f>
        <v>-224684</v>
      </c>
      <c r="P58" s="6">
        <f t="shared" si="13"/>
        <v>-406990</v>
      </c>
      <c r="Q58" s="6">
        <f>VLOOKUP(B58,'75- Deferred Amortization'!A:G,3,FALSE)</f>
        <v>-746675</v>
      </c>
      <c r="R58" s="6">
        <f>VLOOKUP(B58,'75- Deferred Amortization'!A:G,4,FALSE)</f>
        <v>-780723</v>
      </c>
      <c r="S58" s="6">
        <f>VLOOKUP(B58,'75- Deferred Amortization'!A:G,5,FALSE)</f>
        <v>-253112</v>
      </c>
      <c r="T58" s="6">
        <f>VLOOKUP(B58,'75- Deferred Amortization'!A:G,6,FALSE)</f>
        <v>225042</v>
      </c>
      <c r="U58" s="6">
        <f>VLOOKUP(B58,'75- Deferred Amortization'!A:G,7,FALSE)</f>
        <v>0</v>
      </c>
      <c r="V58" s="6">
        <f t="shared" si="14"/>
        <v>0</v>
      </c>
      <c r="W58" s="6">
        <f t="shared" si="15"/>
        <v>2</v>
      </c>
      <c r="X58">
        <v>2</v>
      </c>
      <c r="Z58" s="208">
        <f>VLOOKUP(B58,'Noncap Contr Alloc'!A:C,3,FALSE)</f>
        <v>13058</v>
      </c>
      <c r="AC58" s="9">
        <v>8695712</v>
      </c>
      <c r="AD58" s="9">
        <v>84424</v>
      </c>
      <c r="AE58" s="9">
        <v>75301</v>
      </c>
      <c r="AF58" s="9">
        <v>696205</v>
      </c>
      <c r="AG58" s="6">
        <v>229148</v>
      </c>
      <c r="AH58" s="6">
        <v>24062</v>
      </c>
      <c r="AI58" s="6">
        <v>0</v>
      </c>
      <c r="AJ58" s="6">
        <v>3957623</v>
      </c>
      <c r="AK58" s="6">
        <v>900098</v>
      </c>
      <c r="AM58" s="6">
        <f t="shared" si="16"/>
        <v>172125</v>
      </c>
      <c r="AN58" s="6">
        <f t="shared" si="17"/>
        <v>-339324</v>
      </c>
      <c r="AO58" s="9">
        <f t="shared" si="18"/>
        <v>25034</v>
      </c>
      <c r="AP58" s="6">
        <f t="shared" si="19"/>
        <v>-14323</v>
      </c>
      <c r="AQ58" s="9">
        <f t="shared" si="20"/>
        <v>380588</v>
      </c>
      <c r="AR58" s="6">
        <f t="shared" si="21"/>
        <v>-1305741</v>
      </c>
      <c r="AS58" s="9">
        <f t="shared" si="22"/>
        <v>1244178</v>
      </c>
      <c r="AT58" s="9">
        <f t="shared" si="23"/>
        <v>4104</v>
      </c>
      <c r="AU58" s="6">
        <f t="shared" si="24"/>
        <v>0</v>
      </c>
      <c r="AV58" s="285">
        <f t="shared" si="12"/>
        <v>9939890</v>
      </c>
    </row>
    <row r="59" spans="1:48">
      <c r="A59" t="s">
        <v>97</v>
      </c>
      <c r="B59">
        <v>37405</v>
      </c>
      <c r="C59" s="6">
        <f>VLOOKUP(B59,'ER Contributions'!A:D,4,FALSE)</f>
        <v>2191932</v>
      </c>
      <c r="D59" s="7">
        <f>VLOOKUP(B59,'ER Contributions'!A:D,3,FALSE)</f>
        <v>1.5858999999999999E-3</v>
      </c>
      <c r="E59" s="9">
        <f>VLOOKUP(B59,'75 - Summary Exhibit'!A:N,3,FALSE)</f>
        <v>42261315</v>
      </c>
      <c r="F59" s="9">
        <f>VLOOKUP(B59,'75 - Summary Exhibit'!A:N,4,FALSE)</f>
        <v>465380</v>
      </c>
      <c r="G59" s="9">
        <f>VLOOKUP(B59,'75 - Summary Exhibit'!A:N,5,FALSE)</f>
        <v>337605</v>
      </c>
      <c r="H59" s="9">
        <f>VLOOKUP(B59,'75 - Summary Exhibit'!A:N,6,FALSE)</f>
        <v>4578187</v>
      </c>
      <c r="I59" s="6">
        <f>VLOOKUP(B59,'75 - Summary Exhibit'!A:N,7,FALSE)</f>
        <v>1251421</v>
      </c>
      <c r="J59" s="6">
        <f>VLOOKUP(B59,'75 - Summary Exhibit'!A:N,8,FALSE)</f>
        <v>41408</v>
      </c>
      <c r="K59" s="6">
        <f>VLOOKUP(B59,'75 - Summary Exhibit'!A:N,9,FALSE)</f>
        <v>0</v>
      </c>
      <c r="L59" s="6">
        <f>VLOOKUP(B59,'75 - Summary Exhibit'!A:N,10,FALSE)</f>
        <v>11274978</v>
      </c>
      <c r="M59" s="6">
        <f>VLOOKUP(B59,'75 - Summary Exhibit'!A:N,11,FALSE)</f>
        <v>2690286</v>
      </c>
      <c r="N59" s="6">
        <f>VLOOKUP(B59,'75 - Summary Exhibit'!A:N,12,FALSE)</f>
        <v>-775105</v>
      </c>
      <c r="O59" s="6">
        <f>VLOOKUP(B59,'75 - Summary Exhibit'!A:N,13,FALSE)</f>
        <v>-1024035</v>
      </c>
      <c r="P59" s="6">
        <f t="shared" si="13"/>
        <v>-1799140</v>
      </c>
      <c r="Q59" s="6">
        <f>VLOOKUP(B59,'75- Deferred Amortization'!A:G,3,FALSE)</f>
        <v>-3759788</v>
      </c>
      <c r="R59" s="6">
        <f>VLOOKUP(B59,'75- Deferred Amortization'!A:G,4,FALSE)</f>
        <v>-3335765</v>
      </c>
      <c r="S59" s="6">
        <f>VLOOKUP(B59,'75- Deferred Amortization'!A:G,5,FALSE)</f>
        <v>-1221401</v>
      </c>
      <c r="T59" s="6">
        <f>VLOOKUP(B59,'75- Deferred Amortization'!A:G,6,FALSE)</f>
        <v>942875</v>
      </c>
      <c r="U59" s="6">
        <f>VLOOKUP(B59,'75- Deferred Amortization'!A:G,7,FALSE)</f>
        <v>0</v>
      </c>
      <c r="V59" s="6">
        <f t="shared" si="14"/>
        <v>0</v>
      </c>
      <c r="W59" s="6">
        <f t="shared" si="15"/>
        <v>0</v>
      </c>
      <c r="X59">
        <v>2</v>
      </c>
      <c r="Z59" s="208">
        <f>VLOOKUP(B59,'Noncap Contr Alloc'!A:C,3,FALSE)</f>
        <v>55519</v>
      </c>
      <c r="AC59" s="9">
        <v>36830465</v>
      </c>
      <c r="AD59" s="9">
        <v>357575</v>
      </c>
      <c r="AE59" s="9">
        <v>318936</v>
      </c>
      <c r="AF59" s="9">
        <v>2948757</v>
      </c>
      <c r="AG59" s="6">
        <v>778208</v>
      </c>
      <c r="AH59" s="6">
        <v>101914</v>
      </c>
      <c r="AI59" s="6">
        <v>0</v>
      </c>
      <c r="AJ59" s="6">
        <v>16762412</v>
      </c>
      <c r="AK59" s="6">
        <v>4390670</v>
      </c>
      <c r="AM59" s="6">
        <f t="shared" si="16"/>
        <v>473213</v>
      </c>
      <c r="AN59" s="6">
        <f t="shared" si="17"/>
        <v>-1700384</v>
      </c>
      <c r="AO59" s="9">
        <f t="shared" si="18"/>
        <v>107805</v>
      </c>
      <c r="AP59" s="6">
        <f t="shared" si="19"/>
        <v>-60506</v>
      </c>
      <c r="AQ59" s="9">
        <f t="shared" si="20"/>
        <v>1629430</v>
      </c>
      <c r="AR59" s="6">
        <f t="shared" si="21"/>
        <v>-5487434</v>
      </c>
      <c r="AS59" s="9">
        <f t="shared" si="22"/>
        <v>5430850</v>
      </c>
      <c r="AT59" s="9">
        <f t="shared" si="23"/>
        <v>18669</v>
      </c>
      <c r="AU59" s="6">
        <f t="shared" si="24"/>
        <v>0</v>
      </c>
      <c r="AV59" s="285">
        <f t="shared" si="12"/>
        <v>42261315</v>
      </c>
    </row>
    <row r="60" spans="1:48">
      <c r="A60" t="s">
        <v>98</v>
      </c>
      <c r="B60">
        <v>37605</v>
      </c>
      <c r="C60" s="6">
        <f>VLOOKUP(B60,'ER Contributions'!A:D,4,FALSE)</f>
        <v>829135</v>
      </c>
      <c r="D60" s="7">
        <f>VLOOKUP(B60,'ER Contributions'!A:D,3,FALSE)</f>
        <v>6.4269999999999996E-4</v>
      </c>
      <c r="E60" s="9">
        <f>VLOOKUP(B60,'75 - Summary Exhibit'!A:N,3,FALSE)</f>
        <v>17127452</v>
      </c>
      <c r="F60" s="9">
        <f>VLOOKUP(B60,'75 - Summary Exhibit'!A:N,4,FALSE)</f>
        <v>188607</v>
      </c>
      <c r="G60" s="9">
        <f>VLOOKUP(B60,'75 - Summary Exhibit'!A:N,5,FALSE)</f>
        <v>136823</v>
      </c>
      <c r="H60" s="9">
        <f>VLOOKUP(B60,'75 - Summary Exhibit'!A:N,6,FALSE)</f>
        <v>1855424</v>
      </c>
      <c r="I60" s="6">
        <f>VLOOKUP(B60,'75 - Summary Exhibit'!A:N,7,FALSE)</f>
        <v>674804</v>
      </c>
      <c r="J60" s="6">
        <f>VLOOKUP(B60,'75 - Summary Exhibit'!A:N,8,FALSE)</f>
        <v>16781</v>
      </c>
      <c r="K60" s="6">
        <f>VLOOKUP(B60,'75 - Summary Exhibit'!A:N,9,FALSE)</f>
        <v>0</v>
      </c>
      <c r="L60" s="6">
        <f>VLOOKUP(B60,'75 - Summary Exhibit'!A:N,10,FALSE)</f>
        <v>4569466</v>
      </c>
      <c r="M60" s="6">
        <f>VLOOKUP(B60,'75 - Summary Exhibit'!A:N,11,FALSE)</f>
        <v>769798</v>
      </c>
      <c r="N60" s="6">
        <f>VLOOKUP(B60,'75 - Summary Exhibit'!A:N,12,FALSE)</f>
        <v>-314131</v>
      </c>
      <c r="O60" s="6">
        <f>VLOOKUP(B60,'75 - Summary Exhibit'!A:N,13,FALSE)</f>
        <v>-113479</v>
      </c>
      <c r="P60" s="6">
        <f t="shared" si="13"/>
        <v>-427610</v>
      </c>
      <c r="Q60" s="6">
        <f>VLOOKUP(B60,'75- Deferred Amortization'!A:G,3,FALSE)</f>
        <v>-1170252</v>
      </c>
      <c r="R60" s="6">
        <f>VLOOKUP(B60,'75- Deferred Amortization'!A:G,4,FALSE)</f>
        <v>-1236134</v>
      </c>
      <c r="S60" s="6">
        <f>VLOOKUP(B60,'75- Deferred Amortization'!A:G,5,FALSE)</f>
        <v>-551648</v>
      </c>
      <c r="T60" s="6">
        <f>VLOOKUP(B60,'75- Deferred Amortization'!A:G,6,FALSE)</f>
        <v>457647</v>
      </c>
      <c r="U60" s="6">
        <f>VLOOKUP(B60,'75- Deferred Amortization'!A:G,7,FALSE)</f>
        <v>0</v>
      </c>
      <c r="V60" s="6">
        <f t="shared" si="14"/>
        <v>0</v>
      </c>
      <c r="W60" s="6">
        <f t="shared" si="15"/>
        <v>0</v>
      </c>
      <c r="X60">
        <v>2</v>
      </c>
      <c r="Z60" s="208">
        <f>VLOOKUP(B60,'Noncap Contr Alloc'!A:C,3,FALSE)</f>
        <v>22500</v>
      </c>
      <c r="AC60" s="9">
        <v>14605150</v>
      </c>
      <c r="AD60" s="9">
        <v>141797</v>
      </c>
      <c r="AE60" s="9">
        <v>126474</v>
      </c>
      <c r="AF60" s="9">
        <v>1169332</v>
      </c>
      <c r="AG60" s="6">
        <v>84154</v>
      </c>
      <c r="AH60" s="6">
        <v>40414</v>
      </c>
      <c r="AI60" s="6">
        <v>0</v>
      </c>
      <c r="AJ60" s="6">
        <v>6647148</v>
      </c>
      <c r="AK60" s="6">
        <v>1136129</v>
      </c>
      <c r="AM60" s="6">
        <f t="shared" si="16"/>
        <v>590650</v>
      </c>
      <c r="AN60" s="6">
        <f t="shared" si="17"/>
        <v>-366331</v>
      </c>
      <c r="AO60" s="9">
        <f t="shared" si="18"/>
        <v>46810</v>
      </c>
      <c r="AP60" s="6">
        <f t="shared" si="19"/>
        <v>-23633</v>
      </c>
      <c r="AQ60" s="9">
        <f t="shared" si="20"/>
        <v>686092</v>
      </c>
      <c r="AR60" s="6">
        <f t="shared" si="21"/>
        <v>-2077682</v>
      </c>
      <c r="AS60" s="9">
        <f t="shared" si="22"/>
        <v>2522302</v>
      </c>
      <c r="AT60" s="9">
        <f t="shared" si="23"/>
        <v>10349</v>
      </c>
      <c r="AU60" s="6">
        <f t="shared" si="24"/>
        <v>0</v>
      </c>
      <c r="AV60" s="285">
        <f t="shared" si="12"/>
        <v>17127452</v>
      </c>
    </row>
    <row r="61" spans="1:48">
      <c r="A61" t="s">
        <v>99</v>
      </c>
      <c r="B61">
        <v>37705</v>
      </c>
      <c r="C61" s="6">
        <f>VLOOKUP(B61,'ER Contributions'!A:D,4,FALSE)</f>
        <v>907428</v>
      </c>
      <c r="D61" s="7">
        <f>VLOOKUP(B61,'ER Contributions'!A:D,3,FALSE)</f>
        <v>6.4070000000000002E-4</v>
      </c>
      <c r="E61" s="9">
        <f>VLOOKUP(B61,'75 - Summary Exhibit'!A:N,3,FALSE)</f>
        <v>17073723</v>
      </c>
      <c r="F61" s="9">
        <f>VLOOKUP(B61,'75 - Summary Exhibit'!A:N,4,FALSE)</f>
        <v>188015</v>
      </c>
      <c r="G61" s="9">
        <f>VLOOKUP(B61,'75 - Summary Exhibit'!A:N,5,FALSE)</f>
        <v>136394</v>
      </c>
      <c r="H61" s="9">
        <f>VLOOKUP(B61,'75 - Summary Exhibit'!A:N,6,FALSE)</f>
        <v>1849604</v>
      </c>
      <c r="I61" s="6">
        <f>VLOOKUP(B61,'75 - Summary Exhibit'!A:N,7,FALSE)</f>
        <v>805340</v>
      </c>
      <c r="J61" s="6">
        <f>VLOOKUP(B61,'75 - Summary Exhibit'!A:N,8,FALSE)</f>
        <v>16729</v>
      </c>
      <c r="K61" s="6">
        <f>VLOOKUP(B61,'75 - Summary Exhibit'!A:N,9,FALSE)</f>
        <v>0</v>
      </c>
      <c r="L61" s="6">
        <f>VLOOKUP(B61,'75 - Summary Exhibit'!A:N,10,FALSE)</f>
        <v>4555131</v>
      </c>
      <c r="M61" s="6">
        <f>VLOOKUP(B61,'75 - Summary Exhibit'!A:N,11,FALSE)</f>
        <v>1440572</v>
      </c>
      <c r="N61" s="6">
        <f>VLOOKUP(B61,'75 - Summary Exhibit'!A:N,12,FALSE)</f>
        <v>-313146</v>
      </c>
      <c r="O61" s="6">
        <f>VLOOKUP(B61,'75 - Summary Exhibit'!A:N,13,FALSE)</f>
        <v>-166247</v>
      </c>
      <c r="P61" s="6">
        <f t="shared" si="13"/>
        <v>-479393</v>
      </c>
      <c r="Q61" s="6">
        <f>VLOOKUP(B61,'75- Deferred Amortization'!A:G,3,FALSE)</f>
        <v>-1419192</v>
      </c>
      <c r="R61" s="6">
        <f>VLOOKUP(B61,'75- Deferred Amortization'!A:G,4,FALSE)</f>
        <v>-1492060</v>
      </c>
      <c r="S61" s="6">
        <f>VLOOKUP(B61,'75- Deferred Amortization'!A:G,5,FALSE)</f>
        <v>-611202</v>
      </c>
      <c r="T61" s="6">
        <f>VLOOKUP(B61,'75- Deferred Amortization'!A:G,6,FALSE)</f>
        <v>489375</v>
      </c>
      <c r="U61" s="6">
        <f>VLOOKUP(B61,'75- Deferred Amortization'!A:G,7,FALSE)</f>
        <v>0</v>
      </c>
      <c r="V61" s="6">
        <f t="shared" si="14"/>
        <v>-1</v>
      </c>
      <c r="W61" s="6">
        <f t="shared" si="15"/>
        <v>0</v>
      </c>
      <c r="X61">
        <v>2</v>
      </c>
      <c r="Z61" s="208">
        <f>VLOOKUP(B61,'Noncap Contr Alloc'!A:C,3,FALSE)</f>
        <v>22430</v>
      </c>
      <c r="AC61" s="9">
        <v>14496864</v>
      </c>
      <c r="AD61" s="9">
        <v>140745</v>
      </c>
      <c r="AE61" s="9">
        <v>125537</v>
      </c>
      <c r="AF61" s="9">
        <v>1160662</v>
      </c>
      <c r="AG61" s="6">
        <v>283374</v>
      </c>
      <c r="AH61" s="6">
        <v>40114</v>
      </c>
      <c r="AI61" s="6">
        <v>0</v>
      </c>
      <c r="AJ61" s="6">
        <v>6597864</v>
      </c>
      <c r="AK61" s="6">
        <v>2091528</v>
      </c>
      <c r="AM61" s="6">
        <f t="shared" si="16"/>
        <v>521966</v>
      </c>
      <c r="AN61" s="6">
        <f t="shared" si="17"/>
        <v>-650956</v>
      </c>
      <c r="AO61" s="9">
        <f t="shared" si="18"/>
        <v>47270</v>
      </c>
      <c r="AP61" s="6">
        <f t="shared" si="19"/>
        <v>-23385</v>
      </c>
      <c r="AQ61" s="9">
        <f t="shared" si="20"/>
        <v>688942</v>
      </c>
      <c r="AR61" s="6">
        <f t="shared" si="21"/>
        <v>-2042733</v>
      </c>
      <c r="AS61" s="9">
        <f t="shared" si="22"/>
        <v>2576859</v>
      </c>
      <c r="AT61" s="9">
        <f t="shared" si="23"/>
        <v>10857</v>
      </c>
      <c r="AU61" s="6">
        <f t="shared" si="24"/>
        <v>0</v>
      </c>
      <c r="AV61" s="285">
        <f t="shared" si="12"/>
        <v>17073723</v>
      </c>
    </row>
    <row r="62" spans="1:48">
      <c r="A62" t="s">
        <v>79</v>
      </c>
      <c r="B62">
        <v>34605</v>
      </c>
      <c r="C62" s="6">
        <f>VLOOKUP(B62,'ER Contributions'!A:D,4,FALSE)</f>
        <v>243012</v>
      </c>
      <c r="D62" s="7">
        <f>VLOOKUP(B62,'ER Contributions'!A:D,3,FALSE)</f>
        <v>1.5109999999999999E-4</v>
      </c>
      <c r="E62" s="9">
        <f>VLOOKUP(B62,'75 - Summary Exhibit'!A:N,3,FALSE)</f>
        <v>4026037</v>
      </c>
      <c r="F62" s="9">
        <f>VLOOKUP(B62,'75 - Summary Exhibit'!A:N,4,FALSE)</f>
        <v>44335</v>
      </c>
      <c r="G62" s="9">
        <f>VLOOKUP(B62,'75 - Summary Exhibit'!A:N,5,FALSE)</f>
        <v>32162</v>
      </c>
      <c r="H62" s="9">
        <f>VLOOKUP(B62,'75 - Summary Exhibit'!A:N,6,FALSE)</f>
        <v>436142</v>
      </c>
      <c r="I62" s="6">
        <f>VLOOKUP(B62,'75 - Summary Exhibit'!A:N,7,FALSE)</f>
        <v>154857</v>
      </c>
      <c r="J62" s="6">
        <f>VLOOKUP(B62,'75 - Summary Exhibit'!A:N,8,FALSE)</f>
        <v>3945</v>
      </c>
      <c r="K62" s="6">
        <f>VLOOKUP(B62,'75 - Summary Exhibit'!A:N,9,FALSE)</f>
        <v>0</v>
      </c>
      <c r="L62" s="6">
        <f>VLOOKUP(B62,'75 - Summary Exhibit'!A:N,10,FALSE)</f>
        <v>1074114</v>
      </c>
      <c r="M62" s="6">
        <f>VLOOKUP(B62,'75 - Summary Exhibit'!A:N,11,FALSE)</f>
        <v>825066</v>
      </c>
      <c r="N62" s="6">
        <f>VLOOKUP(B62,'75 - Summary Exhibit'!A:N,12,FALSE)</f>
        <v>-73841</v>
      </c>
      <c r="O62" s="6">
        <f>VLOOKUP(B62,'75 - Summary Exhibit'!A:N,13,FALSE)</f>
        <v>-505812</v>
      </c>
      <c r="P62" s="6">
        <f t="shared" si="13"/>
        <v>-579653</v>
      </c>
      <c r="Q62" s="6">
        <f>VLOOKUP(B62,'75- Deferred Amortization'!A:G,3,FALSE)</f>
        <v>-617876</v>
      </c>
      <c r="R62" s="6">
        <f>VLOOKUP(B62,'75- Deferred Amortization'!A:G,4,FALSE)</f>
        <v>-493839</v>
      </c>
      <c r="S62" s="6">
        <f>VLOOKUP(B62,'75- Deferred Amortization'!A:G,5,FALSE)</f>
        <v>-137478</v>
      </c>
      <c r="T62" s="6">
        <f>VLOOKUP(B62,'75- Deferred Amortization'!A:G,6,FALSE)</f>
        <v>13565</v>
      </c>
      <c r="U62" s="6">
        <f>VLOOKUP(B62,'75- Deferred Amortization'!A:G,7,FALSE)</f>
        <v>0</v>
      </c>
      <c r="V62" s="6">
        <f t="shared" si="14"/>
        <v>0</v>
      </c>
      <c r="W62" s="6">
        <f t="shared" si="15"/>
        <v>-1</v>
      </c>
      <c r="X62">
        <v>2</v>
      </c>
      <c r="Z62" s="208">
        <f>VLOOKUP(B62,'Noncap Contr Alloc'!A:C,3,FALSE)</f>
        <v>5289</v>
      </c>
      <c r="AC62" s="9">
        <v>3814293</v>
      </c>
      <c r="AD62" s="9">
        <v>37032</v>
      </c>
      <c r="AE62" s="9">
        <v>33030</v>
      </c>
      <c r="AF62" s="9">
        <v>305384</v>
      </c>
      <c r="AG62" s="6">
        <v>206476</v>
      </c>
      <c r="AH62" s="6">
        <v>10555</v>
      </c>
      <c r="AI62" s="6">
        <v>0</v>
      </c>
      <c r="AJ62" s="6">
        <v>1735975</v>
      </c>
      <c r="AK62" s="6">
        <v>1110719</v>
      </c>
      <c r="AM62" s="6">
        <f t="shared" si="16"/>
        <v>-51619</v>
      </c>
      <c r="AN62" s="6">
        <f t="shared" si="17"/>
        <v>-285653</v>
      </c>
      <c r="AO62" s="9">
        <f t="shared" si="18"/>
        <v>7303</v>
      </c>
      <c r="AP62" s="6">
        <f t="shared" si="19"/>
        <v>-6610</v>
      </c>
      <c r="AQ62" s="9">
        <f t="shared" si="20"/>
        <v>130758</v>
      </c>
      <c r="AR62" s="6">
        <f t="shared" si="21"/>
        <v>-661861</v>
      </c>
      <c r="AS62" s="9">
        <f t="shared" si="22"/>
        <v>211744</v>
      </c>
      <c r="AT62" s="9">
        <f t="shared" si="23"/>
        <v>-868</v>
      </c>
      <c r="AU62" s="6">
        <f t="shared" si="24"/>
        <v>0</v>
      </c>
      <c r="AV62" s="285">
        <f t="shared" si="12"/>
        <v>4026037</v>
      </c>
    </row>
    <row r="63" spans="1:48">
      <c r="A63" t="s">
        <v>100</v>
      </c>
      <c r="B63">
        <v>37805</v>
      </c>
      <c r="C63" s="6">
        <f>VLOOKUP(B63,'ER Contributions'!A:D,4,FALSE)</f>
        <v>785159</v>
      </c>
      <c r="D63" s="7">
        <f>VLOOKUP(B63,'ER Contributions'!A:D,3,FALSE)</f>
        <v>5.5020000000000004E-4</v>
      </c>
      <c r="E63" s="9">
        <f>VLOOKUP(B63,'75 - Summary Exhibit'!A:N,3,FALSE)</f>
        <v>14660204</v>
      </c>
      <c r="F63" s="9">
        <f>VLOOKUP(B63,'75 - Summary Exhibit'!A:N,4,FALSE)</f>
        <v>161438</v>
      </c>
      <c r="G63" s="9">
        <f>VLOOKUP(B63,'75 - Summary Exhibit'!A:N,5,FALSE)</f>
        <v>117113</v>
      </c>
      <c r="H63" s="9">
        <f>VLOOKUP(B63,'75 - Summary Exhibit'!A:N,6,FALSE)</f>
        <v>1588146</v>
      </c>
      <c r="I63" s="6">
        <f>VLOOKUP(B63,'75 - Summary Exhibit'!A:N,7,FALSE)</f>
        <v>1430283</v>
      </c>
      <c r="J63" s="6">
        <f>VLOOKUP(B63,'75 - Summary Exhibit'!A:N,8,FALSE)</f>
        <v>14364</v>
      </c>
      <c r="K63" s="6">
        <f>VLOOKUP(B63,'75 - Summary Exhibit'!A:N,9,FALSE)</f>
        <v>0</v>
      </c>
      <c r="L63" s="6">
        <f>VLOOKUP(B63,'75 - Summary Exhibit'!A:N,10,FALSE)</f>
        <v>3911224</v>
      </c>
      <c r="M63" s="6">
        <f>VLOOKUP(B63,'75 - Summary Exhibit'!A:N,11,FALSE)</f>
        <v>401217</v>
      </c>
      <c r="N63" s="6">
        <f>VLOOKUP(B63,'75 - Summary Exhibit'!A:N,12,FALSE)</f>
        <v>-268881</v>
      </c>
      <c r="O63" s="6">
        <f>VLOOKUP(B63,'75 - Summary Exhibit'!A:N,13,FALSE)</f>
        <v>152061</v>
      </c>
      <c r="P63" s="6">
        <f t="shared" si="13"/>
        <v>-116820</v>
      </c>
      <c r="Q63" s="6">
        <f>VLOOKUP(B63,'75- Deferred Amortization'!A:G,3,FALSE)</f>
        <v>-763896</v>
      </c>
      <c r="R63" s="6">
        <f>VLOOKUP(B63,'75- Deferred Amortization'!A:G,4,FALSE)</f>
        <v>-521403</v>
      </c>
      <c r="S63" s="6">
        <f>VLOOKUP(B63,'75- Deferred Amortization'!A:G,5,FALSE)</f>
        <v>-115951</v>
      </c>
      <c r="T63" s="6">
        <f>VLOOKUP(B63,'75- Deferred Amortization'!A:G,6,FALSE)</f>
        <v>371425</v>
      </c>
      <c r="U63" s="6">
        <f>VLOOKUP(B63,'75- Deferred Amortization'!A:G,7,FALSE)</f>
        <v>0</v>
      </c>
      <c r="V63" s="6">
        <f t="shared" si="14"/>
        <v>-1</v>
      </c>
      <c r="W63" s="6">
        <f t="shared" si="15"/>
        <v>0</v>
      </c>
      <c r="X63">
        <v>2</v>
      </c>
      <c r="Z63" s="208">
        <f>VLOOKUP(B63,'Noncap Contr Alloc'!A:C,3,FALSE)</f>
        <v>19259</v>
      </c>
      <c r="AC63" s="9">
        <v>12631406</v>
      </c>
      <c r="AD63" s="9">
        <v>122634</v>
      </c>
      <c r="AE63" s="9">
        <v>109383</v>
      </c>
      <c r="AF63" s="9">
        <v>1011308</v>
      </c>
      <c r="AG63" s="6">
        <v>1363051</v>
      </c>
      <c r="AH63" s="6">
        <v>34952</v>
      </c>
      <c r="AI63" s="6">
        <v>0</v>
      </c>
      <c r="AJ63" s="6">
        <v>5748850</v>
      </c>
      <c r="AK63" s="6">
        <v>802434</v>
      </c>
      <c r="AM63" s="6">
        <f t="shared" si="16"/>
        <v>67232</v>
      </c>
      <c r="AN63" s="6">
        <f t="shared" si="17"/>
        <v>-401217</v>
      </c>
      <c r="AO63" s="9">
        <f t="shared" si="18"/>
        <v>38804</v>
      </c>
      <c r="AP63" s="6">
        <f t="shared" si="19"/>
        <v>-20588</v>
      </c>
      <c r="AQ63" s="9">
        <f t="shared" si="20"/>
        <v>576838</v>
      </c>
      <c r="AR63" s="6">
        <f t="shared" si="21"/>
        <v>-1837626</v>
      </c>
      <c r="AS63" s="9">
        <f t="shared" si="22"/>
        <v>2028798</v>
      </c>
      <c r="AT63" s="9">
        <f t="shared" si="23"/>
        <v>7730</v>
      </c>
      <c r="AU63" s="6">
        <f t="shared" si="24"/>
        <v>0</v>
      </c>
      <c r="AV63" s="285">
        <f t="shared" si="12"/>
        <v>14660204</v>
      </c>
    </row>
    <row r="64" spans="1:48">
      <c r="A64" t="s">
        <v>101</v>
      </c>
      <c r="B64">
        <v>37905</v>
      </c>
      <c r="C64" s="6">
        <f>VLOOKUP(B64,'ER Contributions'!A:D,4,FALSE)</f>
        <v>577293</v>
      </c>
      <c r="D64" s="7">
        <f>VLOOKUP(B64,'ER Contributions'!A:D,3,FALSE)</f>
        <v>4.0549999999999999E-4</v>
      </c>
      <c r="E64" s="9">
        <f>VLOOKUP(B64,'75 - Summary Exhibit'!A:N,3,FALSE)</f>
        <v>10804274</v>
      </c>
      <c r="F64" s="9">
        <f>VLOOKUP(B64,'75 - Summary Exhibit'!A:N,4,FALSE)</f>
        <v>118976</v>
      </c>
      <c r="G64" s="9">
        <f>VLOOKUP(B64,'75 - Summary Exhibit'!A:N,5,FALSE)</f>
        <v>86310</v>
      </c>
      <c r="H64" s="9">
        <f>VLOOKUP(B64,'75 - Summary Exhibit'!A:N,6,FALSE)</f>
        <v>1170432</v>
      </c>
      <c r="I64" s="6">
        <f>VLOOKUP(B64,'75 - Summary Exhibit'!A:N,7,FALSE)</f>
        <v>391892</v>
      </c>
      <c r="J64" s="6">
        <f>VLOOKUP(B64,'75 - Summary Exhibit'!A:N,8,FALSE)</f>
        <v>10586</v>
      </c>
      <c r="K64" s="6">
        <f>VLOOKUP(B64,'75 - Summary Exhibit'!A:N,9,FALSE)</f>
        <v>0</v>
      </c>
      <c r="L64" s="6">
        <f>VLOOKUP(B64,'75 - Summary Exhibit'!A:N,10,FALSE)</f>
        <v>2882493</v>
      </c>
      <c r="M64" s="6">
        <f>VLOOKUP(B64,'75 - Summary Exhibit'!A:N,11,FALSE)</f>
        <v>161449</v>
      </c>
      <c r="N64" s="6">
        <f>VLOOKUP(B64,'75 - Summary Exhibit'!A:N,12,FALSE)</f>
        <v>-198158</v>
      </c>
      <c r="O64" s="6">
        <f>VLOOKUP(B64,'75 - Summary Exhibit'!A:N,13,FALSE)</f>
        <v>-218676</v>
      </c>
      <c r="P64" s="6">
        <f t="shared" si="13"/>
        <v>-416834</v>
      </c>
      <c r="Q64" s="6">
        <f>VLOOKUP(B64,'75- Deferred Amortization'!A:G,3,FALSE)</f>
        <v>-652648</v>
      </c>
      <c r="R64" s="6">
        <f>VLOOKUP(B64,'75- Deferred Amortization'!A:G,4,FALSE)</f>
        <v>-622041</v>
      </c>
      <c r="S64" s="6">
        <f>VLOOKUP(B64,'75- Deferred Amortization'!A:G,5,FALSE)</f>
        <v>-240151</v>
      </c>
      <c r="T64" s="6">
        <f>VLOOKUP(B64,'75- Deferred Amortization'!A:G,6,FALSE)</f>
        <v>227922</v>
      </c>
      <c r="U64" s="6">
        <f>VLOOKUP(B64,'75- Deferred Amortization'!A:G,7,FALSE)</f>
        <v>0</v>
      </c>
      <c r="V64" s="6">
        <f t="shared" si="14"/>
        <v>0</v>
      </c>
      <c r="W64" s="6">
        <f t="shared" si="15"/>
        <v>0</v>
      </c>
      <c r="X64">
        <v>2</v>
      </c>
      <c r="Z64" s="208">
        <f>VLOOKUP(B64,'Noncap Contr Alloc'!A:C,3,FALSE)</f>
        <v>14194</v>
      </c>
      <c r="AC64" s="9">
        <v>9476583</v>
      </c>
      <c r="AD64" s="9">
        <v>92005</v>
      </c>
      <c r="AE64" s="9">
        <v>82063</v>
      </c>
      <c r="AF64" s="9">
        <v>758724</v>
      </c>
      <c r="AG64" s="6">
        <v>279056</v>
      </c>
      <c r="AH64" s="6">
        <v>26223</v>
      </c>
      <c r="AI64" s="6">
        <v>0</v>
      </c>
      <c r="AJ64" s="6">
        <v>4313016</v>
      </c>
      <c r="AK64" s="6">
        <v>495539</v>
      </c>
      <c r="AM64" s="6">
        <f t="shared" si="16"/>
        <v>112836</v>
      </c>
      <c r="AN64" s="6">
        <f t="shared" si="17"/>
        <v>-334090</v>
      </c>
      <c r="AO64" s="9">
        <f t="shared" si="18"/>
        <v>26971</v>
      </c>
      <c r="AP64" s="6">
        <f t="shared" si="19"/>
        <v>-15637</v>
      </c>
      <c r="AQ64" s="9">
        <f t="shared" si="20"/>
        <v>411708</v>
      </c>
      <c r="AR64" s="6">
        <f t="shared" si="21"/>
        <v>-1430523</v>
      </c>
      <c r="AS64" s="9">
        <f t="shared" si="22"/>
        <v>1327691</v>
      </c>
      <c r="AT64" s="9">
        <f t="shared" si="23"/>
        <v>4247</v>
      </c>
      <c r="AU64" s="6">
        <f t="shared" si="24"/>
        <v>0</v>
      </c>
      <c r="AV64" s="285">
        <f t="shared" si="12"/>
        <v>10804274</v>
      </c>
    </row>
    <row r="65" spans="1:48">
      <c r="A65" t="s">
        <v>102</v>
      </c>
      <c r="B65">
        <v>38005</v>
      </c>
      <c r="C65" s="6">
        <f>VLOOKUP(B65,'ER Contributions'!A:D,4,FALSE)</f>
        <v>1769574</v>
      </c>
      <c r="D65" s="7">
        <f>VLOOKUP(B65,'ER Contributions'!A:D,3,FALSE)</f>
        <v>1.3419E-3</v>
      </c>
      <c r="E65" s="9">
        <f>VLOOKUP(B65,'75 - Summary Exhibit'!A:N,3,FALSE)</f>
        <v>35758573</v>
      </c>
      <c r="F65" s="9">
        <f>VLOOKUP(B65,'75 - Summary Exhibit'!A:N,4,FALSE)</f>
        <v>393772</v>
      </c>
      <c r="G65" s="9">
        <f>VLOOKUP(B65,'75 - Summary Exhibit'!A:N,5,FALSE)</f>
        <v>285658</v>
      </c>
      <c r="H65" s="9">
        <f>VLOOKUP(B65,'75 - Summary Exhibit'!A:N,6,FALSE)</f>
        <v>3873742</v>
      </c>
      <c r="I65" s="6">
        <f>VLOOKUP(B65,'75 - Summary Exhibit'!A:N,7,FALSE)</f>
        <v>3889616</v>
      </c>
      <c r="J65" s="6">
        <f>VLOOKUP(B65,'75 - Summary Exhibit'!A:N,8,FALSE)</f>
        <v>35036</v>
      </c>
      <c r="K65" s="6">
        <f>VLOOKUP(B65,'75 - Summary Exhibit'!A:N,9,FALSE)</f>
        <v>0</v>
      </c>
      <c r="L65" s="6">
        <f>VLOOKUP(B65,'75 - Summary Exhibit'!A:N,10,FALSE)</f>
        <v>9540099</v>
      </c>
      <c r="M65" s="6">
        <f>VLOOKUP(B65,'75 - Summary Exhibit'!A:N,11,FALSE)</f>
        <v>0</v>
      </c>
      <c r="N65" s="6">
        <f>VLOOKUP(B65,'75 - Summary Exhibit'!A:N,12,FALSE)</f>
        <v>-655841</v>
      </c>
      <c r="O65" s="6">
        <f>VLOOKUP(B65,'75 - Summary Exhibit'!A:N,13,FALSE)</f>
        <v>1177882</v>
      </c>
      <c r="P65" s="6">
        <f t="shared" si="13"/>
        <v>522041</v>
      </c>
      <c r="Q65" s="6">
        <f>VLOOKUP(B65,'75- Deferred Amortization'!A:G,3,FALSE)</f>
        <v>-807736</v>
      </c>
      <c r="R65" s="6">
        <f>VLOOKUP(B65,'75- Deferred Amortization'!A:G,4,FALSE)</f>
        <v>-1301581</v>
      </c>
      <c r="S65" s="6">
        <f>VLOOKUP(B65,'75- Deferred Amortization'!A:G,5,FALSE)</f>
        <v>-69211</v>
      </c>
      <c r="T65" s="6">
        <f>VLOOKUP(B65,'75- Deferred Amortization'!A:G,6,FALSE)</f>
        <v>1046180</v>
      </c>
      <c r="U65" s="6">
        <f>VLOOKUP(B65,'75- Deferred Amortization'!A:G,7,FALSE)</f>
        <v>0</v>
      </c>
      <c r="V65" s="6">
        <f t="shared" si="14"/>
        <v>-1</v>
      </c>
      <c r="W65" s="6">
        <f t="shared" si="15"/>
        <v>1</v>
      </c>
      <c r="X65">
        <v>2</v>
      </c>
      <c r="Z65" s="208">
        <f>VLOOKUP(B65,'Noncap Contr Alloc'!A:C,3,FALSE)</f>
        <v>46976</v>
      </c>
      <c r="AC65" s="9">
        <v>30187238</v>
      </c>
      <c r="AD65" s="9">
        <v>293078</v>
      </c>
      <c r="AE65" s="9">
        <v>261408</v>
      </c>
      <c r="AF65" s="9">
        <v>2416881</v>
      </c>
      <c r="AG65" s="6">
        <v>2897909</v>
      </c>
      <c r="AH65" s="6">
        <v>83531</v>
      </c>
      <c r="AI65" s="6">
        <v>0</v>
      </c>
      <c r="AJ65" s="6">
        <v>13738923</v>
      </c>
      <c r="AK65" s="6">
        <v>45012</v>
      </c>
      <c r="AM65" s="6">
        <f t="shared" si="16"/>
        <v>991707</v>
      </c>
      <c r="AN65" s="6">
        <f t="shared" si="17"/>
        <v>-45012</v>
      </c>
      <c r="AO65" s="9">
        <f t="shared" si="18"/>
        <v>100694</v>
      </c>
      <c r="AP65" s="6">
        <f t="shared" si="19"/>
        <v>-48495</v>
      </c>
      <c r="AQ65" s="9">
        <f t="shared" si="20"/>
        <v>1456861</v>
      </c>
      <c r="AR65" s="6">
        <f t="shared" si="21"/>
        <v>-4198824</v>
      </c>
      <c r="AS65" s="9">
        <f t="shared" si="22"/>
        <v>5571335</v>
      </c>
      <c r="AT65" s="9">
        <f t="shared" si="23"/>
        <v>24250</v>
      </c>
      <c r="AU65" s="6">
        <f t="shared" si="24"/>
        <v>0</v>
      </c>
      <c r="AV65" s="285">
        <f t="shared" si="12"/>
        <v>35758573</v>
      </c>
    </row>
    <row r="66" spans="1:48">
      <c r="A66" t="s">
        <v>104</v>
      </c>
      <c r="B66">
        <v>38205</v>
      </c>
      <c r="C66" s="6">
        <f>VLOOKUP(B66,'ER Contributions'!A:D,4,FALSE)</f>
        <v>537582</v>
      </c>
      <c r="D66" s="7">
        <f>VLOOKUP(B66,'ER Contributions'!A:D,3,FALSE)</f>
        <v>3.8749999999999999E-4</v>
      </c>
      <c r="E66" s="9">
        <f>VLOOKUP(B66,'75 - Summary Exhibit'!A:N,3,FALSE)</f>
        <v>10324636</v>
      </c>
      <c r="F66" s="9">
        <f>VLOOKUP(B66,'75 - Summary Exhibit'!A:N,4,FALSE)</f>
        <v>113694</v>
      </c>
      <c r="G66" s="9">
        <f>VLOOKUP(B66,'75 - Summary Exhibit'!A:N,5,FALSE)</f>
        <v>82478</v>
      </c>
      <c r="H66" s="9">
        <f>VLOOKUP(B66,'75 - Summary Exhibit'!A:N,6,FALSE)</f>
        <v>1118472</v>
      </c>
      <c r="I66" s="6">
        <f>VLOOKUP(B66,'75 - Summary Exhibit'!A:N,7,FALSE)</f>
        <v>619344</v>
      </c>
      <c r="J66" s="6">
        <f>VLOOKUP(B66,'75 - Summary Exhibit'!A:N,8,FALSE)</f>
        <v>10116</v>
      </c>
      <c r="K66" s="6">
        <f>VLOOKUP(B66,'75 - Summary Exhibit'!A:N,9,FALSE)</f>
        <v>0</v>
      </c>
      <c r="L66" s="6">
        <f>VLOOKUP(B66,'75 - Summary Exhibit'!A:N,10,FALSE)</f>
        <v>2754530</v>
      </c>
      <c r="M66" s="6">
        <f>VLOOKUP(B66,'75 - Summary Exhibit'!A:N,11,FALSE)</f>
        <v>311280</v>
      </c>
      <c r="N66" s="6">
        <f>VLOOKUP(B66,'75 - Summary Exhibit'!A:N,12,FALSE)</f>
        <v>-189362</v>
      </c>
      <c r="O66" s="6">
        <f>VLOOKUP(B66,'75 - Summary Exhibit'!A:N,13,FALSE)</f>
        <v>120626</v>
      </c>
      <c r="P66" s="6">
        <f t="shared" si="13"/>
        <v>-68736</v>
      </c>
      <c r="Q66" s="6">
        <f>VLOOKUP(B66,'75- Deferred Amortization'!A:G,3,FALSE)</f>
        <v>-502071</v>
      </c>
      <c r="R66" s="6">
        <f>VLOOKUP(B66,'75- Deferred Amortization'!A:G,4,FALSE)</f>
        <v>-593947</v>
      </c>
      <c r="S66" s="6">
        <f>VLOOKUP(B66,'75- Deferred Amortization'!A:G,5,FALSE)</f>
        <v>-328501</v>
      </c>
      <c r="T66" s="6">
        <f>VLOOKUP(B66,'75- Deferred Amortization'!A:G,6,FALSE)</f>
        <v>282583</v>
      </c>
      <c r="U66" s="6">
        <f>VLOOKUP(B66,'75- Deferred Amortization'!A:G,7,FALSE)</f>
        <v>0</v>
      </c>
      <c r="V66" s="6">
        <f t="shared" si="14"/>
        <v>-2</v>
      </c>
      <c r="W66" s="6">
        <f t="shared" si="15"/>
        <v>-2</v>
      </c>
      <c r="X66">
        <v>2</v>
      </c>
      <c r="Z66" s="208">
        <f>VLOOKUP(B66,'Noncap Contr Alloc'!A:C,3,FALSE)</f>
        <v>13563</v>
      </c>
      <c r="AC66" s="9">
        <v>8807270</v>
      </c>
      <c r="AD66" s="9">
        <v>85507</v>
      </c>
      <c r="AE66" s="9">
        <v>76267</v>
      </c>
      <c r="AF66" s="9">
        <v>705136</v>
      </c>
      <c r="AG66" s="6">
        <v>314986</v>
      </c>
      <c r="AH66" s="6">
        <v>24371</v>
      </c>
      <c r="AI66" s="6">
        <v>0</v>
      </c>
      <c r="AJ66" s="6">
        <v>4008396</v>
      </c>
      <c r="AK66" s="6">
        <v>428312</v>
      </c>
      <c r="AM66" s="6">
        <f t="shared" si="16"/>
        <v>304358</v>
      </c>
      <c r="AN66" s="6">
        <f t="shared" si="17"/>
        <v>-117032</v>
      </c>
      <c r="AO66" s="9">
        <f t="shared" si="18"/>
        <v>28187</v>
      </c>
      <c r="AP66" s="6">
        <f t="shared" si="19"/>
        <v>-14255</v>
      </c>
      <c r="AQ66" s="9">
        <f t="shared" si="20"/>
        <v>413336</v>
      </c>
      <c r="AR66" s="6">
        <f t="shared" si="21"/>
        <v>-1253866</v>
      </c>
      <c r="AS66" s="9">
        <f t="shared" si="22"/>
        <v>1517366</v>
      </c>
      <c r="AT66" s="9">
        <f t="shared" si="23"/>
        <v>6211</v>
      </c>
      <c r="AU66" s="6">
        <f t="shared" si="24"/>
        <v>0</v>
      </c>
      <c r="AV66" s="285">
        <f t="shared" si="12"/>
        <v>10324636</v>
      </c>
    </row>
    <row r="67" spans="1:48">
      <c r="A67" t="s">
        <v>90</v>
      </c>
      <c r="B67">
        <v>36305</v>
      </c>
      <c r="C67" s="6">
        <f>VLOOKUP(B67,'ER Contributions'!A:D,4,FALSE)</f>
        <v>1283704</v>
      </c>
      <c r="D67" s="7">
        <f>VLOOKUP(B67,'ER Contributions'!A:D,3,FALSE)</f>
        <v>8.6379999999999996E-4</v>
      </c>
      <c r="E67" s="9">
        <f>VLOOKUP(B67,'75 - Summary Exhibit'!A:N,3,FALSE)</f>
        <v>23017018</v>
      </c>
      <c r="F67" s="9">
        <f>VLOOKUP(B67,'75 - Summary Exhibit'!A:N,4,FALSE)</f>
        <v>253462</v>
      </c>
      <c r="G67" s="9">
        <f>VLOOKUP(B67,'75 - Summary Exhibit'!A:N,5,FALSE)</f>
        <v>183872</v>
      </c>
      <c r="H67" s="9">
        <f>VLOOKUP(B67,'75 - Summary Exhibit'!A:N,6,FALSE)</f>
        <v>2493444</v>
      </c>
      <c r="I67" s="6">
        <f>VLOOKUP(B67,'75 - Summary Exhibit'!A:N,7,FALSE)</f>
        <v>2037016</v>
      </c>
      <c r="J67" s="6">
        <f>VLOOKUP(B67,'75 - Summary Exhibit'!A:N,8,FALSE)</f>
        <v>22552</v>
      </c>
      <c r="K67" s="6">
        <f>VLOOKUP(B67,'75 - Summary Exhibit'!A:N,9,FALSE)</f>
        <v>0</v>
      </c>
      <c r="L67" s="6">
        <f>VLOOKUP(B67,'75 - Summary Exhibit'!A:N,10,FALSE)</f>
        <v>6140755</v>
      </c>
      <c r="M67" s="6">
        <f>VLOOKUP(B67,'75 - Summary Exhibit'!A:N,11,FALSE)</f>
        <v>110343</v>
      </c>
      <c r="N67" s="6">
        <f>VLOOKUP(B67,'75 - Summary Exhibit'!A:N,12,FALSE)</f>
        <v>-422151</v>
      </c>
      <c r="O67" s="6">
        <f>VLOOKUP(B67,'75 - Summary Exhibit'!A:N,13,FALSE)</f>
        <v>467432</v>
      </c>
      <c r="P67" s="6">
        <f t="shared" ref="P67:P80" si="25">N67+O67</f>
        <v>45281</v>
      </c>
      <c r="Q67" s="6">
        <f>VLOOKUP(B67,'75- Deferred Amortization'!A:G,3,FALSE)</f>
        <v>-789588</v>
      </c>
      <c r="R67" s="6">
        <f>VLOOKUP(B67,'75- Deferred Amortization'!A:G,4,FALSE)</f>
        <v>-1014230</v>
      </c>
      <c r="S67" s="6">
        <f>VLOOKUP(B67,'75- Deferred Amortization'!A:G,5,FALSE)</f>
        <v>-172542</v>
      </c>
      <c r="T67" s="6">
        <f>VLOOKUP(B67,'75- Deferred Amortization'!A:G,6,FALSE)</f>
        <v>670504</v>
      </c>
      <c r="U67" s="6">
        <f>VLOOKUP(B67,'75- Deferred Amortization'!A:G,7,FALSE)</f>
        <v>0</v>
      </c>
      <c r="V67" s="6">
        <f t="shared" si="14"/>
        <v>-1</v>
      </c>
      <c r="W67" s="6">
        <f t="shared" si="15"/>
        <v>0</v>
      </c>
      <c r="X67">
        <v>2</v>
      </c>
      <c r="Z67" s="208">
        <f>VLOOKUP(B67,'Noncap Contr Alloc'!A:C,3,FALSE)</f>
        <v>30237</v>
      </c>
      <c r="AC67" s="9">
        <v>19547948</v>
      </c>
      <c r="AD67" s="9">
        <v>189785</v>
      </c>
      <c r="AE67" s="9">
        <v>169277</v>
      </c>
      <c r="AF67" s="9">
        <v>1565067</v>
      </c>
      <c r="AG67" s="6">
        <v>1210960</v>
      </c>
      <c r="AH67" s="6">
        <v>54091</v>
      </c>
      <c r="AI67" s="6">
        <v>0</v>
      </c>
      <c r="AJ67" s="6">
        <v>8896731</v>
      </c>
      <c r="AK67" s="6">
        <v>227852</v>
      </c>
      <c r="AM67" s="6">
        <f t="shared" si="16"/>
        <v>826056</v>
      </c>
      <c r="AN67" s="6">
        <f t="shared" si="17"/>
        <v>-117509</v>
      </c>
      <c r="AO67" s="9">
        <f t="shared" si="18"/>
        <v>63677</v>
      </c>
      <c r="AP67" s="6">
        <f t="shared" si="19"/>
        <v>-31539</v>
      </c>
      <c r="AQ67" s="9">
        <f t="shared" si="20"/>
        <v>928377</v>
      </c>
      <c r="AR67" s="6">
        <f t="shared" si="21"/>
        <v>-2755976</v>
      </c>
      <c r="AS67" s="9">
        <f t="shared" si="22"/>
        <v>3469070</v>
      </c>
      <c r="AT67" s="9">
        <f t="shared" si="23"/>
        <v>14595</v>
      </c>
      <c r="AU67" s="6">
        <f t="shared" si="24"/>
        <v>0</v>
      </c>
      <c r="AV67" s="285">
        <f t="shared" si="12"/>
        <v>23017018</v>
      </c>
    </row>
    <row r="68" spans="1:48">
      <c r="A68" t="s">
        <v>55</v>
      </c>
      <c r="B68">
        <v>30405</v>
      </c>
      <c r="C68" s="6">
        <f>VLOOKUP(B68,'ER Contributions'!A:D,4,FALSE)</f>
        <v>879922</v>
      </c>
      <c r="D68" s="7">
        <f>VLOOKUP(B68,'ER Contributions'!A:D,3,FALSE)</f>
        <v>6.0820000000000004E-4</v>
      </c>
      <c r="E68" s="9">
        <f>VLOOKUP(B68,'75 - Summary Exhibit'!A:N,3,FALSE)</f>
        <v>16206445</v>
      </c>
      <c r="F68" s="9">
        <f>VLOOKUP(B68,'75 - Summary Exhibit'!A:N,4,FALSE)</f>
        <v>178465</v>
      </c>
      <c r="G68" s="9">
        <f>VLOOKUP(B68,'75 - Summary Exhibit'!A:N,5,FALSE)</f>
        <v>129465</v>
      </c>
      <c r="H68" s="9">
        <f>VLOOKUP(B68,'75 - Summary Exhibit'!A:N,6,FALSE)</f>
        <v>1755651</v>
      </c>
      <c r="I68" s="6">
        <f>VLOOKUP(B68,'75 - Summary Exhibit'!A:N,7,FALSE)</f>
        <v>529128</v>
      </c>
      <c r="J68" s="6">
        <f>VLOOKUP(B68,'75 - Summary Exhibit'!A:N,8,FALSE)</f>
        <v>15879</v>
      </c>
      <c r="K68" s="6">
        <f>VLOOKUP(B68,'75 - Summary Exhibit'!A:N,9,FALSE)</f>
        <v>0</v>
      </c>
      <c r="L68" s="6">
        <f>VLOOKUP(B68,'75 - Summary Exhibit'!A:N,10,FALSE)</f>
        <v>4323749</v>
      </c>
      <c r="M68" s="6">
        <f>VLOOKUP(B68,'75 - Summary Exhibit'!A:N,11,FALSE)</f>
        <v>908688</v>
      </c>
      <c r="N68" s="6">
        <f>VLOOKUP(B68,'75 - Summary Exhibit'!A:N,12,FALSE)</f>
        <v>-297237</v>
      </c>
      <c r="O68" s="6">
        <f>VLOOKUP(B68,'75 - Summary Exhibit'!A:N,13,FALSE)</f>
        <v>-599803</v>
      </c>
      <c r="P68" s="6">
        <f t="shared" si="25"/>
        <v>-897040</v>
      </c>
      <c r="Q68" s="6">
        <f>VLOOKUP(B68,'75- Deferred Amortization'!A:G,3,FALSE)</f>
        <v>-1416939</v>
      </c>
      <c r="R68" s="6">
        <f>VLOOKUP(B68,'75- Deferred Amortization'!A:G,4,FALSE)</f>
        <v>-1055316</v>
      </c>
      <c r="S68" s="6">
        <f>VLOOKUP(B68,'75- Deferred Amortization'!A:G,5,FALSE)</f>
        <v>-406866</v>
      </c>
      <c r="T68" s="6">
        <f>VLOOKUP(B68,'75- Deferred Amortization'!A:G,6,FALSE)</f>
        <v>223514</v>
      </c>
      <c r="U68" s="6">
        <f>VLOOKUP(B68,'75- Deferred Amortization'!A:G,7,FALSE)</f>
        <v>0</v>
      </c>
      <c r="V68" s="6">
        <f t="shared" ref="V68:V88" si="26">ROUND(((F68-AD68)+(G68-AE68)+(H68-AF68)+(I68-AG68)+(AI68-K68)+P68-(E68-AC68)-(J68-AH68)-(L68-AJ68)-(M68-AK68)-C68),0)-Z68</f>
        <v>1</v>
      </c>
      <c r="W68" s="6">
        <f t="shared" ref="W68:W88" si="27">ROUND((F68+G68+H68+I68-J68-K68-L68-M68-Q68-R68-S68-T68-U68),0)</f>
        <v>0</v>
      </c>
      <c r="X68">
        <v>2</v>
      </c>
      <c r="Z68" s="208">
        <f>VLOOKUP(B68,'Noncap Contr Alloc'!A:C,3,FALSE)</f>
        <v>21290</v>
      </c>
      <c r="AC68" s="9">
        <v>14660542</v>
      </c>
      <c r="AD68" s="9">
        <v>142334</v>
      </c>
      <c r="AE68" s="9">
        <v>126954</v>
      </c>
      <c r="AF68" s="9">
        <v>1173767</v>
      </c>
      <c r="AG68" s="6">
        <v>705504</v>
      </c>
      <c r="AH68" s="6">
        <v>40567</v>
      </c>
      <c r="AI68" s="6">
        <v>0</v>
      </c>
      <c r="AJ68" s="6">
        <v>6672358</v>
      </c>
      <c r="AK68" s="6">
        <v>1435397</v>
      </c>
      <c r="AM68" s="6">
        <f t="shared" ref="AM68:AM85" si="28">I68-AG68</f>
        <v>-176376</v>
      </c>
      <c r="AN68" s="6">
        <f t="shared" ref="AN68:AN85" si="29">M68-AK68</f>
        <v>-526709</v>
      </c>
      <c r="AO68" s="9">
        <f t="shared" ref="AO68:AO88" si="30">F68-AD68</f>
        <v>36131</v>
      </c>
      <c r="AP68" s="6">
        <f t="shared" ref="AP68:AP88" si="31">J68-AH68</f>
        <v>-24688</v>
      </c>
      <c r="AQ68" s="9">
        <f t="shared" ref="AQ68:AQ88" si="32">H68-AF68</f>
        <v>581884</v>
      </c>
      <c r="AR68" s="6">
        <f t="shared" ref="AR68:AR88" si="33">L68-AJ68</f>
        <v>-2348609</v>
      </c>
      <c r="AS68" s="9">
        <f t="shared" ref="AS68:AS88" si="34">E68-AC68</f>
        <v>1545903</v>
      </c>
      <c r="AT68" s="9">
        <f t="shared" ref="AT68:AT88" si="35">G68-AE68</f>
        <v>2511</v>
      </c>
      <c r="AU68" s="6">
        <f t="shared" ref="AU68:AU88" si="36">K68-AI68</f>
        <v>0</v>
      </c>
      <c r="AV68" s="285">
        <f t="shared" si="12"/>
        <v>16206445</v>
      </c>
    </row>
    <row r="69" spans="1:48">
      <c r="A69" t="s">
        <v>66</v>
      </c>
      <c r="B69">
        <v>32405</v>
      </c>
      <c r="C69" s="6">
        <f>VLOOKUP(B69,'ER Contributions'!A:D,4,FALSE)</f>
        <v>630989</v>
      </c>
      <c r="D69" s="7">
        <f>VLOOKUP(B69,'ER Contributions'!A:D,3,FALSE)</f>
        <v>4.1619999999999998E-4</v>
      </c>
      <c r="E69" s="9">
        <f>VLOOKUP(B69,'75 - Summary Exhibit'!A:N,3,FALSE)</f>
        <v>11089910</v>
      </c>
      <c r="F69" s="9">
        <f>VLOOKUP(B69,'75 - Summary Exhibit'!A:N,4,FALSE)</f>
        <v>122122</v>
      </c>
      <c r="G69" s="9">
        <f>VLOOKUP(B69,'75 - Summary Exhibit'!A:N,5,FALSE)</f>
        <v>88592</v>
      </c>
      <c r="H69" s="9">
        <f>VLOOKUP(B69,'75 - Summary Exhibit'!A:N,6,FALSE)</f>
        <v>1201375</v>
      </c>
      <c r="I69" s="6">
        <f>VLOOKUP(B69,'75 - Summary Exhibit'!A:N,7,FALSE)</f>
        <v>253408</v>
      </c>
      <c r="J69" s="6">
        <f>VLOOKUP(B69,'75 - Summary Exhibit'!A:N,8,FALSE)</f>
        <v>10866</v>
      </c>
      <c r="K69" s="6">
        <f>VLOOKUP(B69,'75 - Summary Exhibit'!A:N,9,FALSE)</f>
        <v>0</v>
      </c>
      <c r="L69" s="6">
        <f>VLOOKUP(B69,'75 - Summary Exhibit'!A:N,10,FALSE)</f>
        <v>2958698</v>
      </c>
      <c r="M69" s="6">
        <f>VLOOKUP(B69,'75 - Summary Exhibit'!A:N,11,FALSE)</f>
        <v>1248842</v>
      </c>
      <c r="N69" s="6">
        <f>VLOOKUP(B69,'75 - Summary Exhibit'!A:N,12,FALSE)</f>
        <v>-203396</v>
      </c>
      <c r="O69" s="6">
        <f>VLOOKUP(B69,'75 - Summary Exhibit'!A:N,13,FALSE)</f>
        <v>-410135</v>
      </c>
      <c r="P69" s="6">
        <f t="shared" si="25"/>
        <v>-613531</v>
      </c>
      <c r="Q69" s="6">
        <f>VLOOKUP(B69,'75- Deferred Amortization'!A:G,3,FALSE)</f>
        <v>-1077518</v>
      </c>
      <c r="R69" s="6">
        <f>VLOOKUP(B69,'75- Deferred Amortization'!A:G,4,FALSE)</f>
        <v>-1165382</v>
      </c>
      <c r="S69" s="6">
        <f>VLOOKUP(B69,'75- Deferred Amortization'!A:G,5,FALSE)</f>
        <v>-560453</v>
      </c>
      <c r="T69" s="6">
        <f>VLOOKUP(B69,'75- Deferred Amortization'!A:G,6,FALSE)</f>
        <v>250443</v>
      </c>
      <c r="U69" s="6">
        <f>VLOOKUP(B69,'75- Deferred Amortization'!A:G,7,FALSE)</f>
        <v>0</v>
      </c>
      <c r="V69" s="6">
        <f t="shared" si="26"/>
        <v>1</v>
      </c>
      <c r="W69" s="6">
        <f t="shared" si="27"/>
        <v>1</v>
      </c>
      <c r="X69">
        <v>2</v>
      </c>
      <c r="Z69" s="208">
        <f>VLOOKUP(B69,'Noncap Contr Alloc'!A:C,3,FALSE)</f>
        <v>14569</v>
      </c>
      <c r="AC69" s="9">
        <v>9694723</v>
      </c>
      <c r="AD69" s="9">
        <v>94123</v>
      </c>
      <c r="AE69" s="9">
        <v>83952</v>
      </c>
      <c r="AF69" s="9">
        <v>776189</v>
      </c>
      <c r="AG69" s="6">
        <v>37619</v>
      </c>
      <c r="AH69" s="6">
        <v>26826</v>
      </c>
      <c r="AI69" s="6">
        <v>0</v>
      </c>
      <c r="AJ69" s="6">
        <v>4412297</v>
      </c>
      <c r="AK69" s="6">
        <v>1759946</v>
      </c>
      <c r="AM69" s="6">
        <f t="shared" si="28"/>
        <v>215789</v>
      </c>
      <c r="AN69" s="6">
        <f t="shared" si="29"/>
        <v>-511104</v>
      </c>
      <c r="AO69" s="9">
        <f t="shared" si="30"/>
        <v>27999</v>
      </c>
      <c r="AP69" s="6">
        <f t="shared" si="31"/>
        <v>-15960</v>
      </c>
      <c r="AQ69" s="9">
        <f t="shared" si="32"/>
        <v>425186</v>
      </c>
      <c r="AR69" s="6">
        <f t="shared" si="33"/>
        <v>-1453599</v>
      </c>
      <c r="AS69" s="9">
        <f t="shared" si="34"/>
        <v>1395187</v>
      </c>
      <c r="AT69" s="9">
        <f t="shared" si="35"/>
        <v>4640</v>
      </c>
      <c r="AU69" s="6">
        <f t="shared" si="36"/>
        <v>0</v>
      </c>
      <c r="AV69" s="285">
        <f t="shared" ref="AV69:AV88" si="37">AC69+AS69</f>
        <v>11089910</v>
      </c>
    </row>
    <row r="70" spans="1:48">
      <c r="A70" t="s">
        <v>81</v>
      </c>
      <c r="B70">
        <v>35005</v>
      </c>
      <c r="C70" s="6">
        <f>VLOOKUP(B70,'ER Contributions'!A:D,4,FALSE)</f>
        <v>757679</v>
      </c>
      <c r="D70" s="7">
        <f>VLOOKUP(B70,'ER Contributions'!A:D,3,FALSE)</f>
        <v>5.0770000000000003E-4</v>
      </c>
      <c r="E70" s="9">
        <f>VLOOKUP(B70,'75 - Summary Exhibit'!A:N,3,FALSE)</f>
        <v>13528952</v>
      </c>
      <c r="F70" s="9">
        <f>VLOOKUP(B70,'75 - Summary Exhibit'!A:N,4,FALSE)</f>
        <v>148980</v>
      </c>
      <c r="G70" s="9">
        <f>VLOOKUP(B70,'75 - Summary Exhibit'!A:N,5,FALSE)</f>
        <v>108076</v>
      </c>
      <c r="H70" s="9">
        <f>VLOOKUP(B70,'75 - Summary Exhibit'!A:N,6,FALSE)</f>
        <v>1465597</v>
      </c>
      <c r="I70" s="6">
        <f>VLOOKUP(B70,'75 - Summary Exhibit'!A:N,7,FALSE)</f>
        <v>49770</v>
      </c>
      <c r="J70" s="6">
        <f>VLOOKUP(B70,'75 - Summary Exhibit'!A:N,8,FALSE)</f>
        <v>13256</v>
      </c>
      <c r="K70" s="6">
        <f>VLOOKUP(B70,'75 - Summary Exhibit'!A:N,9,FALSE)</f>
        <v>0</v>
      </c>
      <c r="L70" s="6">
        <f>VLOOKUP(B70,'75 - Summary Exhibit'!A:N,10,FALSE)</f>
        <v>3609415</v>
      </c>
      <c r="M70" s="6">
        <f>VLOOKUP(B70,'75 - Summary Exhibit'!A:N,11,FALSE)</f>
        <v>1329116</v>
      </c>
      <c r="N70" s="6">
        <f>VLOOKUP(B70,'75 - Summary Exhibit'!A:N,12,FALSE)</f>
        <v>-248132</v>
      </c>
      <c r="O70" s="6">
        <f>VLOOKUP(B70,'75 - Summary Exhibit'!A:N,13,FALSE)</f>
        <v>-484126</v>
      </c>
      <c r="P70" s="6">
        <f t="shared" si="25"/>
        <v>-732258</v>
      </c>
      <c r="Q70" s="6">
        <f>VLOOKUP(B70,'75- Deferred Amortization'!A:G,3,FALSE)</f>
        <v>-1367024</v>
      </c>
      <c r="R70" s="6">
        <f>VLOOKUP(B70,'75- Deferred Amortization'!A:G,4,FALSE)</f>
        <v>-1398472</v>
      </c>
      <c r="S70" s="6">
        <f>VLOOKUP(B70,'75- Deferred Amortization'!A:G,5,FALSE)</f>
        <v>-578566</v>
      </c>
      <c r="T70" s="6">
        <f>VLOOKUP(B70,'75- Deferred Amortization'!A:G,6,FALSE)</f>
        <v>164699</v>
      </c>
      <c r="U70" s="6">
        <f>VLOOKUP(B70,'75- Deferred Amortization'!A:G,7,FALSE)</f>
        <v>0</v>
      </c>
      <c r="V70" s="6">
        <f t="shared" si="26"/>
        <v>-2</v>
      </c>
      <c r="W70" s="6">
        <f t="shared" si="27"/>
        <v>-1</v>
      </c>
      <c r="X70">
        <v>2</v>
      </c>
      <c r="Z70" s="208">
        <f>VLOOKUP(B70,'Noncap Contr Alloc'!A:C,3,FALSE)</f>
        <v>17773</v>
      </c>
      <c r="AC70" s="9">
        <v>12335969</v>
      </c>
      <c r="AD70" s="9">
        <v>119766</v>
      </c>
      <c r="AE70" s="9">
        <v>106824</v>
      </c>
      <c r="AF70" s="9">
        <v>987655</v>
      </c>
      <c r="AG70" s="6">
        <v>180987</v>
      </c>
      <c r="AH70" s="6">
        <v>34135</v>
      </c>
      <c r="AI70" s="6">
        <v>0</v>
      </c>
      <c r="AJ70" s="6">
        <v>5614390</v>
      </c>
      <c r="AK70" s="6">
        <v>1626762</v>
      </c>
      <c r="AM70" s="6">
        <f t="shared" si="28"/>
        <v>-131217</v>
      </c>
      <c r="AN70" s="6">
        <f t="shared" si="29"/>
        <v>-297646</v>
      </c>
      <c r="AO70" s="9">
        <f t="shared" si="30"/>
        <v>29214</v>
      </c>
      <c r="AP70" s="6">
        <f t="shared" si="31"/>
        <v>-20879</v>
      </c>
      <c r="AQ70" s="9">
        <f t="shared" si="32"/>
        <v>477942</v>
      </c>
      <c r="AR70" s="6">
        <f t="shared" si="33"/>
        <v>-2004975</v>
      </c>
      <c r="AS70" s="9">
        <f t="shared" si="34"/>
        <v>1192983</v>
      </c>
      <c r="AT70" s="9">
        <f t="shared" si="35"/>
        <v>1252</v>
      </c>
      <c r="AU70" s="6">
        <f t="shared" si="36"/>
        <v>0</v>
      </c>
      <c r="AV70" s="285">
        <f t="shared" si="37"/>
        <v>13528952</v>
      </c>
    </row>
    <row r="71" spans="1:48">
      <c r="A71" t="s">
        <v>105</v>
      </c>
      <c r="B71">
        <v>38405</v>
      </c>
      <c r="C71" s="6">
        <f>VLOOKUP(B71,'ER Contributions'!A:D,4,FALSE)</f>
        <v>838299</v>
      </c>
      <c r="D71" s="7">
        <f>VLOOKUP(B71,'ER Contributions'!A:D,3,FALSE)</f>
        <v>6.2339999999999997E-4</v>
      </c>
      <c r="E71" s="9">
        <f>VLOOKUP(B71,'75 - Summary Exhibit'!A:N,3,FALSE)</f>
        <v>16613508</v>
      </c>
      <c r="F71" s="9">
        <f>VLOOKUP(B71,'75 - Summary Exhibit'!A:N,4,FALSE)</f>
        <v>182947</v>
      </c>
      <c r="G71" s="9">
        <f>VLOOKUP(B71,'75 - Summary Exhibit'!A:N,5,FALSE)</f>
        <v>132717</v>
      </c>
      <c r="H71" s="9">
        <f>VLOOKUP(B71,'75 - Summary Exhibit'!A:N,6,FALSE)</f>
        <v>1799749</v>
      </c>
      <c r="I71" s="6">
        <f>VLOOKUP(B71,'75 - Summary Exhibit'!A:N,7,FALSE)</f>
        <v>528913</v>
      </c>
      <c r="J71" s="6">
        <f>VLOOKUP(B71,'75 - Summary Exhibit'!A:N,8,FALSE)</f>
        <v>16278</v>
      </c>
      <c r="K71" s="6">
        <f>VLOOKUP(B71,'75 - Summary Exhibit'!A:N,9,FALSE)</f>
        <v>0</v>
      </c>
      <c r="L71" s="6">
        <f>VLOOKUP(B71,'75 - Summary Exhibit'!A:N,10,FALSE)</f>
        <v>4432350</v>
      </c>
      <c r="M71" s="6">
        <f>VLOOKUP(B71,'75 - Summary Exhibit'!A:N,11,FALSE)</f>
        <v>1136644</v>
      </c>
      <c r="N71" s="6">
        <f>VLOOKUP(B71,'75 - Summary Exhibit'!A:N,12,FALSE)</f>
        <v>-304705</v>
      </c>
      <c r="O71" s="6">
        <f>VLOOKUP(B71,'75 - Summary Exhibit'!A:N,13,FALSE)</f>
        <v>-235766</v>
      </c>
      <c r="P71" s="6">
        <f t="shared" si="25"/>
        <v>-540471</v>
      </c>
      <c r="Q71" s="6">
        <f>VLOOKUP(B71,'75- Deferred Amortization'!A:G,3,FALSE)</f>
        <v>-1532863</v>
      </c>
      <c r="R71" s="6">
        <f>VLOOKUP(B71,'75- Deferred Amortization'!A:G,4,FALSE)</f>
        <v>-1234164</v>
      </c>
      <c r="S71" s="6">
        <f>VLOOKUP(B71,'75- Deferred Amortization'!A:G,5,FALSE)</f>
        <v>-573139</v>
      </c>
      <c r="T71" s="6">
        <f>VLOOKUP(B71,'75- Deferred Amortization'!A:G,6,FALSE)</f>
        <v>399221</v>
      </c>
      <c r="U71" s="6">
        <f>VLOOKUP(B71,'75- Deferred Amortization'!A:G,7,FALSE)</f>
        <v>0</v>
      </c>
      <c r="V71" s="6">
        <f t="shared" si="26"/>
        <v>0</v>
      </c>
      <c r="W71" s="6">
        <f t="shared" si="27"/>
        <v>-1</v>
      </c>
      <c r="X71">
        <v>2</v>
      </c>
      <c r="Z71" s="208">
        <f>VLOOKUP(B71,'Noncap Contr Alloc'!A:C,3,FALSE)</f>
        <v>21825</v>
      </c>
      <c r="AC71" s="9">
        <v>14356316</v>
      </c>
      <c r="AD71" s="9">
        <v>139381</v>
      </c>
      <c r="AE71" s="9">
        <v>124319</v>
      </c>
      <c r="AF71" s="9">
        <v>1149410</v>
      </c>
      <c r="AG71" s="6">
        <v>424505</v>
      </c>
      <c r="AH71" s="6">
        <v>39725</v>
      </c>
      <c r="AI71" s="6">
        <v>0</v>
      </c>
      <c r="AJ71" s="6">
        <v>6533897</v>
      </c>
      <c r="AK71" s="6">
        <v>1862726</v>
      </c>
      <c r="AM71" s="6">
        <f t="shared" si="28"/>
        <v>104408</v>
      </c>
      <c r="AN71" s="6">
        <f t="shared" si="29"/>
        <v>-726082</v>
      </c>
      <c r="AO71" s="9">
        <f t="shared" si="30"/>
        <v>43566</v>
      </c>
      <c r="AP71" s="6">
        <f t="shared" si="31"/>
        <v>-23447</v>
      </c>
      <c r="AQ71" s="9">
        <f t="shared" si="32"/>
        <v>650339</v>
      </c>
      <c r="AR71" s="6">
        <f t="shared" si="33"/>
        <v>-2101547</v>
      </c>
      <c r="AS71" s="9">
        <f t="shared" si="34"/>
        <v>2257192</v>
      </c>
      <c r="AT71" s="9">
        <f t="shared" si="35"/>
        <v>8398</v>
      </c>
      <c r="AU71" s="6">
        <f t="shared" si="36"/>
        <v>0</v>
      </c>
      <c r="AV71" s="285">
        <f t="shared" si="37"/>
        <v>16613508</v>
      </c>
    </row>
    <row r="72" spans="1:48">
      <c r="A72" t="s">
        <v>106</v>
      </c>
      <c r="B72">
        <v>38605</v>
      </c>
      <c r="C72" s="6">
        <f>VLOOKUP(B72,'ER Contributions'!A:D,4,FALSE)</f>
        <v>861490</v>
      </c>
      <c r="D72" s="7">
        <f>VLOOKUP(B72,'ER Contributions'!A:D,3,FALSE)</f>
        <v>5.7479999999999999E-4</v>
      </c>
      <c r="E72" s="9">
        <f>VLOOKUP(B72,'75 - Summary Exhibit'!A:N,3,FALSE)</f>
        <v>15317921</v>
      </c>
      <c r="F72" s="9">
        <f>VLOOKUP(B72,'75 - Summary Exhibit'!A:N,4,FALSE)</f>
        <v>168680</v>
      </c>
      <c r="G72" s="9">
        <f>VLOOKUP(B72,'75 - Summary Exhibit'!A:N,5,FALSE)</f>
        <v>122367</v>
      </c>
      <c r="H72" s="9">
        <f>VLOOKUP(B72,'75 - Summary Exhibit'!A:N,6,FALSE)</f>
        <v>1659397</v>
      </c>
      <c r="I72" s="6">
        <f>VLOOKUP(B72,'75 - Summary Exhibit'!A:N,7,FALSE)</f>
        <v>725487</v>
      </c>
      <c r="J72" s="6">
        <f>VLOOKUP(B72,'75 - Summary Exhibit'!A:N,8,FALSE)</f>
        <v>15008</v>
      </c>
      <c r="K72" s="6">
        <f>VLOOKUP(B72,'75 - Summary Exhibit'!A:N,9,FALSE)</f>
        <v>0</v>
      </c>
      <c r="L72" s="6">
        <f>VLOOKUP(B72,'75 - Summary Exhibit'!A:N,10,FALSE)</f>
        <v>4086698</v>
      </c>
      <c r="M72" s="6">
        <f>VLOOKUP(B72,'75 - Summary Exhibit'!A:N,11,FALSE)</f>
        <v>2508936</v>
      </c>
      <c r="N72" s="6">
        <f>VLOOKUP(B72,'75 - Summary Exhibit'!A:N,12,FALSE)</f>
        <v>-280943</v>
      </c>
      <c r="O72" s="6">
        <f>VLOOKUP(B72,'75 - Summary Exhibit'!A:N,13,FALSE)</f>
        <v>-863570</v>
      </c>
      <c r="P72" s="6">
        <f t="shared" si="25"/>
        <v>-1144513</v>
      </c>
      <c r="Q72" s="6">
        <f>VLOOKUP(B72,'75- Deferred Amortization'!A:G,3,FALSE)</f>
        <v>-1646253</v>
      </c>
      <c r="R72" s="6">
        <f>VLOOKUP(B72,'75- Deferred Amortization'!A:G,4,FALSE)</f>
        <v>-1532151</v>
      </c>
      <c r="S72" s="6">
        <f>VLOOKUP(B72,'75- Deferred Amortization'!A:G,5,FALSE)</f>
        <v>-656973</v>
      </c>
      <c r="T72" s="6">
        <f>VLOOKUP(B72,'75- Deferred Amortization'!A:G,6,FALSE)</f>
        <v>-99333</v>
      </c>
      <c r="U72" s="6">
        <f>VLOOKUP(B72,'75- Deferred Amortization'!A:G,7,FALSE)</f>
        <v>0</v>
      </c>
      <c r="V72" s="6">
        <f t="shared" si="26"/>
        <v>-1</v>
      </c>
      <c r="W72" s="6">
        <f t="shared" si="27"/>
        <v>-1</v>
      </c>
      <c r="X72">
        <v>2</v>
      </c>
      <c r="Z72" s="208">
        <f>VLOOKUP(B72,'Noncap Contr Alloc'!A:C,3,FALSE)</f>
        <v>20123</v>
      </c>
      <c r="AC72" s="9">
        <v>15021043</v>
      </c>
      <c r="AD72" s="9">
        <v>145834</v>
      </c>
      <c r="AE72" s="9">
        <v>130076</v>
      </c>
      <c r="AF72" s="9">
        <v>1202630</v>
      </c>
      <c r="AG72" s="6">
        <v>967316</v>
      </c>
      <c r="AH72" s="6">
        <v>41565</v>
      </c>
      <c r="AI72" s="6">
        <v>0</v>
      </c>
      <c r="AJ72" s="6">
        <v>6836430</v>
      </c>
      <c r="AK72" s="6">
        <v>1825575</v>
      </c>
      <c r="AM72" s="6">
        <f t="shared" si="28"/>
        <v>-241829</v>
      </c>
      <c r="AN72" s="6">
        <f t="shared" si="29"/>
        <v>683361</v>
      </c>
      <c r="AO72" s="9">
        <f t="shared" si="30"/>
        <v>22846</v>
      </c>
      <c r="AP72" s="6">
        <f t="shared" si="31"/>
        <v>-26557</v>
      </c>
      <c r="AQ72" s="9">
        <f t="shared" si="32"/>
        <v>456767</v>
      </c>
      <c r="AR72" s="6">
        <f t="shared" si="33"/>
        <v>-2749732</v>
      </c>
      <c r="AS72" s="9">
        <f t="shared" si="34"/>
        <v>296878</v>
      </c>
      <c r="AT72" s="9">
        <f t="shared" si="35"/>
        <v>-7709</v>
      </c>
      <c r="AU72" s="6">
        <f t="shared" si="36"/>
        <v>0</v>
      </c>
      <c r="AV72" s="285">
        <f t="shared" si="37"/>
        <v>15317921</v>
      </c>
    </row>
    <row r="73" spans="1:48">
      <c r="A73" t="s">
        <v>64</v>
      </c>
      <c r="B73">
        <v>32005</v>
      </c>
      <c r="C73" s="6">
        <f>VLOOKUP(B73,'ER Contributions'!A:D,4,FALSE)</f>
        <v>417274</v>
      </c>
      <c r="D73" s="7">
        <f>VLOOKUP(B73,'ER Contributions'!A:D,3,FALSE)</f>
        <v>3.1290000000000002E-4</v>
      </c>
      <c r="E73" s="9">
        <f>VLOOKUP(B73,'75 - Summary Exhibit'!A:N,3,FALSE)</f>
        <v>8338430</v>
      </c>
      <c r="F73" s="9">
        <f>VLOOKUP(B73,'75 - Summary Exhibit'!A:N,4,FALSE)</f>
        <v>91822</v>
      </c>
      <c r="G73" s="9">
        <f>VLOOKUP(B73,'75 - Summary Exhibit'!A:N,5,FALSE)</f>
        <v>66612</v>
      </c>
      <c r="H73" s="9">
        <f>VLOOKUP(B73,'75 - Summary Exhibit'!A:N,6,FALSE)</f>
        <v>903306</v>
      </c>
      <c r="I73" s="6">
        <f>VLOOKUP(B73,'75 - Summary Exhibit'!A:N,7,FALSE)</f>
        <v>1168588</v>
      </c>
      <c r="J73" s="6">
        <f>VLOOKUP(B73,'75 - Summary Exhibit'!A:N,8,FALSE)</f>
        <v>8170</v>
      </c>
      <c r="K73" s="6">
        <f>VLOOKUP(B73,'75 - Summary Exhibit'!A:N,9,FALSE)</f>
        <v>0</v>
      </c>
      <c r="L73" s="6">
        <f>VLOOKUP(B73,'75 - Summary Exhibit'!A:N,10,FALSE)</f>
        <v>2224626</v>
      </c>
      <c r="M73" s="6">
        <f>VLOOKUP(B73,'75 - Summary Exhibit'!A:N,11,FALSE)</f>
        <v>246450</v>
      </c>
      <c r="N73" s="6">
        <f>VLOOKUP(B73,'75 - Summary Exhibit'!A:N,12,FALSE)</f>
        <v>-152933</v>
      </c>
      <c r="O73" s="6">
        <f>VLOOKUP(B73,'75 - Summary Exhibit'!A:N,13,FALSE)</f>
        <v>301523</v>
      </c>
      <c r="P73" s="6">
        <f t="shared" si="25"/>
        <v>148590</v>
      </c>
      <c r="Q73" s="6">
        <f>VLOOKUP(B73,'75- Deferred Amortization'!A:G,3,FALSE)</f>
        <v>-250533</v>
      </c>
      <c r="R73" s="6">
        <f>VLOOKUP(B73,'75- Deferred Amortization'!A:G,4,FALSE)</f>
        <v>-195638</v>
      </c>
      <c r="S73" s="6">
        <f>VLOOKUP(B73,'75- Deferred Amortization'!A:G,5,FALSE)</f>
        <v>81900</v>
      </c>
      <c r="T73" s="6">
        <f>VLOOKUP(B73,'75- Deferred Amortization'!A:G,6,FALSE)</f>
        <v>115353</v>
      </c>
      <c r="U73" s="6">
        <f>VLOOKUP(B73,'75- Deferred Amortization'!A:G,7,FALSE)</f>
        <v>0</v>
      </c>
      <c r="V73" s="6">
        <f t="shared" si="26"/>
        <v>0</v>
      </c>
      <c r="W73" s="6">
        <f t="shared" si="27"/>
        <v>0</v>
      </c>
      <c r="X73">
        <v>2</v>
      </c>
      <c r="Z73" s="208">
        <f>VLOOKUP(B73,'Noncap Contr Alloc'!A:C,3,FALSE)</f>
        <v>10954</v>
      </c>
      <c r="AC73" s="9">
        <v>7515665</v>
      </c>
      <c r="AD73" s="9">
        <v>72967</v>
      </c>
      <c r="AE73" s="9">
        <v>65082</v>
      </c>
      <c r="AF73" s="9">
        <v>601727</v>
      </c>
      <c r="AG73" s="6">
        <v>1640604</v>
      </c>
      <c r="AH73" s="6">
        <v>20797</v>
      </c>
      <c r="AI73" s="6">
        <v>0</v>
      </c>
      <c r="AJ73" s="6">
        <v>3420556</v>
      </c>
      <c r="AK73" s="6">
        <v>290348</v>
      </c>
      <c r="AM73" s="6">
        <f t="shared" si="28"/>
        <v>-472016</v>
      </c>
      <c r="AN73" s="6">
        <f t="shared" si="29"/>
        <v>-43898</v>
      </c>
      <c r="AO73" s="9">
        <f t="shared" si="30"/>
        <v>18855</v>
      </c>
      <c r="AP73" s="6">
        <f t="shared" si="31"/>
        <v>-12627</v>
      </c>
      <c r="AQ73" s="9">
        <f t="shared" si="32"/>
        <v>301579</v>
      </c>
      <c r="AR73" s="6">
        <f t="shared" si="33"/>
        <v>-1195930</v>
      </c>
      <c r="AS73" s="9">
        <f t="shared" si="34"/>
        <v>822765</v>
      </c>
      <c r="AT73" s="9">
        <f t="shared" si="35"/>
        <v>1530</v>
      </c>
      <c r="AU73" s="6">
        <f t="shared" si="36"/>
        <v>0</v>
      </c>
      <c r="AV73" s="285">
        <f t="shared" si="37"/>
        <v>8338430</v>
      </c>
    </row>
    <row r="74" spans="1:48">
      <c r="A74" t="s">
        <v>107</v>
      </c>
      <c r="B74">
        <v>39105</v>
      </c>
      <c r="C74" s="6">
        <f>VLOOKUP(B74,'ER Contributions'!A:D,4,FALSE)</f>
        <v>860144</v>
      </c>
      <c r="D74" s="7">
        <f>VLOOKUP(B74,'ER Contributions'!A:D,3,FALSE)</f>
        <v>5.9400000000000002E-4</v>
      </c>
      <c r="E74" s="9">
        <f>VLOOKUP(B74,'75 - Summary Exhibit'!A:N,3,FALSE)</f>
        <v>15829640</v>
      </c>
      <c r="F74" s="9">
        <f>VLOOKUP(B74,'75 - Summary Exhibit'!A:N,4,FALSE)</f>
        <v>174315</v>
      </c>
      <c r="G74" s="9">
        <f>VLOOKUP(B74,'75 - Summary Exhibit'!A:N,5,FALSE)</f>
        <v>126455</v>
      </c>
      <c r="H74" s="9">
        <f>VLOOKUP(B74,'75 - Summary Exhibit'!A:N,6,FALSE)</f>
        <v>1714832</v>
      </c>
      <c r="I74" s="6">
        <f>VLOOKUP(B74,'75 - Summary Exhibit'!A:N,7,FALSE)</f>
        <v>787471</v>
      </c>
      <c r="J74" s="6">
        <f>VLOOKUP(B74,'75 - Summary Exhibit'!A:N,8,FALSE)</f>
        <v>15510</v>
      </c>
      <c r="K74" s="6">
        <f>VLOOKUP(B74,'75 - Summary Exhibit'!A:N,9,FALSE)</f>
        <v>0</v>
      </c>
      <c r="L74" s="6">
        <f>VLOOKUP(B74,'75 - Summary Exhibit'!A:N,10,FALSE)</f>
        <v>4223220</v>
      </c>
      <c r="M74" s="6">
        <f>VLOOKUP(B74,'75 - Summary Exhibit'!A:N,11,FALSE)</f>
        <v>2488081</v>
      </c>
      <c r="N74" s="6">
        <f>VLOOKUP(B74,'75 - Summary Exhibit'!A:N,12,FALSE)</f>
        <v>-290327</v>
      </c>
      <c r="O74" s="6">
        <f>VLOOKUP(B74,'75 - Summary Exhibit'!A:N,13,FALSE)</f>
        <v>-1574343</v>
      </c>
      <c r="P74" s="6">
        <f t="shared" si="25"/>
        <v>-1864670</v>
      </c>
      <c r="Q74" s="6">
        <f>VLOOKUP(B74,'75- Deferred Amortization'!A:G,3,FALSE)</f>
        <v>-2204449</v>
      </c>
      <c r="R74" s="6">
        <f>VLOOKUP(B74,'75- Deferred Amortization'!A:G,4,FALSE)</f>
        <v>-1474662</v>
      </c>
      <c r="S74" s="6">
        <f>VLOOKUP(B74,'75- Deferred Amortization'!A:G,5,FALSE)</f>
        <v>-654041</v>
      </c>
      <c r="T74" s="6">
        <f>VLOOKUP(B74,'75- Deferred Amortization'!A:G,6,FALSE)</f>
        <v>409414</v>
      </c>
      <c r="U74" s="6">
        <f>VLOOKUP(B74,'75- Deferred Amortization'!A:G,7,FALSE)</f>
        <v>0</v>
      </c>
      <c r="V74" s="6">
        <f t="shared" si="26"/>
        <v>1</v>
      </c>
      <c r="W74" s="6">
        <f t="shared" si="27"/>
        <v>0</v>
      </c>
      <c r="X74">
        <v>2</v>
      </c>
      <c r="Z74" s="208">
        <f>VLOOKUP(B74,'Noncap Contr Alloc'!A:C,3,FALSE)</f>
        <v>20795</v>
      </c>
      <c r="AC74" s="9">
        <v>13617340</v>
      </c>
      <c r="AD74" s="9">
        <v>132206</v>
      </c>
      <c r="AE74" s="9">
        <v>117920</v>
      </c>
      <c r="AF74" s="9">
        <v>1090245</v>
      </c>
      <c r="AG74" s="6">
        <v>290692</v>
      </c>
      <c r="AH74" s="6">
        <v>37681</v>
      </c>
      <c r="AI74" s="6">
        <v>0</v>
      </c>
      <c r="AJ74" s="6">
        <v>6197572</v>
      </c>
      <c r="AK74" s="6">
        <v>4277458</v>
      </c>
      <c r="AM74" s="6">
        <f t="shared" si="28"/>
        <v>496779</v>
      </c>
      <c r="AN74" s="6">
        <f t="shared" si="29"/>
        <v>-1789377</v>
      </c>
      <c r="AO74" s="9">
        <f t="shared" si="30"/>
        <v>42109</v>
      </c>
      <c r="AP74" s="6">
        <f t="shared" si="31"/>
        <v>-22171</v>
      </c>
      <c r="AQ74" s="9">
        <f t="shared" si="32"/>
        <v>624587</v>
      </c>
      <c r="AR74" s="6">
        <f t="shared" si="33"/>
        <v>-1974352</v>
      </c>
      <c r="AS74" s="9">
        <f t="shared" si="34"/>
        <v>2212300</v>
      </c>
      <c r="AT74" s="9">
        <f t="shared" si="35"/>
        <v>8535</v>
      </c>
      <c r="AU74" s="6">
        <f t="shared" si="36"/>
        <v>0</v>
      </c>
      <c r="AV74" s="285">
        <f t="shared" si="37"/>
        <v>15829640</v>
      </c>
    </row>
    <row r="75" spans="1:48">
      <c r="A75" t="s">
        <v>108</v>
      </c>
      <c r="B75">
        <v>39205</v>
      </c>
      <c r="C75" s="6">
        <f>VLOOKUP(B75,'ER Contributions'!A:D,4,FALSE)</f>
        <v>6955916</v>
      </c>
      <c r="D75" s="7">
        <f>VLOOKUP(B75,'ER Contributions'!A:D,3,FALSE)</f>
        <v>5.0553999999999998E-3</v>
      </c>
      <c r="E75" s="9">
        <f>VLOOKUP(B75,'75 - Summary Exhibit'!A:N,3,FALSE)</f>
        <v>134713039</v>
      </c>
      <c r="F75" s="9">
        <f>VLOOKUP(B75,'75 - Summary Exhibit'!A:N,4,FALSE)</f>
        <v>1483454</v>
      </c>
      <c r="G75" s="9">
        <f>VLOOKUP(B75,'75 - Summary Exhibit'!A:N,5,FALSE)</f>
        <v>1076157</v>
      </c>
      <c r="H75" s="9">
        <f>VLOOKUP(B75,'75 - Summary Exhibit'!A:N,6,FALSE)</f>
        <v>14593523</v>
      </c>
      <c r="I75" s="6">
        <f>VLOOKUP(B75,'75 - Summary Exhibit'!A:N,7,FALSE)</f>
        <v>10851509</v>
      </c>
      <c r="J75" s="6">
        <f>VLOOKUP(B75,'75 - Summary Exhibit'!A:N,8,FALSE)</f>
        <v>131992</v>
      </c>
      <c r="K75" s="6">
        <f>VLOOKUP(B75,'75 - Summary Exhibit'!A:N,9,FALSE)</f>
        <v>0</v>
      </c>
      <c r="L75" s="6">
        <f>VLOOKUP(B75,'75 - Summary Exhibit'!A:N,10,FALSE)</f>
        <v>35940352</v>
      </c>
      <c r="M75" s="6">
        <f>VLOOKUP(B75,'75 - Summary Exhibit'!A:N,11,FALSE)</f>
        <v>2458432</v>
      </c>
      <c r="N75" s="6">
        <f>VLOOKUP(B75,'75 - Summary Exhibit'!A:N,12,FALSE)</f>
        <v>-2470740</v>
      </c>
      <c r="O75" s="6">
        <f>VLOOKUP(B75,'75 - Summary Exhibit'!A:N,13,FALSE)</f>
        <v>4117464</v>
      </c>
      <c r="P75" s="6">
        <f t="shared" si="25"/>
        <v>1646724</v>
      </c>
      <c r="Q75" s="6">
        <f>VLOOKUP(B75,'75- Deferred Amortization'!A:G,3,FALSE)</f>
        <v>-5130859</v>
      </c>
      <c r="R75" s="6">
        <f>VLOOKUP(B75,'75- Deferred Amortization'!A:G,4,FALSE)</f>
        <v>-7225391</v>
      </c>
      <c r="S75" s="6">
        <f>VLOOKUP(B75,'75- Deferred Amortization'!A:G,5,FALSE)</f>
        <v>-1792284</v>
      </c>
      <c r="T75" s="6">
        <f>VLOOKUP(B75,'75- Deferred Amortization'!A:G,6,FALSE)</f>
        <v>3622402</v>
      </c>
      <c r="U75" s="6">
        <f>VLOOKUP(B75,'75- Deferred Amortization'!A:G,7,FALSE)</f>
        <v>0</v>
      </c>
      <c r="V75" s="6">
        <f t="shared" si="26"/>
        <v>1</v>
      </c>
      <c r="W75" s="6">
        <f t="shared" si="27"/>
        <v>-1</v>
      </c>
      <c r="X75">
        <v>2</v>
      </c>
      <c r="Z75" s="208">
        <f>VLOOKUP(B75,'Noncap Contr Alloc'!A:C,3,FALSE)</f>
        <v>176972</v>
      </c>
      <c r="AC75" s="9">
        <v>115109829</v>
      </c>
      <c r="AD75" s="9">
        <v>1117564</v>
      </c>
      <c r="AE75" s="9">
        <v>996801</v>
      </c>
      <c r="AF75" s="9">
        <v>9216037</v>
      </c>
      <c r="AG75" s="6">
        <v>9292363</v>
      </c>
      <c r="AH75" s="6">
        <v>318521</v>
      </c>
      <c r="AI75" s="6">
        <v>0</v>
      </c>
      <c r="AJ75" s="6">
        <v>52389194</v>
      </c>
      <c r="AK75" s="6">
        <v>3530558</v>
      </c>
      <c r="AM75" s="6">
        <f t="shared" si="28"/>
        <v>1559146</v>
      </c>
      <c r="AN75" s="6">
        <f t="shared" si="29"/>
        <v>-1072126</v>
      </c>
      <c r="AO75" s="9">
        <f t="shared" si="30"/>
        <v>365890</v>
      </c>
      <c r="AP75" s="6">
        <f t="shared" si="31"/>
        <v>-186529</v>
      </c>
      <c r="AQ75" s="9">
        <f t="shared" si="32"/>
        <v>5377486</v>
      </c>
      <c r="AR75" s="6">
        <f t="shared" si="33"/>
        <v>-16448842</v>
      </c>
      <c r="AS75" s="9">
        <f t="shared" si="34"/>
        <v>19603210</v>
      </c>
      <c r="AT75" s="9">
        <f t="shared" si="35"/>
        <v>79356</v>
      </c>
      <c r="AU75" s="6">
        <f t="shared" si="36"/>
        <v>0</v>
      </c>
      <c r="AV75" s="285">
        <f t="shared" si="37"/>
        <v>134713039</v>
      </c>
    </row>
    <row r="76" spans="1:48">
      <c r="A76" t="s">
        <v>109</v>
      </c>
      <c r="B76">
        <v>39605</v>
      </c>
      <c r="C76" s="6">
        <f>VLOOKUP(B76,'ER Contributions'!A:D,4,FALSE)</f>
        <v>1043489</v>
      </c>
      <c r="D76" s="7">
        <f>VLOOKUP(B76,'ER Contributions'!A:D,3,FALSE)</f>
        <v>7.6139999999999997E-4</v>
      </c>
      <c r="E76" s="9">
        <f>VLOOKUP(B76,'75 - Summary Exhibit'!A:N,3,FALSE)</f>
        <v>20290062</v>
      </c>
      <c r="F76" s="9">
        <f>VLOOKUP(B76,'75 - Summary Exhibit'!A:N,4,FALSE)</f>
        <v>223433</v>
      </c>
      <c r="G76" s="9">
        <f>VLOOKUP(B76,'75 - Summary Exhibit'!A:N,5,FALSE)</f>
        <v>162087</v>
      </c>
      <c r="H76" s="9">
        <f>VLOOKUP(B76,'75 - Summary Exhibit'!A:N,6,FALSE)</f>
        <v>2198031</v>
      </c>
      <c r="I76" s="6">
        <f>VLOOKUP(B76,'75 - Summary Exhibit'!A:N,7,FALSE)</f>
        <v>486459</v>
      </c>
      <c r="J76" s="6">
        <f>VLOOKUP(B76,'75 - Summary Exhibit'!A:N,8,FALSE)</f>
        <v>19880</v>
      </c>
      <c r="K76" s="6">
        <f>VLOOKUP(B76,'75 - Summary Exhibit'!A:N,9,FALSE)</f>
        <v>0</v>
      </c>
      <c r="L76" s="6">
        <f>VLOOKUP(B76,'75 - Summary Exhibit'!A:N,10,FALSE)</f>
        <v>5413225</v>
      </c>
      <c r="M76" s="6">
        <f>VLOOKUP(B76,'75 - Summary Exhibit'!A:N,11,FALSE)</f>
        <v>1984980</v>
      </c>
      <c r="N76" s="6">
        <f>VLOOKUP(B76,'75 - Summary Exhibit'!A:N,12,FALSE)</f>
        <v>-372136</v>
      </c>
      <c r="O76" s="6">
        <f>VLOOKUP(B76,'75 - Summary Exhibit'!A:N,13,FALSE)</f>
        <v>-138910</v>
      </c>
      <c r="P76" s="6">
        <f t="shared" si="25"/>
        <v>-511046</v>
      </c>
      <c r="Q76" s="6">
        <f>VLOOKUP(B76,'75- Deferred Amortization'!A:G,3,FALSE)</f>
        <v>-1701274</v>
      </c>
      <c r="R76" s="6">
        <f>VLOOKUP(B76,'75- Deferred Amortization'!A:G,4,FALSE)</f>
        <v>-1731357</v>
      </c>
      <c r="S76" s="6">
        <f>VLOOKUP(B76,'75- Deferred Amortization'!A:G,5,FALSE)</f>
        <v>-916266</v>
      </c>
      <c r="T76" s="6">
        <f>VLOOKUP(B76,'75- Deferred Amortization'!A:G,6,FALSE)</f>
        <v>823</v>
      </c>
      <c r="U76" s="6">
        <f>VLOOKUP(B76,'75- Deferred Amortization'!A:G,7,FALSE)</f>
        <v>0</v>
      </c>
      <c r="V76" s="6">
        <f t="shared" si="26"/>
        <v>-2</v>
      </c>
      <c r="W76" s="6">
        <f t="shared" si="27"/>
        <v>-1</v>
      </c>
      <c r="X76">
        <v>2</v>
      </c>
      <c r="Z76" s="208">
        <f>VLOOKUP(B76,'Noncap Contr Alloc'!A:C,3,FALSE)</f>
        <v>26655</v>
      </c>
      <c r="AC76" s="9">
        <v>19338037</v>
      </c>
      <c r="AD76" s="9">
        <v>187747</v>
      </c>
      <c r="AE76" s="9">
        <v>167459</v>
      </c>
      <c r="AF76" s="9">
        <v>1548261</v>
      </c>
      <c r="AG76" s="6">
        <v>1058755</v>
      </c>
      <c r="AH76" s="6">
        <v>53510</v>
      </c>
      <c r="AI76" s="6">
        <v>0</v>
      </c>
      <c r="AJ76" s="6">
        <v>8801196</v>
      </c>
      <c r="AK76" s="6">
        <v>988804</v>
      </c>
      <c r="AM76" s="6">
        <f t="shared" si="28"/>
        <v>-572296</v>
      </c>
      <c r="AN76" s="6">
        <f t="shared" si="29"/>
        <v>996176</v>
      </c>
      <c r="AO76" s="9">
        <f t="shared" si="30"/>
        <v>35686</v>
      </c>
      <c r="AP76" s="6">
        <f t="shared" si="31"/>
        <v>-33630</v>
      </c>
      <c r="AQ76" s="9">
        <f t="shared" si="32"/>
        <v>649770</v>
      </c>
      <c r="AR76" s="6">
        <f t="shared" si="33"/>
        <v>-3387971</v>
      </c>
      <c r="AS76" s="9">
        <f t="shared" si="34"/>
        <v>952025</v>
      </c>
      <c r="AT76" s="9">
        <f t="shared" si="35"/>
        <v>-5372</v>
      </c>
      <c r="AU76" s="6">
        <f t="shared" si="36"/>
        <v>0</v>
      </c>
      <c r="AV76" s="285">
        <f t="shared" si="37"/>
        <v>20290062</v>
      </c>
    </row>
    <row r="77" spans="1:48">
      <c r="A77" t="s">
        <v>60</v>
      </c>
      <c r="B77">
        <v>31205</v>
      </c>
      <c r="C77" s="6">
        <f>VLOOKUP(B77,'ER Contributions'!A:D,4,FALSE)</f>
        <v>617317</v>
      </c>
      <c r="D77" s="7">
        <f>VLOOKUP(B77,'ER Contributions'!A:D,3,FALSE)</f>
        <v>4.0640000000000001E-4</v>
      </c>
      <c r="E77" s="9">
        <f>VLOOKUP(B77,'75 - Summary Exhibit'!A:N,3,FALSE)</f>
        <v>10829719</v>
      </c>
      <c r="F77" s="9">
        <f>VLOOKUP(B77,'75 - Summary Exhibit'!A:N,4,FALSE)</f>
        <v>119256</v>
      </c>
      <c r="G77" s="9">
        <f>VLOOKUP(B77,'75 - Summary Exhibit'!A:N,5,FALSE)</f>
        <v>86513</v>
      </c>
      <c r="H77" s="9">
        <f>VLOOKUP(B77,'75 - Summary Exhibit'!A:N,6,FALSE)</f>
        <v>1173188</v>
      </c>
      <c r="I77" s="6">
        <f>VLOOKUP(B77,'75 - Summary Exhibit'!A:N,7,FALSE)</f>
        <v>412549</v>
      </c>
      <c r="J77" s="6">
        <f>VLOOKUP(B77,'75 - Summary Exhibit'!A:N,8,FALSE)</f>
        <v>10611</v>
      </c>
      <c r="K77" s="6">
        <f>VLOOKUP(B77,'75 - Summary Exhibit'!A:N,9,FALSE)</f>
        <v>0</v>
      </c>
      <c r="L77" s="6">
        <f>VLOOKUP(B77,'75 - Summary Exhibit'!A:N,10,FALSE)</f>
        <v>2889282</v>
      </c>
      <c r="M77" s="6">
        <f>VLOOKUP(B77,'75 - Summary Exhibit'!A:N,11,FALSE)</f>
        <v>555400</v>
      </c>
      <c r="N77" s="6">
        <f>VLOOKUP(B77,'75 - Summary Exhibit'!A:N,12,FALSE)</f>
        <v>-198627</v>
      </c>
      <c r="O77" s="6">
        <f>VLOOKUP(B77,'75 - Summary Exhibit'!A:N,13,FALSE)</f>
        <v>-258719</v>
      </c>
      <c r="P77" s="6">
        <f t="shared" si="25"/>
        <v>-457346</v>
      </c>
      <c r="Q77" s="6">
        <f>VLOOKUP(B77,'75- Deferred Amortization'!A:G,3,FALSE)</f>
        <v>-856057</v>
      </c>
      <c r="R77" s="6">
        <f>VLOOKUP(B77,'75- Deferred Amortization'!A:G,4,FALSE)</f>
        <v>-794325</v>
      </c>
      <c r="S77" s="6">
        <f>VLOOKUP(B77,'75- Deferred Amortization'!A:G,5,FALSE)</f>
        <v>-230276</v>
      </c>
      <c r="T77" s="6">
        <f>VLOOKUP(B77,'75- Deferred Amortization'!A:G,6,FALSE)</f>
        <v>216872</v>
      </c>
      <c r="U77" s="6">
        <f>VLOOKUP(B77,'75- Deferred Amortization'!A:G,7,FALSE)</f>
        <v>0</v>
      </c>
      <c r="V77" s="6">
        <f t="shared" si="26"/>
        <v>-3</v>
      </c>
      <c r="W77" s="6">
        <f t="shared" si="27"/>
        <v>-1</v>
      </c>
      <c r="X77">
        <v>2</v>
      </c>
      <c r="Z77" s="208">
        <f>VLOOKUP(B77,'Noncap Contr Alloc'!A:C,3,FALSE)</f>
        <v>14227</v>
      </c>
      <c r="AC77" s="9">
        <v>9569955</v>
      </c>
      <c r="AD77" s="9">
        <v>92912</v>
      </c>
      <c r="AE77" s="9">
        <v>82872</v>
      </c>
      <c r="AF77" s="9">
        <v>766199</v>
      </c>
      <c r="AG77" s="6">
        <v>367820</v>
      </c>
      <c r="AH77" s="6">
        <v>26481</v>
      </c>
      <c r="AI77" s="6">
        <v>0</v>
      </c>
      <c r="AJ77" s="6">
        <v>4355512</v>
      </c>
      <c r="AK77" s="6">
        <v>940248</v>
      </c>
      <c r="AM77" s="6">
        <f t="shared" si="28"/>
        <v>44729</v>
      </c>
      <c r="AN77" s="6">
        <f t="shared" si="29"/>
        <v>-384848</v>
      </c>
      <c r="AO77" s="9">
        <f t="shared" si="30"/>
        <v>26344</v>
      </c>
      <c r="AP77" s="6">
        <f t="shared" si="31"/>
        <v>-15870</v>
      </c>
      <c r="AQ77" s="9">
        <f t="shared" si="32"/>
        <v>406989</v>
      </c>
      <c r="AR77" s="6">
        <f t="shared" si="33"/>
        <v>-1466230</v>
      </c>
      <c r="AS77" s="9">
        <f t="shared" si="34"/>
        <v>1259764</v>
      </c>
      <c r="AT77" s="9">
        <f t="shared" si="35"/>
        <v>3641</v>
      </c>
      <c r="AU77" s="6">
        <f t="shared" si="36"/>
        <v>0</v>
      </c>
      <c r="AV77" s="285">
        <f t="shared" si="37"/>
        <v>10829719</v>
      </c>
    </row>
    <row r="78" spans="1:48">
      <c r="A78" t="s">
        <v>110</v>
      </c>
      <c r="B78">
        <v>39705</v>
      </c>
      <c r="C78" s="6">
        <f>VLOOKUP(B78,'ER Contributions'!A:D,4,FALSE)</f>
        <v>1063528</v>
      </c>
      <c r="D78" s="7">
        <f>VLOOKUP(B78,'ER Contributions'!A:D,3,FALSE)</f>
        <v>8.0860000000000003E-4</v>
      </c>
      <c r="E78" s="9">
        <f>VLOOKUP(B78,'75 - Summary Exhibit'!A:N,3,FALSE)</f>
        <v>21548444</v>
      </c>
      <c r="F78" s="9">
        <f>VLOOKUP(B78,'75 - Summary Exhibit'!A:N,4,FALSE)</f>
        <v>237291</v>
      </c>
      <c r="G78" s="9">
        <f>VLOOKUP(B78,'75 - Summary Exhibit'!A:N,5,FALSE)</f>
        <v>172140</v>
      </c>
      <c r="H78" s="9">
        <f>VLOOKUP(B78,'75 - Summary Exhibit'!A:N,6,FALSE)</f>
        <v>2334352</v>
      </c>
      <c r="I78" s="6">
        <f>VLOOKUP(B78,'75 - Summary Exhibit'!A:N,7,FALSE)</f>
        <v>1394669</v>
      </c>
      <c r="J78" s="6">
        <f>VLOOKUP(B78,'75 - Summary Exhibit'!A:N,8,FALSE)</f>
        <v>21113</v>
      </c>
      <c r="K78" s="6">
        <f>VLOOKUP(B78,'75 - Summary Exhibit'!A:N,9,FALSE)</f>
        <v>0</v>
      </c>
      <c r="L78" s="6">
        <f>VLOOKUP(B78,'75 - Summary Exhibit'!A:N,10,FALSE)</f>
        <v>5748951</v>
      </c>
      <c r="M78" s="6">
        <f>VLOOKUP(B78,'75 - Summary Exhibit'!A:N,11,FALSE)</f>
        <v>147312</v>
      </c>
      <c r="N78" s="6">
        <f>VLOOKUP(B78,'75 - Summary Exhibit'!A:N,12,FALSE)</f>
        <v>-395215</v>
      </c>
      <c r="O78" s="6">
        <f>VLOOKUP(B78,'75 - Summary Exhibit'!A:N,13,FALSE)</f>
        <v>460941</v>
      </c>
      <c r="P78" s="6">
        <f t="shared" si="25"/>
        <v>65726</v>
      </c>
      <c r="Q78" s="6">
        <f>VLOOKUP(B78,'75- Deferred Amortization'!A:G,3,FALSE)</f>
        <v>-906565</v>
      </c>
      <c r="R78" s="6">
        <f>VLOOKUP(B78,'75- Deferred Amortization'!A:G,4,FALSE)</f>
        <v>-1117196</v>
      </c>
      <c r="S78" s="6">
        <f>VLOOKUP(B78,'75- Deferred Amortization'!A:G,5,FALSE)</f>
        <v>-354020</v>
      </c>
      <c r="T78" s="6">
        <f>VLOOKUP(B78,'75- Deferred Amortization'!A:G,6,FALSE)</f>
        <v>598858</v>
      </c>
      <c r="U78" s="6">
        <f>VLOOKUP(B78,'75- Deferred Amortization'!A:G,7,FALSE)</f>
        <v>0</v>
      </c>
      <c r="V78" s="6">
        <f t="shared" si="26"/>
        <v>0</v>
      </c>
      <c r="W78" s="6">
        <f t="shared" si="27"/>
        <v>-1</v>
      </c>
      <c r="X78">
        <v>2</v>
      </c>
      <c r="Z78" s="208">
        <f>VLOOKUP(B78,'Noncap Contr Alloc'!A:C,3,FALSE)</f>
        <v>28308</v>
      </c>
      <c r="AC78" s="9">
        <v>18305170</v>
      </c>
      <c r="AD78" s="9">
        <v>177719</v>
      </c>
      <c r="AE78" s="9">
        <v>158515</v>
      </c>
      <c r="AF78" s="9">
        <v>1465567</v>
      </c>
      <c r="AG78" s="6">
        <v>748303</v>
      </c>
      <c r="AH78" s="6">
        <v>50652</v>
      </c>
      <c r="AI78" s="6">
        <v>0</v>
      </c>
      <c r="AJ78" s="6">
        <v>8331114</v>
      </c>
      <c r="AK78" s="6">
        <v>216646</v>
      </c>
      <c r="AM78" s="6">
        <f t="shared" si="28"/>
        <v>646366</v>
      </c>
      <c r="AN78" s="6">
        <f t="shared" si="29"/>
        <v>-69334</v>
      </c>
      <c r="AO78" s="9">
        <f t="shared" si="30"/>
        <v>59572</v>
      </c>
      <c r="AP78" s="6">
        <f t="shared" si="31"/>
        <v>-29539</v>
      </c>
      <c r="AQ78" s="9">
        <f t="shared" si="32"/>
        <v>868785</v>
      </c>
      <c r="AR78" s="6">
        <f t="shared" si="33"/>
        <v>-2582163</v>
      </c>
      <c r="AS78" s="9">
        <f t="shared" si="34"/>
        <v>3243274</v>
      </c>
      <c r="AT78" s="9">
        <f t="shared" si="35"/>
        <v>13625</v>
      </c>
      <c r="AU78" s="6">
        <f t="shared" si="36"/>
        <v>0</v>
      </c>
      <c r="AV78" s="285">
        <f t="shared" si="37"/>
        <v>21548444</v>
      </c>
    </row>
    <row r="79" spans="1:48">
      <c r="A79" t="s">
        <v>111</v>
      </c>
      <c r="B79">
        <v>39805</v>
      </c>
      <c r="C79" s="6">
        <f>VLOOKUP(B79,'ER Contributions'!A:D,4,FALSE)</f>
        <v>543937</v>
      </c>
      <c r="D79" s="7">
        <f>VLOOKUP(B79,'ER Contributions'!A:D,3,FALSE)</f>
        <v>3.925E-4</v>
      </c>
      <c r="E79" s="9">
        <f>VLOOKUP(B79,'75 - Summary Exhibit'!A:N,3,FALSE)</f>
        <v>10460069</v>
      </c>
      <c r="F79" s="9">
        <f>VLOOKUP(B79,'75 - Summary Exhibit'!A:N,4,FALSE)</f>
        <v>115186</v>
      </c>
      <c r="G79" s="9">
        <f>VLOOKUP(B79,'75 - Summary Exhibit'!A:N,5,FALSE)</f>
        <v>83560</v>
      </c>
      <c r="H79" s="9">
        <f>VLOOKUP(B79,'75 - Summary Exhibit'!A:N,6,FALSE)</f>
        <v>1133144</v>
      </c>
      <c r="I79" s="6">
        <f>VLOOKUP(B79,'75 - Summary Exhibit'!A:N,7,FALSE)</f>
        <v>447461</v>
      </c>
      <c r="J79" s="6">
        <f>VLOOKUP(B79,'75 - Summary Exhibit'!A:N,8,FALSE)</f>
        <v>10249</v>
      </c>
      <c r="K79" s="6">
        <f>VLOOKUP(B79,'75 - Summary Exhibit'!A:N,9,FALSE)</f>
        <v>0</v>
      </c>
      <c r="L79" s="6">
        <f>VLOOKUP(B79,'75 - Summary Exhibit'!A:N,10,FALSE)</f>
        <v>2790662</v>
      </c>
      <c r="M79" s="6">
        <f>VLOOKUP(B79,'75 - Summary Exhibit'!A:N,11,FALSE)</f>
        <v>598943</v>
      </c>
      <c r="N79" s="6">
        <f>VLOOKUP(B79,'75 - Summary Exhibit'!A:N,12,FALSE)</f>
        <v>-191846</v>
      </c>
      <c r="O79" s="6">
        <f>VLOOKUP(B79,'75 - Summary Exhibit'!A:N,13,FALSE)</f>
        <v>-116757</v>
      </c>
      <c r="P79" s="6">
        <f t="shared" si="25"/>
        <v>-308603</v>
      </c>
      <c r="Q79" s="6">
        <f>VLOOKUP(B79,'75- Deferred Amortization'!A:G,3,FALSE)</f>
        <v>-646094</v>
      </c>
      <c r="R79" s="6">
        <f>VLOOKUP(B79,'75- Deferred Amortization'!A:G,4,FALSE)</f>
        <v>-867661</v>
      </c>
      <c r="S79" s="6">
        <f>VLOOKUP(B79,'75- Deferred Amortization'!A:G,5,FALSE)</f>
        <v>-313311</v>
      </c>
      <c r="T79" s="6">
        <f>VLOOKUP(B79,'75- Deferred Amortization'!A:G,6,FALSE)</f>
        <v>206564</v>
      </c>
      <c r="U79" s="6">
        <f>VLOOKUP(B79,'75- Deferred Amortization'!A:G,7,FALSE)</f>
        <v>0</v>
      </c>
      <c r="V79" s="6">
        <f t="shared" si="26"/>
        <v>-1</v>
      </c>
      <c r="W79" s="6">
        <f t="shared" si="27"/>
        <v>-1</v>
      </c>
      <c r="X79">
        <v>2</v>
      </c>
      <c r="Z79" s="208">
        <f>VLOOKUP(B79,'Noncap Contr Alloc'!A:C,3,FALSE)</f>
        <v>13741</v>
      </c>
      <c r="AC79" s="9">
        <v>9215512</v>
      </c>
      <c r="AD79" s="9">
        <v>89470</v>
      </c>
      <c r="AE79" s="9">
        <v>79802</v>
      </c>
      <c r="AF79" s="9">
        <v>737821</v>
      </c>
      <c r="AG79" s="6">
        <v>508298</v>
      </c>
      <c r="AH79" s="6">
        <v>25500</v>
      </c>
      <c r="AI79" s="6">
        <v>0</v>
      </c>
      <c r="AJ79" s="6">
        <v>4194197</v>
      </c>
      <c r="AK79" s="6">
        <v>927034</v>
      </c>
      <c r="AM79" s="6">
        <f t="shared" si="28"/>
        <v>-60837</v>
      </c>
      <c r="AN79" s="6">
        <f t="shared" si="29"/>
        <v>-328091</v>
      </c>
      <c r="AO79" s="9">
        <f t="shared" si="30"/>
        <v>25716</v>
      </c>
      <c r="AP79" s="6">
        <f t="shared" si="31"/>
        <v>-15251</v>
      </c>
      <c r="AQ79" s="9">
        <f t="shared" si="32"/>
        <v>395323</v>
      </c>
      <c r="AR79" s="6">
        <f t="shared" si="33"/>
        <v>-1403535</v>
      </c>
      <c r="AS79" s="9">
        <f t="shared" si="34"/>
        <v>1244557</v>
      </c>
      <c r="AT79" s="9">
        <f t="shared" si="35"/>
        <v>3758</v>
      </c>
      <c r="AU79" s="6">
        <f t="shared" si="36"/>
        <v>0</v>
      </c>
      <c r="AV79" s="285">
        <f t="shared" si="37"/>
        <v>10460069</v>
      </c>
    </row>
    <row r="80" spans="1:48">
      <c r="A80" t="s">
        <v>112</v>
      </c>
      <c r="B80">
        <v>11310</v>
      </c>
      <c r="C80" s="6">
        <f>VLOOKUP(B80,'ER Contributions'!A:D,4,FALSE)</f>
        <v>766943</v>
      </c>
      <c r="D80" s="7">
        <f>VLOOKUP(B80,'ER Contributions'!A:D,3,FALSE)</f>
        <v>5.0109999999999998E-4</v>
      </c>
      <c r="E80" s="9">
        <f>VLOOKUP(B80,'75 - Summary Exhibit'!A:N,3,FALSE)</f>
        <v>13352253</v>
      </c>
      <c r="F80" s="9">
        <f>VLOOKUP(B80,'75 - Summary Exhibit'!A:N,4,FALSE)</f>
        <v>147034</v>
      </c>
      <c r="G80" s="9">
        <f>VLOOKUP(B80,'75 - Summary Exhibit'!A:N,5,FALSE)</f>
        <v>106665</v>
      </c>
      <c r="H80" s="9">
        <f>VLOOKUP(B80,'75 - Summary Exhibit'!A:N,6,FALSE)</f>
        <v>1446455</v>
      </c>
      <c r="I80" s="6">
        <f>VLOOKUP(B80,'75 - Summary Exhibit'!A:N,7,FALSE)</f>
        <v>872555</v>
      </c>
      <c r="J80" s="6">
        <f>VLOOKUP(B80,'75 - Summary Exhibit'!A:N,8,FALSE)</f>
        <v>13083</v>
      </c>
      <c r="K80" s="6">
        <f>VLOOKUP(B80,'75 - Summary Exhibit'!A:N,9,FALSE)</f>
        <v>0</v>
      </c>
      <c r="L80" s="6">
        <f>VLOOKUP(B80,'75 - Summary Exhibit'!A:N,10,FALSE)</f>
        <v>3562273</v>
      </c>
      <c r="M80" s="6">
        <f>VLOOKUP(B80,'75 - Summary Exhibit'!A:N,11,FALSE)</f>
        <v>286760</v>
      </c>
      <c r="N80" s="6">
        <f>VLOOKUP(B80,'75 - Summary Exhibit'!A:N,12,FALSE)</f>
        <v>-244890</v>
      </c>
      <c r="O80" s="6">
        <f>VLOOKUP(B80,'75 - Summary Exhibit'!A:N,13,FALSE)</f>
        <v>493490</v>
      </c>
      <c r="P80" s="6">
        <f t="shared" si="25"/>
        <v>248600</v>
      </c>
      <c r="Q80" s="6">
        <f>VLOOKUP(B80,'75- Deferred Amortization'!A:G,3,FALSE)</f>
        <v>-488056</v>
      </c>
      <c r="R80" s="6">
        <f>VLOOKUP(B80,'75- Deferred Amortization'!A:G,4,FALSE)</f>
        <v>-684814</v>
      </c>
      <c r="S80" s="6">
        <f>VLOOKUP(B80,'75- Deferred Amortization'!A:G,5,FALSE)</f>
        <v>-270104</v>
      </c>
      <c r="T80" s="6">
        <f>VLOOKUP(B80,'75- Deferred Amortization'!A:G,6,FALSE)</f>
        <v>153567</v>
      </c>
      <c r="U80" s="6">
        <f>VLOOKUP(B80,'75- Deferred Amortization'!A:G,7,FALSE)</f>
        <v>0</v>
      </c>
      <c r="V80" s="6">
        <f t="shared" si="26"/>
        <v>0</v>
      </c>
      <c r="W80" s="6">
        <f t="shared" si="27"/>
        <v>0</v>
      </c>
      <c r="X80">
        <v>3</v>
      </c>
      <c r="Z80" s="208">
        <f>VLOOKUP(B80,'Noncap Contr Alloc'!A:C,3,FALSE)</f>
        <v>17541</v>
      </c>
      <c r="AC80" s="9">
        <v>12221975</v>
      </c>
      <c r="AD80" s="9">
        <v>118659</v>
      </c>
      <c r="AE80" s="9">
        <v>105837</v>
      </c>
      <c r="AF80" s="9">
        <v>978528</v>
      </c>
      <c r="AG80" s="6">
        <v>1437735</v>
      </c>
      <c r="AH80" s="6">
        <v>33819</v>
      </c>
      <c r="AI80" s="6">
        <v>0</v>
      </c>
      <c r="AJ80" s="6">
        <v>5562509</v>
      </c>
      <c r="AK80" s="6">
        <v>0</v>
      </c>
      <c r="AM80" s="6">
        <f t="shared" si="28"/>
        <v>-565180</v>
      </c>
      <c r="AN80" s="6">
        <f t="shared" si="29"/>
        <v>286760</v>
      </c>
      <c r="AO80" s="9">
        <f t="shared" si="30"/>
        <v>28375</v>
      </c>
      <c r="AP80" s="6">
        <f t="shared" si="31"/>
        <v>-20736</v>
      </c>
      <c r="AQ80" s="9">
        <f t="shared" si="32"/>
        <v>467927</v>
      </c>
      <c r="AR80" s="6">
        <f t="shared" si="33"/>
        <v>-2000236</v>
      </c>
      <c r="AS80" s="9">
        <f t="shared" si="34"/>
        <v>1130278</v>
      </c>
      <c r="AT80" s="9">
        <f t="shared" si="35"/>
        <v>828</v>
      </c>
      <c r="AU80" s="6">
        <f t="shared" si="36"/>
        <v>0</v>
      </c>
      <c r="AV80" s="285">
        <f t="shared" si="37"/>
        <v>13352253</v>
      </c>
    </row>
    <row r="81" spans="1:48">
      <c r="A81" s="137" t="s">
        <v>167</v>
      </c>
      <c r="B81" s="138">
        <v>14300.2</v>
      </c>
      <c r="C81" s="139">
        <f>VLOOKUP(B81,'ER Contributions'!A:D,4,FALSE)</f>
        <v>264206</v>
      </c>
      <c r="D81" s="141">
        <f>VLOOKUP(B81,'ER Contributions'!A:D,3,FALSE)</f>
        <v>1.7689999999999999E-4</v>
      </c>
      <c r="E81" s="140">
        <f>VLOOKUP(B81,'75 - Summary Exhibit'!A:N,3,FALSE)</f>
        <v>4713242</v>
      </c>
      <c r="F81" s="140">
        <f>VLOOKUP(B81,'75 - Summary Exhibit'!A:N,4,FALSE)</f>
        <v>51902</v>
      </c>
      <c r="G81" s="140">
        <f>VLOOKUP(B81,'75 - Summary Exhibit'!A:N,5,FALSE)</f>
        <v>37652</v>
      </c>
      <c r="H81" s="140">
        <f>VLOOKUP(B81,'75 - Summary Exhibit'!A:N,6,FALSE)</f>
        <v>510588</v>
      </c>
      <c r="I81" s="139">
        <f>VLOOKUP(B81,'75 - Summary Exhibit'!A:N,7,FALSE)</f>
        <v>844329</v>
      </c>
      <c r="J81" s="139">
        <f>VLOOKUP(B81,'75 - Summary Exhibit'!A:N,8,FALSE)</f>
        <v>4618</v>
      </c>
      <c r="K81" s="139">
        <f>VLOOKUP(B81,'75 - Summary Exhibit'!A:N,9,FALSE)</f>
        <v>0</v>
      </c>
      <c r="L81" s="139">
        <f>VLOOKUP(B81,'75 - Summary Exhibit'!A:N,10,FALSE)</f>
        <v>1257455</v>
      </c>
      <c r="M81" s="139">
        <f>VLOOKUP(B81,'75 - Summary Exhibit'!A:N,11,FALSE)</f>
        <v>455271</v>
      </c>
      <c r="N81" s="139">
        <f>VLOOKUP(B81,'75 - Summary Exhibit'!A:N,12,FALSE)</f>
        <v>-86445</v>
      </c>
      <c r="O81" s="139">
        <f>VLOOKUP(B81,'75 - Summary Exhibit'!A:N,13,FALSE)</f>
        <v>61973</v>
      </c>
      <c r="P81" s="139">
        <f>N81+O81</f>
        <v>-24472</v>
      </c>
      <c r="Q81" s="139">
        <f>VLOOKUP(B81,'75- Deferred Amortization'!A:G,3,FALSE)</f>
        <v>-14053</v>
      </c>
      <c r="R81" s="139">
        <f>VLOOKUP(B81,'75- Deferred Amortization'!A:G,4,FALSE)</f>
        <v>-88280</v>
      </c>
      <c r="S81" s="139">
        <f>VLOOKUP(B81,'75- Deferred Amortization'!A:G,5,FALSE)</f>
        <v>-278461</v>
      </c>
      <c r="T81" s="139">
        <f>VLOOKUP(B81,'75- Deferred Amortization'!A:G,6,FALSE)</f>
        <v>107921</v>
      </c>
      <c r="U81" s="139">
        <f>VLOOKUP(B81,'75- Deferred Amortization'!A:G,7,FALSE)</f>
        <v>0</v>
      </c>
      <c r="V81" s="139">
        <f t="shared" si="26"/>
        <v>0</v>
      </c>
      <c r="W81" s="139">
        <f t="shared" si="27"/>
        <v>0</v>
      </c>
      <c r="X81" s="138">
        <v>3</v>
      </c>
      <c r="Y81" s="138"/>
      <c r="Z81" s="208">
        <f>VLOOKUP(B81,'Noncap Contr Alloc'!A:C,3,FALSE)</f>
        <v>6192</v>
      </c>
      <c r="AA81" s="138"/>
      <c r="AB81" s="138"/>
      <c r="AC81" s="140">
        <v>4111912</v>
      </c>
      <c r="AD81" s="140">
        <v>39921</v>
      </c>
      <c r="AE81" s="140">
        <v>35607</v>
      </c>
      <c r="AF81" s="140">
        <v>329212</v>
      </c>
      <c r="AG81" s="139">
        <v>1107650</v>
      </c>
      <c r="AH81" s="139">
        <v>11378</v>
      </c>
      <c r="AI81" s="139">
        <v>0</v>
      </c>
      <c r="AJ81" s="139">
        <v>1871428</v>
      </c>
      <c r="AK81" s="139">
        <v>798657</v>
      </c>
      <c r="AL81" s="138"/>
      <c r="AM81" s="139">
        <f t="shared" si="28"/>
        <v>-263321</v>
      </c>
      <c r="AN81" s="139">
        <f t="shared" si="29"/>
        <v>-343386</v>
      </c>
      <c r="AO81" s="140">
        <f t="shared" si="30"/>
        <v>11981</v>
      </c>
      <c r="AP81" s="139">
        <f t="shared" si="31"/>
        <v>-6760</v>
      </c>
      <c r="AQ81" s="140">
        <f t="shared" si="32"/>
        <v>181376</v>
      </c>
      <c r="AR81" s="139">
        <f t="shared" si="33"/>
        <v>-613973</v>
      </c>
      <c r="AS81" s="140">
        <f t="shared" si="34"/>
        <v>601330</v>
      </c>
      <c r="AT81" s="9">
        <f t="shared" si="35"/>
        <v>2045</v>
      </c>
      <c r="AU81" s="6">
        <f t="shared" si="36"/>
        <v>0</v>
      </c>
      <c r="AV81" s="285">
        <f t="shared" si="37"/>
        <v>4713242</v>
      </c>
    </row>
    <row r="82" spans="1:48">
      <c r="A82" s="137" t="s">
        <v>426</v>
      </c>
      <c r="B82" s="138">
        <v>21525</v>
      </c>
      <c r="C82" s="139">
        <f>VLOOKUP(B82,'ER Contributions'!A:D,4,FALSE)</f>
        <v>2487157</v>
      </c>
      <c r="D82" s="141">
        <f>VLOOKUP(B82,'ER Contributions'!A:D,3,FALSE)</f>
        <v>1.8596999999999999E-3</v>
      </c>
      <c r="E82" s="140">
        <f>VLOOKUP(B82,'75 - Summary Exhibit'!A:N,3,FALSE)</f>
        <v>49557498</v>
      </c>
      <c r="F82" s="140">
        <f>VLOOKUP(B82,'75 - Summary Exhibit'!A:N,4,FALSE)</f>
        <v>545725</v>
      </c>
      <c r="G82" s="140">
        <f>VLOOKUP(B82,'75 - Summary Exhibit'!A:N,5,FALSE)</f>
        <v>395891</v>
      </c>
      <c r="H82" s="140">
        <f>VLOOKUP(B82,'75 - Summary Exhibit'!A:N,6,FALSE)</f>
        <v>5368586</v>
      </c>
      <c r="I82" s="139">
        <f>VLOOKUP(B82,'75 - Summary Exhibit'!A:N,7,FALSE)</f>
        <v>5330209</v>
      </c>
      <c r="J82" s="139">
        <f>VLOOKUP(B82,'75 - Summary Exhibit'!A:N,8,FALSE)</f>
        <v>48556</v>
      </c>
      <c r="K82" s="139">
        <f>VLOOKUP(B82,'75 - Summary Exhibit'!A:N,9,FALSE)</f>
        <v>0</v>
      </c>
      <c r="L82" s="139">
        <f>VLOOKUP(B82,'75 - Summary Exhibit'!A:N,10,FALSE)</f>
        <v>13221540</v>
      </c>
      <c r="M82" s="139">
        <f>VLOOKUP(B82,'75 - Summary Exhibit'!A:N,11,FALSE)</f>
        <v>816580</v>
      </c>
      <c r="N82" s="139">
        <f>VLOOKUP(B82,'75 - Summary Exhibit'!A:N,12,FALSE)</f>
        <v>-908923</v>
      </c>
      <c r="O82" s="139">
        <f>VLOOKUP(B82,'75 - Summary Exhibit'!A:N,13,FALSE)</f>
        <v>1105888</v>
      </c>
      <c r="P82" s="139">
        <f>N82+O82</f>
        <v>196965</v>
      </c>
      <c r="Q82" s="139">
        <f>VLOOKUP(B82,'75- Deferred Amortization'!A:G,3,FALSE)</f>
        <v>-1038055</v>
      </c>
      <c r="R82" s="139">
        <f>VLOOKUP(B82,'75- Deferred Amortization'!A:G,4,FALSE)</f>
        <v>-1722539</v>
      </c>
      <c r="S82" s="139">
        <f>VLOOKUP(B82,'75- Deferred Amortization'!A:G,5,FALSE)</f>
        <v>-317579</v>
      </c>
      <c r="T82" s="139">
        <f>VLOOKUP(B82,'75- Deferred Amortization'!A:G,6,FALSE)</f>
        <v>631907</v>
      </c>
      <c r="U82" s="139">
        <f>VLOOKUP(B82,'75- Deferred Amortization'!A:G,7,FALSE)</f>
        <v>0</v>
      </c>
      <c r="V82" s="197">
        <f t="shared" si="26"/>
        <v>0</v>
      </c>
      <c r="W82" s="139">
        <f t="shared" si="27"/>
        <v>1</v>
      </c>
      <c r="X82" s="140">
        <v>1</v>
      </c>
      <c r="Y82" s="161"/>
      <c r="Z82" s="208">
        <f>VLOOKUP(B82,'Noncap Contr Alloc'!A:C,3,FALSE)</f>
        <v>65104</v>
      </c>
      <c r="AA82" s="138"/>
      <c r="AB82" s="138"/>
      <c r="AC82" s="140">
        <v>44870265</v>
      </c>
      <c r="AD82" s="140">
        <v>435631</v>
      </c>
      <c r="AE82" s="140">
        <v>388557</v>
      </c>
      <c r="AF82" s="140">
        <v>3592448</v>
      </c>
      <c r="AG82" s="139">
        <v>7310537</v>
      </c>
      <c r="AH82" s="139">
        <v>124161</v>
      </c>
      <c r="AI82" s="139">
        <v>0</v>
      </c>
      <c r="AJ82" s="139">
        <v>20421514</v>
      </c>
      <c r="AK82" s="139">
        <v>670292</v>
      </c>
      <c r="AL82" s="138"/>
      <c r="AM82" s="139">
        <f t="shared" si="28"/>
        <v>-1980328</v>
      </c>
      <c r="AN82" s="139">
        <f t="shared" si="29"/>
        <v>146288</v>
      </c>
      <c r="AO82" s="140">
        <f t="shared" si="30"/>
        <v>110094</v>
      </c>
      <c r="AP82" s="139">
        <f t="shared" si="31"/>
        <v>-75605</v>
      </c>
      <c r="AQ82" s="140">
        <f t="shared" si="32"/>
        <v>1776138</v>
      </c>
      <c r="AR82" s="139">
        <f t="shared" si="33"/>
        <v>-7199974</v>
      </c>
      <c r="AS82" s="140">
        <f t="shared" si="34"/>
        <v>4687233</v>
      </c>
      <c r="AT82" s="9">
        <f t="shared" si="35"/>
        <v>7334</v>
      </c>
      <c r="AU82" s="6">
        <f t="shared" si="36"/>
        <v>0</v>
      </c>
      <c r="AV82" s="285">
        <f t="shared" si="37"/>
        <v>49557498</v>
      </c>
    </row>
    <row r="83" spans="1:48">
      <c r="A83" s="137" t="s">
        <v>161</v>
      </c>
      <c r="B83" s="138">
        <v>21525.200000000001</v>
      </c>
      <c r="C83" s="139">
        <f>VLOOKUP(B83,'ER Contributions'!A:D,4,FALSE)</f>
        <v>313088</v>
      </c>
      <c r="D83" s="141">
        <f>VLOOKUP(B83,'ER Contributions'!A:D,3,FALSE)</f>
        <v>2.074E-4</v>
      </c>
      <c r="E83" s="140">
        <f>VLOOKUP(B83,'75 - Summary Exhibit'!A:N,3,FALSE)</f>
        <v>5527470</v>
      </c>
      <c r="F83" s="140">
        <f>VLOOKUP(B83,'75 - Summary Exhibit'!A:N,4,FALSE)</f>
        <v>60868</v>
      </c>
      <c r="G83" s="140">
        <f>VLOOKUP(B83,'75 - Summary Exhibit'!A:N,5,FALSE)</f>
        <v>44156</v>
      </c>
      <c r="H83" s="140">
        <f>VLOOKUP(B83,'75 - Summary Exhibit'!A:N,6,FALSE)</f>
        <v>598793</v>
      </c>
      <c r="I83" s="139">
        <f>VLOOKUP(B83,'75 - Summary Exhibit'!A:N,7,FALSE)</f>
        <v>1640001</v>
      </c>
      <c r="J83" s="139">
        <f>VLOOKUP(B83,'75 - Summary Exhibit'!A:N,8,FALSE)</f>
        <v>5416</v>
      </c>
      <c r="K83" s="139">
        <f>VLOOKUP(B83,'75 - Summary Exhibit'!A:N,9,FALSE)</f>
        <v>0</v>
      </c>
      <c r="L83" s="139">
        <f>VLOOKUP(B83,'75 - Summary Exhibit'!A:N,10,FALSE)</f>
        <v>1474684</v>
      </c>
      <c r="M83" s="139">
        <f>VLOOKUP(B83,'75 - Summary Exhibit'!A:N,11,FALSE)</f>
        <v>22175</v>
      </c>
      <c r="N83" s="139">
        <f>VLOOKUP(B83,'75 - Summary Exhibit'!A:N,12,FALSE)</f>
        <v>-101379</v>
      </c>
      <c r="O83" s="139">
        <f>VLOOKUP(B83,'75 - Summary Exhibit'!A:N,13,FALSE)</f>
        <v>803483</v>
      </c>
      <c r="P83" s="139">
        <f>N83+O83</f>
        <v>702104</v>
      </c>
      <c r="Q83" s="139">
        <f>VLOOKUP(B83,'75- Deferred Amortization'!A:G,3,FALSE)</f>
        <v>206323</v>
      </c>
      <c r="R83" s="139">
        <f>VLOOKUP(B83,'75- Deferred Amortization'!A:G,4,FALSE)</f>
        <v>168652</v>
      </c>
      <c r="S83" s="139">
        <f>VLOOKUP(B83,'75- Deferred Amortization'!A:G,5,FALSE)</f>
        <v>223918</v>
      </c>
      <c r="T83" s="139">
        <f>VLOOKUP(B83,'75- Deferred Amortization'!A:G,6,FALSE)</f>
        <v>242650</v>
      </c>
      <c r="U83" s="139">
        <f>VLOOKUP(B83,'75- Deferred Amortization'!A:G,7,FALSE)</f>
        <v>0</v>
      </c>
      <c r="V83" s="197">
        <f t="shared" si="26"/>
        <v>0</v>
      </c>
      <c r="W83" s="139">
        <f t="shared" si="27"/>
        <v>0</v>
      </c>
      <c r="X83" s="138">
        <v>3</v>
      </c>
      <c r="Y83" s="161"/>
      <c r="Z83" s="208">
        <f>VLOOKUP(B83,'Noncap Contr Alloc'!A:C,3,FALSE)</f>
        <v>7261</v>
      </c>
      <c r="AA83" s="138"/>
      <c r="AB83" s="138"/>
      <c r="AC83" s="140">
        <v>4397689</v>
      </c>
      <c r="AD83" s="140">
        <v>42696</v>
      </c>
      <c r="AE83" s="140">
        <v>38082</v>
      </c>
      <c r="AF83" s="140">
        <v>352092</v>
      </c>
      <c r="AG83" s="139">
        <v>1718658</v>
      </c>
      <c r="AH83" s="139">
        <v>12169</v>
      </c>
      <c r="AI83" s="139">
        <v>0</v>
      </c>
      <c r="AJ83" s="139">
        <v>2001492</v>
      </c>
      <c r="AK83" s="139">
        <v>44350</v>
      </c>
      <c r="AL83" s="138"/>
      <c r="AM83" s="139">
        <f t="shared" si="28"/>
        <v>-78657</v>
      </c>
      <c r="AN83" s="139">
        <f t="shared" si="29"/>
        <v>-22175</v>
      </c>
      <c r="AO83" s="140">
        <f t="shared" si="30"/>
        <v>18172</v>
      </c>
      <c r="AP83" s="139">
        <f t="shared" si="31"/>
        <v>-6753</v>
      </c>
      <c r="AQ83" s="140">
        <f t="shared" si="32"/>
        <v>246701</v>
      </c>
      <c r="AR83" s="139">
        <f t="shared" si="33"/>
        <v>-526808</v>
      </c>
      <c r="AS83" s="140">
        <f t="shared" si="34"/>
        <v>1129781</v>
      </c>
      <c r="AT83" s="9">
        <f t="shared" si="35"/>
        <v>6074</v>
      </c>
      <c r="AU83" s="6">
        <f t="shared" si="36"/>
        <v>0</v>
      </c>
      <c r="AV83" s="285">
        <f t="shared" si="37"/>
        <v>5527470</v>
      </c>
    </row>
    <row r="84" spans="1:48">
      <c r="A84" s="137" t="s">
        <v>169</v>
      </c>
      <c r="B84" s="138">
        <v>51000.2</v>
      </c>
      <c r="C84" s="139">
        <f>VLOOKUP(B84,'ER Contributions'!A:D,4,FALSE)</f>
        <v>63853</v>
      </c>
      <c r="D84" s="141">
        <f>VLOOKUP(B84,'ER Contributions'!A:D,3,FALSE)</f>
        <v>3.1699999999999998E-5</v>
      </c>
      <c r="E84" s="140">
        <f>VLOOKUP(B84,'75 - Summary Exhibit'!A:N,3,FALSE)</f>
        <v>843988</v>
      </c>
      <c r="F84" s="140">
        <f>VLOOKUP(B84,'75 - Summary Exhibit'!A:N,4,FALSE)</f>
        <v>9294</v>
      </c>
      <c r="G84" s="140">
        <f>VLOOKUP(B84,'75 - Summary Exhibit'!A:N,5,FALSE)</f>
        <v>6742</v>
      </c>
      <c r="H84" s="140">
        <f>VLOOKUP(B84,'75 - Summary Exhibit'!A:N,6,FALSE)</f>
        <v>91430</v>
      </c>
      <c r="I84" s="139">
        <f>VLOOKUP(B84,'75 - Summary Exhibit'!A:N,7,FALSE)</f>
        <v>477517</v>
      </c>
      <c r="J84" s="139">
        <f>VLOOKUP(B84,'75 - Summary Exhibit'!A:N,8,FALSE)</f>
        <v>827</v>
      </c>
      <c r="K84" s="139">
        <f>VLOOKUP(B84,'75 - Summary Exhibit'!A:N,9,FALSE)</f>
        <v>0</v>
      </c>
      <c r="L84" s="139">
        <f>VLOOKUP(B84,'75 - Summary Exhibit'!A:N,10,FALSE)</f>
        <v>225169</v>
      </c>
      <c r="M84" s="139">
        <f>VLOOKUP(B84,'75 - Summary Exhibit'!A:N,11,FALSE)</f>
        <v>229690</v>
      </c>
      <c r="N84" s="139">
        <f>VLOOKUP(B84,'75 - Summary Exhibit'!A:N,12,FALSE)</f>
        <v>-15480</v>
      </c>
      <c r="O84" s="139">
        <f>VLOOKUP(B84,'75 - Summary Exhibit'!A:N,13,FALSE)</f>
        <v>164558</v>
      </c>
      <c r="P84" s="139">
        <f>N84+O84</f>
        <v>149078</v>
      </c>
      <c r="Q84" s="139">
        <f>VLOOKUP(B84,'75- Deferred Amortization'!A:G,3,FALSE)</f>
        <v>74545</v>
      </c>
      <c r="R84" s="139">
        <f>VLOOKUP(B84,'75- Deferred Amortization'!A:G,4,FALSE)</f>
        <v>1857</v>
      </c>
      <c r="S84" s="139">
        <f>VLOOKUP(B84,'75- Deferred Amortization'!A:G,5,FALSE)</f>
        <v>74435</v>
      </c>
      <c r="T84" s="139">
        <f>VLOOKUP(B84,'75- Deferred Amortization'!A:G,6,FALSE)</f>
        <v>-21541</v>
      </c>
      <c r="U84" s="139">
        <f>VLOOKUP(B84,'75- Deferred Amortization'!A:G,7,FALSE)</f>
        <v>0</v>
      </c>
      <c r="V84" s="139">
        <f t="shared" si="26"/>
        <v>0</v>
      </c>
      <c r="W84" s="139">
        <f t="shared" si="27"/>
        <v>1</v>
      </c>
      <c r="X84" s="138">
        <v>3</v>
      </c>
      <c r="Y84" s="138"/>
      <c r="Z84" s="208">
        <f>VLOOKUP(B84,'Noncap Contr Alloc'!A:C,3,FALSE)</f>
        <v>1109</v>
      </c>
      <c r="AA84" s="138"/>
      <c r="AB84" s="138"/>
      <c r="AC84" s="140">
        <v>898780</v>
      </c>
      <c r="AD84" s="140">
        <v>8726</v>
      </c>
      <c r="AE84" s="140">
        <v>7783</v>
      </c>
      <c r="AF84" s="140">
        <v>71959</v>
      </c>
      <c r="AG84" s="139">
        <v>721141</v>
      </c>
      <c r="AH84" s="139">
        <v>2487</v>
      </c>
      <c r="AI84" s="139">
        <v>0</v>
      </c>
      <c r="AJ84" s="139">
        <v>409056</v>
      </c>
      <c r="AK84" s="139">
        <v>129861</v>
      </c>
      <c r="AL84" s="138"/>
      <c r="AM84" s="139">
        <f t="shared" si="28"/>
        <v>-243624</v>
      </c>
      <c r="AN84" s="139">
        <f t="shared" si="29"/>
        <v>99829</v>
      </c>
      <c r="AO84" s="140">
        <f t="shared" si="30"/>
        <v>568</v>
      </c>
      <c r="AP84" s="139">
        <f t="shared" si="31"/>
        <v>-1660</v>
      </c>
      <c r="AQ84" s="140">
        <f t="shared" si="32"/>
        <v>19471</v>
      </c>
      <c r="AR84" s="139">
        <f t="shared" si="33"/>
        <v>-183887</v>
      </c>
      <c r="AS84" s="140">
        <f t="shared" si="34"/>
        <v>-54792</v>
      </c>
      <c r="AT84" s="9">
        <f t="shared" si="35"/>
        <v>-1041</v>
      </c>
      <c r="AU84" s="6">
        <f t="shared" si="36"/>
        <v>0</v>
      </c>
      <c r="AV84" s="285">
        <f t="shared" si="37"/>
        <v>843988</v>
      </c>
    </row>
    <row r="85" spans="1:48">
      <c r="A85" s="137" t="s">
        <v>168</v>
      </c>
      <c r="B85" s="138">
        <v>51000.3</v>
      </c>
      <c r="C85" s="139">
        <f>VLOOKUP(B85,'ER Contributions'!A:D,4,FALSE)</f>
        <v>1272317</v>
      </c>
      <c r="D85" s="141">
        <f>VLOOKUP(B85,'ER Contributions'!A:D,3,FALSE)</f>
        <v>7.716E-4</v>
      </c>
      <c r="E85" s="140">
        <f>VLOOKUP(B85,'75 - Summary Exhibit'!A:N,3,FALSE)</f>
        <v>20562300</v>
      </c>
      <c r="F85" s="140">
        <f>VLOOKUP(B85,'75 - Summary Exhibit'!A:N,4,FALSE)</f>
        <v>226431</v>
      </c>
      <c r="G85" s="140">
        <f>VLOOKUP(B85,'75 - Summary Exhibit'!A:N,5,FALSE)</f>
        <v>164262</v>
      </c>
      <c r="H85" s="140">
        <f>VLOOKUP(B85,'75 - Summary Exhibit'!A:N,6,FALSE)</f>
        <v>2227523</v>
      </c>
      <c r="I85" s="139">
        <f>VLOOKUP(B85,'75 - Summary Exhibit'!A:N,7,FALSE)</f>
        <v>2244197</v>
      </c>
      <c r="J85" s="139">
        <f>VLOOKUP(B85,'75 - Summary Exhibit'!A:N,8,FALSE)</f>
        <v>20147</v>
      </c>
      <c r="K85" s="139">
        <f>VLOOKUP(B85,'75 - Summary Exhibit'!A:N,9,FALSE)</f>
        <v>0</v>
      </c>
      <c r="L85" s="139">
        <f>VLOOKUP(B85,'75 - Summary Exhibit'!A:N,10,FALSE)</f>
        <v>5485856</v>
      </c>
      <c r="M85" s="139">
        <f>VLOOKUP(B85,'75 - Summary Exhibit'!A:N,11,FALSE)</f>
        <v>0</v>
      </c>
      <c r="N85" s="139">
        <f>VLOOKUP(B85,'75 - Summary Exhibit'!A:N,12,FALSE)</f>
        <v>-377127</v>
      </c>
      <c r="O85" s="139">
        <f>VLOOKUP(B85,'75 - Summary Exhibit'!A:N,13,FALSE)</f>
        <v>1251399</v>
      </c>
      <c r="P85" s="139">
        <f>N85+O85</f>
        <v>874272</v>
      </c>
      <c r="Q85" s="139">
        <f>VLOOKUP(B85,'75- Deferred Amortization'!A:G,3,FALSE)</f>
        <v>-205899</v>
      </c>
      <c r="R85" s="139">
        <f>VLOOKUP(B85,'75- Deferred Amortization'!A:G,4,FALSE)</f>
        <v>-537556</v>
      </c>
      <c r="S85" s="139">
        <f>VLOOKUP(B85,'75- Deferred Amortization'!A:G,5,FALSE)</f>
        <v>-248661</v>
      </c>
      <c r="T85" s="139">
        <f>VLOOKUP(B85,'75- Deferred Amortization'!A:G,6,FALSE)</f>
        <v>348527</v>
      </c>
      <c r="U85" s="139">
        <f>VLOOKUP(B85,'75- Deferred Amortization'!A:G,7,FALSE)</f>
        <v>0</v>
      </c>
      <c r="V85" s="139">
        <f t="shared" si="26"/>
        <v>0</v>
      </c>
      <c r="W85" s="139">
        <f t="shared" si="27"/>
        <v>-1</v>
      </c>
      <c r="X85" s="138">
        <v>3</v>
      </c>
      <c r="Y85" s="138"/>
      <c r="Z85" s="208">
        <f>VLOOKUP(B85,'Noncap Contr Alloc'!A:C,3,FALSE)</f>
        <v>27013</v>
      </c>
      <c r="AA85" s="138"/>
      <c r="AB85" s="138"/>
      <c r="AC85" s="140">
        <v>18476737</v>
      </c>
      <c r="AD85" s="140">
        <v>179385</v>
      </c>
      <c r="AE85" s="140">
        <v>160001</v>
      </c>
      <c r="AF85" s="140">
        <v>1479303</v>
      </c>
      <c r="AG85" s="139">
        <v>3487425</v>
      </c>
      <c r="AH85" s="139">
        <v>51127</v>
      </c>
      <c r="AI85" s="139">
        <v>0</v>
      </c>
      <c r="AJ85" s="139">
        <v>8409198</v>
      </c>
      <c r="AK85" s="139">
        <v>0</v>
      </c>
      <c r="AL85" s="138"/>
      <c r="AM85" s="139">
        <f t="shared" si="28"/>
        <v>-1243228</v>
      </c>
      <c r="AN85" s="139">
        <f t="shared" si="29"/>
        <v>0</v>
      </c>
      <c r="AO85" s="140">
        <f t="shared" si="30"/>
        <v>47046</v>
      </c>
      <c r="AP85" s="139">
        <f t="shared" si="31"/>
        <v>-30980</v>
      </c>
      <c r="AQ85" s="140">
        <f t="shared" si="32"/>
        <v>748220</v>
      </c>
      <c r="AR85" s="139">
        <f t="shared" si="33"/>
        <v>-2923342</v>
      </c>
      <c r="AS85" s="140">
        <f t="shared" si="34"/>
        <v>2085563</v>
      </c>
      <c r="AT85" s="9">
        <f t="shared" si="35"/>
        <v>4261</v>
      </c>
      <c r="AU85" s="6">
        <f t="shared" si="36"/>
        <v>0</v>
      </c>
      <c r="AV85" s="285">
        <f t="shared" si="37"/>
        <v>20562300</v>
      </c>
    </row>
    <row r="86" spans="1:48">
      <c r="A86" s="142" t="s">
        <v>158</v>
      </c>
      <c r="B86" s="142">
        <v>99000</v>
      </c>
      <c r="C86" s="143">
        <f>SUMIF($X$4:$X$85,1,C$4:C$85)</f>
        <v>350376608</v>
      </c>
      <c r="D86" s="143"/>
      <c r="E86" s="143">
        <f t="shared" ref="E86:M86" si="38">SUMIF($X$4:$X$85,1,E$4:E$85)</f>
        <v>6757008130</v>
      </c>
      <c r="F86" s="143">
        <f t="shared" si="38"/>
        <v>74407883</v>
      </c>
      <c r="G86" s="143">
        <f t="shared" si="38"/>
        <v>53978452</v>
      </c>
      <c r="H86" s="143">
        <f t="shared" si="38"/>
        <v>731989670</v>
      </c>
      <c r="I86" s="143">
        <f t="shared" si="38"/>
        <v>286424264</v>
      </c>
      <c r="J86" s="143">
        <f t="shared" si="38"/>
        <v>6620512</v>
      </c>
      <c r="K86" s="143">
        <f t="shared" si="38"/>
        <v>0</v>
      </c>
      <c r="L86" s="143">
        <f t="shared" si="38"/>
        <v>1802715236</v>
      </c>
      <c r="M86" s="143">
        <f t="shared" si="38"/>
        <v>203101308</v>
      </c>
      <c r="N86" s="143">
        <f t="shared" ref="N86:U86" si="39">SUMIF($X$4:$X$85,1,N$4:N$85)</f>
        <v>-123928730</v>
      </c>
      <c r="O86" s="143">
        <f t="shared" si="39"/>
        <v>162369889</v>
      </c>
      <c r="P86" s="143">
        <f t="shared" si="39"/>
        <v>38441159</v>
      </c>
      <c r="Q86" s="143">
        <f t="shared" si="39"/>
        <v>-313979902</v>
      </c>
      <c r="R86" s="143">
        <f t="shared" si="39"/>
        <v>-444815081</v>
      </c>
      <c r="S86" s="143">
        <f t="shared" si="39"/>
        <v>-224456231</v>
      </c>
      <c r="T86" s="143">
        <f t="shared" si="39"/>
        <v>117614433</v>
      </c>
      <c r="U86" s="143">
        <f t="shared" si="39"/>
        <v>0</v>
      </c>
      <c r="V86" s="197">
        <f>ROUND(((F86-AD86)+(G86-AE86)+(H86-AF86)+(I86-AG86)+(AI86-K86)+P86-(E86-AC86)-(J86-AH86)-(L86-AJ86)-(M86-AK86)-C86),0)-Z86</f>
        <v>-9</v>
      </c>
      <c r="W86" s="143">
        <f t="shared" si="27"/>
        <v>-6</v>
      </c>
      <c r="X86" s="142"/>
      <c r="Y86" s="142"/>
      <c r="Z86" s="208">
        <f>SUMIF($X$4:$X$85,1,Z$4:Z$85)</f>
        <v>8876679</v>
      </c>
      <c r="AA86" s="142"/>
      <c r="AB86" s="142"/>
      <c r="AC86" s="143">
        <v>6010508867</v>
      </c>
      <c r="AD86" s="143">
        <v>58354093</v>
      </c>
      <c r="AE86" s="143">
        <v>52048406</v>
      </c>
      <c r="AF86" s="143">
        <v>481219329</v>
      </c>
      <c r="AG86" s="143">
        <v>404507385</v>
      </c>
      <c r="AH86" s="143">
        <v>16631696</v>
      </c>
      <c r="AI86" s="143">
        <v>0</v>
      </c>
      <c r="AJ86" s="143">
        <v>2735524113</v>
      </c>
      <c r="AK86" s="143">
        <v>176921573</v>
      </c>
      <c r="AL86" s="143"/>
      <c r="AM86" s="143">
        <f>SUMIF($X$4:$X$85,1,AM$4:AM$85)</f>
        <v>-118083121</v>
      </c>
      <c r="AN86" s="143">
        <f>SUMIF($X$4:$X$85,1,AN$4:AN$85)</f>
        <v>26179735</v>
      </c>
      <c r="AO86" s="162">
        <f t="shared" si="30"/>
        <v>16053790</v>
      </c>
      <c r="AP86" s="143">
        <f t="shared" si="31"/>
        <v>-10011184</v>
      </c>
      <c r="AQ86" s="162">
        <f t="shared" si="32"/>
        <v>250770341</v>
      </c>
      <c r="AR86" s="143">
        <f t="shared" si="33"/>
        <v>-932808877</v>
      </c>
      <c r="AS86" s="162">
        <f t="shared" si="34"/>
        <v>746499263</v>
      </c>
      <c r="AT86" s="9">
        <f t="shared" si="35"/>
        <v>1930046</v>
      </c>
      <c r="AU86" s="6">
        <f t="shared" si="36"/>
        <v>0</v>
      </c>
      <c r="AV86" s="285">
        <f t="shared" si="37"/>
        <v>6757008130</v>
      </c>
    </row>
    <row r="87" spans="1:48">
      <c r="A87" s="144" t="s">
        <v>159</v>
      </c>
      <c r="B87" s="142">
        <v>99100</v>
      </c>
      <c r="C87" s="143">
        <f>SUMIF($X$4:$X$85,2,C$4:C$85)</f>
        <v>69141263</v>
      </c>
      <c r="D87" s="143"/>
      <c r="E87" s="143">
        <f t="shared" ref="E87:U87" si="40">SUMIF($X$4:$X$85,2,E$4:E$85)</f>
        <v>1295344321</v>
      </c>
      <c r="F87" s="143">
        <f t="shared" si="40"/>
        <v>14264276</v>
      </c>
      <c r="G87" s="143">
        <f t="shared" si="40"/>
        <v>10347876</v>
      </c>
      <c r="H87" s="143">
        <f t="shared" si="40"/>
        <v>140325220</v>
      </c>
      <c r="I87" s="143">
        <f t="shared" si="40"/>
        <v>80862310</v>
      </c>
      <c r="J87" s="143">
        <f t="shared" si="40"/>
        <v>1269174</v>
      </c>
      <c r="K87" s="143">
        <f t="shared" si="40"/>
        <v>0</v>
      </c>
      <c r="L87" s="143">
        <f t="shared" si="40"/>
        <v>345587412</v>
      </c>
      <c r="M87" s="143">
        <f t="shared" si="40"/>
        <v>69396864</v>
      </c>
      <c r="N87" s="143">
        <f t="shared" si="40"/>
        <v>-23757618</v>
      </c>
      <c r="O87" s="143">
        <f t="shared" si="40"/>
        <v>-2469766</v>
      </c>
      <c r="P87" s="143">
        <f t="shared" si="40"/>
        <v>-26227384</v>
      </c>
      <c r="Q87" s="143">
        <f t="shared" si="40"/>
        <v>-82699638</v>
      </c>
      <c r="R87" s="143">
        <f t="shared" si="40"/>
        <v>-85713873</v>
      </c>
      <c r="S87" s="143">
        <f t="shared" si="40"/>
        <v>-30831825</v>
      </c>
      <c r="T87" s="143">
        <f t="shared" si="40"/>
        <v>28791571</v>
      </c>
      <c r="U87" s="143">
        <f t="shared" si="40"/>
        <v>0</v>
      </c>
      <c r="V87" s="143">
        <f t="shared" si="26"/>
        <v>-5</v>
      </c>
      <c r="W87" s="143">
        <f t="shared" si="27"/>
        <v>-3</v>
      </c>
      <c r="X87" s="142"/>
      <c r="Y87" s="142"/>
      <c r="Z87" s="208">
        <f>SUMIF($X$4:$X$85,2,Z$4:Z$85)</f>
        <v>1701689</v>
      </c>
      <c r="AA87" s="142"/>
      <c r="AB87" s="142"/>
      <c r="AC87" s="143">
        <v>1130722053</v>
      </c>
      <c r="AD87" s="143">
        <v>10977814</v>
      </c>
      <c r="AE87" s="143">
        <v>9791558</v>
      </c>
      <c r="AF87" s="143">
        <v>90528994</v>
      </c>
      <c r="AG87" s="143">
        <v>66269478</v>
      </c>
      <c r="AH87" s="143">
        <v>3128825</v>
      </c>
      <c r="AI87" s="143">
        <v>0</v>
      </c>
      <c r="AJ87" s="143">
        <v>514618230</v>
      </c>
      <c r="AK87" s="143">
        <v>91967156</v>
      </c>
      <c r="AL87" s="143"/>
      <c r="AM87" s="143">
        <f>SUMIF($X$4:$X$85,2,AM$4:AM$85)</f>
        <v>14592832</v>
      </c>
      <c r="AN87" s="143">
        <f>SUMIF($X$4:$X$85,2,AN$4:AN$85)</f>
        <v>-22570292</v>
      </c>
      <c r="AO87" s="162">
        <f t="shared" si="30"/>
        <v>3286462</v>
      </c>
      <c r="AP87" s="143">
        <f t="shared" si="31"/>
        <v>-1859651</v>
      </c>
      <c r="AQ87" s="162">
        <f t="shared" si="32"/>
        <v>49796226</v>
      </c>
      <c r="AR87" s="143">
        <f t="shared" si="33"/>
        <v>-169030818</v>
      </c>
      <c r="AS87" s="162">
        <f t="shared" si="34"/>
        <v>164622268</v>
      </c>
      <c r="AT87" s="9">
        <f t="shared" si="35"/>
        <v>556318</v>
      </c>
      <c r="AU87" s="6">
        <f t="shared" si="36"/>
        <v>0</v>
      </c>
      <c r="AV87" s="285">
        <f t="shared" si="37"/>
        <v>1295344321</v>
      </c>
    </row>
    <row r="88" spans="1:48">
      <c r="A88" s="144" t="s">
        <v>160</v>
      </c>
      <c r="B88" s="142">
        <v>99200</v>
      </c>
      <c r="C88" s="143">
        <f>SUMIF($X$4:$X$85,3,C$4:C$85)</f>
        <v>2680407</v>
      </c>
      <c r="D88" s="143"/>
      <c r="E88" s="143">
        <f t="shared" ref="E88:U88" si="41">SUMIF($X$4:$X$85,3,E$4:E$85)</f>
        <v>44999253</v>
      </c>
      <c r="F88" s="143">
        <f t="shared" si="41"/>
        <v>495529</v>
      </c>
      <c r="G88" s="143">
        <f t="shared" si="41"/>
        <v>359477</v>
      </c>
      <c r="H88" s="143">
        <f t="shared" si="41"/>
        <v>4874789</v>
      </c>
      <c r="I88" s="143">
        <f t="shared" si="41"/>
        <v>6078599</v>
      </c>
      <c r="J88" s="143">
        <f t="shared" si="41"/>
        <v>44091</v>
      </c>
      <c r="K88" s="143">
        <f t="shared" si="41"/>
        <v>0</v>
      </c>
      <c r="L88" s="143">
        <f t="shared" si="41"/>
        <v>12005437</v>
      </c>
      <c r="M88" s="143">
        <f t="shared" si="41"/>
        <v>993896</v>
      </c>
      <c r="N88" s="143">
        <f t="shared" si="41"/>
        <v>-825321</v>
      </c>
      <c r="O88" s="143">
        <f t="shared" si="41"/>
        <v>2774903</v>
      </c>
      <c r="P88" s="143">
        <f t="shared" si="41"/>
        <v>1949582</v>
      </c>
      <c r="Q88" s="143">
        <f t="shared" si="41"/>
        <v>-427140</v>
      </c>
      <c r="R88" s="143">
        <f t="shared" si="41"/>
        <v>-1140141</v>
      </c>
      <c r="S88" s="143">
        <f t="shared" si="41"/>
        <v>-498873</v>
      </c>
      <c r="T88" s="143">
        <f t="shared" si="41"/>
        <v>831124</v>
      </c>
      <c r="U88" s="143">
        <f t="shared" si="41"/>
        <v>0</v>
      </c>
      <c r="V88" s="197">
        <f t="shared" si="26"/>
        <v>0</v>
      </c>
      <c r="W88" s="143">
        <f t="shared" si="27"/>
        <v>0</v>
      </c>
      <c r="X88" s="142"/>
      <c r="Y88" s="142"/>
      <c r="Z88" s="208">
        <f>SUMIF($X$4:$X$85,3,Z$4:Z$85)</f>
        <v>59116</v>
      </c>
      <c r="AA88" s="142"/>
      <c r="AB88" s="142"/>
      <c r="AC88" s="143">
        <v>40107093</v>
      </c>
      <c r="AD88" s="143">
        <v>389387</v>
      </c>
      <c r="AE88" s="143">
        <v>347310</v>
      </c>
      <c r="AF88" s="143">
        <v>3211094</v>
      </c>
      <c r="AG88" s="143">
        <v>8472609</v>
      </c>
      <c r="AH88" s="143">
        <v>110980</v>
      </c>
      <c r="AI88" s="143">
        <v>0</v>
      </c>
      <c r="AJ88" s="143">
        <v>18253683</v>
      </c>
      <c r="AK88" s="143">
        <v>972868</v>
      </c>
      <c r="AL88" s="143"/>
      <c r="AM88" s="143">
        <f>SUMIF($X$4:$X$85,3,AM$4:AM$85)</f>
        <v>-2394010</v>
      </c>
      <c r="AN88" s="143">
        <f>SUMIF($X$4:$X$85,3,AN$4:AN$85)</f>
        <v>21028</v>
      </c>
      <c r="AO88" s="162">
        <f t="shared" si="30"/>
        <v>106142</v>
      </c>
      <c r="AP88" s="143">
        <f t="shared" si="31"/>
        <v>-66889</v>
      </c>
      <c r="AQ88" s="162">
        <f t="shared" si="32"/>
        <v>1663695</v>
      </c>
      <c r="AR88" s="143">
        <f t="shared" si="33"/>
        <v>-6248246</v>
      </c>
      <c r="AS88" s="162">
        <f t="shared" si="34"/>
        <v>4892160</v>
      </c>
      <c r="AT88" s="9">
        <f t="shared" si="35"/>
        <v>12167</v>
      </c>
      <c r="AU88" s="6">
        <f t="shared" si="36"/>
        <v>0</v>
      </c>
      <c r="AV88" s="285">
        <f t="shared" si="37"/>
        <v>44999253</v>
      </c>
    </row>
    <row r="91" spans="1:48">
      <c r="A91" s="2"/>
    </row>
    <row r="92" spans="1:48" ht="67.2" customHeight="1">
      <c r="A92" s="316" t="s">
        <v>495</v>
      </c>
      <c r="B92" s="317"/>
      <c r="C92" s="317"/>
      <c r="D92" s="317"/>
      <c r="E92" s="317"/>
      <c r="F92" s="317"/>
      <c r="V92" s="323" t="s">
        <v>487</v>
      </c>
      <c r="W92" s="324"/>
    </row>
    <row r="93" spans="1:48">
      <c r="A93" s="174"/>
      <c r="B93" s="174"/>
      <c r="C93" s="6"/>
      <c r="D93" s="7"/>
    </row>
    <row r="94" spans="1:48">
      <c r="A94" s="174"/>
      <c r="B94" s="174"/>
      <c r="C94" s="6"/>
      <c r="D94" s="7"/>
    </row>
    <row r="95" spans="1:48">
      <c r="A95" s="174"/>
      <c r="B95" s="174"/>
      <c r="C95" s="6"/>
      <c r="D95" s="7"/>
    </row>
    <row r="96" spans="1:48">
      <c r="A96" s="174"/>
      <c r="B96" s="174"/>
    </row>
    <row r="97" spans="1:2">
      <c r="A97" s="174"/>
      <c r="B97" s="174"/>
    </row>
    <row r="98" spans="1:2">
      <c r="A98" s="174"/>
      <c r="B98" s="174"/>
    </row>
    <row r="99" spans="1:2">
      <c r="A99" s="174"/>
      <c r="B99" s="174"/>
    </row>
    <row r="100" spans="1:2">
      <c r="A100" s="174"/>
      <c r="B100" s="174"/>
    </row>
    <row r="101" spans="1:2">
      <c r="A101" s="174"/>
      <c r="B101" s="174"/>
    </row>
    <row r="102" spans="1:2">
      <c r="A102" s="174"/>
      <c r="B102" s="174"/>
    </row>
    <row r="103" spans="1:2">
      <c r="A103" s="174"/>
      <c r="B103" s="174"/>
    </row>
  </sheetData>
  <sheetProtection algorithmName="SHA-512" hashValue="ttm7NYG0TA8cYAzqO0i3N8MaFV4J4vBlucZE03eiIcd2vbeOCFUaOwUqdaxYdpfmCusqW2UzaubojABGo2I8GA==" saltValue="CtKh0YvvseWPkdQlxsEuHQ==" spinCount="100000" sheet="1" objects="1" scenarios="1"/>
  <sortState xmlns:xlrd2="http://schemas.microsoft.com/office/spreadsheetml/2017/richdata2" ref="A81:AN85">
    <sortCondition ref="B81:B85"/>
  </sortState>
  <mergeCells count="8">
    <mergeCell ref="A92:F92"/>
    <mergeCell ref="AH2:AK2"/>
    <mergeCell ref="J2:M2"/>
    <mergeCell ref="N2:P2"/>
    <mergeCell ref="F2:I2"/>
    <mergeCell ref="Q2:U2"/>
    <mergeCell ref="AD2:AG2"/>
    <mergeCell ref="V92:W9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18"/>
  <sheetViews>
    <sheetView workbookViewId="0">
      <pane ySplit="2" topLeftCell="A3" activePane="bottomLeft" state="frozen"/>
      <selection pane="bottomLeft" activeCell="E300" sqref="E300"/>
    </sheetView>
  </sheetViews>
  <sheetFormatPr defaultRowHeight="13.2"/>
  <cols>
    <col min="1" max="1" width="15" customWidth="1"/>
    <col min="2" max="2" width="57.77734375" customWidth="1"/>
    <col min="3" max="3" width="16.77734375" customWidth="1"/>
    <col min="4" max="4" width="18.44140625" style="6" customWidth="1"/>
    <col min="5" max="5" width="30.21875" customWidth="1"/>
    <col min="6" max="6" width="14.44140625" style="6" customWidth="1"/>
  </cols>
  <sheetData>
    <row r="1" spans="1:11">
      <c r="A1" s="5">
        <v>1</v>
      </c>
      <c r="B1" s="5">
        <v>2</v>
      </c>
      <c r="C1" s="5">
        <v>3</v>
      </c>
      <c r="D1" s="177">
        <v>4</v>
      </c>
      <c r="F1" s="190" t="s">
        <v>879</v>
      </c>
      <c r="G1" s="142"/>
      <c r="H1" s="142"/>
      <c r="I1" s="142"/>
      <c r="J1" s="142"/>
      <c r="K1" s="142"/>
    </row>
    <row r="2" spans="1:11" ht="38.25" customHeight="1">
      <c r="A2" s="180" t="s">
        <v>163</v>
      </c>
      <c r="B2" s="133" t="s">
        <v>165</v>
      </c>
      <c r="C2" s="48" t="s">
        <v>170</v>
      </c>
      <c r="D2" s="178" t="s">
        <v>35</v>
      </c>
      <c r="F2" s="191"/>
    </row>
    <row r="3" spans="1:11">
      <c r="A3" s="245">
        <v>10200</v>
      </c>
      <c r="B3" s="237" t="s">
        <v>245</v>
      </c>
      <c r="C3" s="257">
        <v>1.1092000000000001E-3</v>
      </c>
      <c r="D3" s="258">
        <v>1452028</v>
      </c>
      <c r="F3" s="179"/>
    </row>
    <row r="4" spans="1:11">
      <c r="A4" s="246">
        <v>10400</v>
      </c>
      <c r="B4" s="229" t="s">
        <v>246</v>
      </c>
      <c r="C4" s="259">
        <v>2.9764000000000001E-3</v>
      </c>
      <c r="D4" s="252">
        <v>3886870</v>
      </c>
      <c r="F4" s="179"/>
    </row>
    <row r="5" spans="1:11">
      <c r="A5" s="245">
        <v>10500</v>
      </c>
      <c r="B5" s="237" t="s">
        <v>503</v>
      </c>
      <c r="C5" s="257">
        <v>6.5359999999999995E-4</v>
      </c>
      <c r="D5" s="258">
        <v>879658</v>
      </c>
      <c r="F5" s="179"/>
    </row>
    <row r="6" spans="1:11">
      <c r="A6" s="246">
        <v>10700</v>
      </c>
      <c r="B6" s="229" t="s">
        <v>247</v>
      </c>
      <c r="C6" s="259">
        <v>4.4016999999999997E-3</v>
      </c>
      <c r="D6" s="252">
        <v>6213329</v>
      </c>
      <c r="F6" s="179"/>
    </row>
    <row r="7" spans="1:11">
      <c r="A7" s="245">
        <v>10800</v>
      </c>
      <c r="B7" s="237" t="s">
        <v>248</v>
      </c>
      <c r="C7" s="257">
        <v>1.8941900000000001E-2</v>
      </c>
      <c r="D7" s="258">
        <v>28068276</v>
      </c>
      <c r="F7" s="179"/>
    </row>
    <row r="8" spans="1:11">
      <c r="A8" s="246">
        <v>10850</v>
      </c>
      <c r="B8" s="229" t="s">
        <v>504</v>
      </c>
      <c r="C8" s="259">
        <v>1.4809999999999999E-4</v>
      </c>
      <c r="D8" s="252">
        <v>277827</v>
      </c>
      <c r="F8" s="179"/>
    </row>
    <row r="9" spans="1:11">
      <c r="A9" s="245">
        <v>10900</v>
      </c>
      <c r="B9" s="237" t="s">
        <v>249</v>
      </c>
      <c r="C9" s="257">
        <v>1.5564999999999999E-3</v>
      </c>
      <c r="D9" s="258">
        <v>2523265</v>
      </c>
      <c r="F9" s="179"/>
    </row>
    <row r="10" spans="1:11">
      <c r="A10" s="246">
        <v>10910</v>
      </c>
      <c r="B10" s="229" t="s">
        <v>505</v>
      </c>
      <c r="C10" s="259">
        <v>4.7629999999999998E-4</v>
      </c>
      <c r="D10" s="252">
        <v>724939</v>
      </c>
      <c r="F10" s="179"/>
    </row>
    <row r="11" spans="1:11">
      <c r="A11" s="245">
        <v>10930</v>
      </c>
      <c r="B11" s="237" t="s">
        <v>506</v>
      </c>
      <c r="C11" s="257">
        <v>5.2782000000000003E-3</v>
      </c>
      <c r="D11" s="258">
        <v>7990082</v>
      </c>
      <c r="F11" s="179"/>
    </row>
    <row r="12" spans="1:11">
      <c r="A12" s="246">
        <v>10940</v>
      </c>
      <c r="B12" s="229" t="s">
        <v>489</v>
      </c>
      <c r="C12" s="259">
        <v>7.0310000000000001E-4</v>
      </c>
      <c r="D12" s="252">
        <v>1105384</v>
      </c>
      <c r="F12" s="179"/>
    </row>
    <row r="13" spans="1:11">
      <c r="A13" s="245">
        <v>10950</v>
      </c>
      <c r="B13" s="237" t="s">
        <v>36</v>
      </c>
      <c r="C13" s="257">
        <v>1.0020000000000001E-3</v>
      </c>
      <c r="D13" s="258">
        <v>1399069</v>
      </c>
      <c r="F13" s="179"/>
    </row>
    <row r="14" spans="1:11">
      <c r="A14" s="246">
        <v>11050</v>
      </c>
      <c r="B14" s="229" t="s">
        <v>507</v>
      </c>
      <c r="C14" s="259">
        <v>2.1019999999999999E-4</v>
      </c>
      <c r="D14" s="252">
        <v>375313</v>
      </c>
      <c r="F14" s="179"/>
    </row>
    <row r="15" spans="1:11">
      <c r="A15" s="245">
        <v>11300</v>
      </c>
      <c r="B15" s="237" t="s">
        <v>508</v>
      </c>
      <c r="C15" s="257">
        <v>4.1327999999999998E-3</v>
      </c>
      <c r="D15" s="258">
        <v>6618177</v>
      </c>
      <c r="F15" s="179"/>
    </row>
    <row r="16" spans="1:11">
      <c r="A16" s="246">
        <v>11310</v>
      </c>
      <c r="B16" s="229" t="s">
        <v>112</v>
      </c>
      <c r="C16" s="259">
        <v>5.0109999999999998E-4</v>
      </c>
      <c r="D16" s="252">
        <v>766943</v>
      </c>
      <c r="F16" s="179"/>
    </row>
    <row r="17" spans="1:6">
      <c r="A17" s="245">
        <v>11600</v>
      </c>
      <c r="B17" s="237" t="s">
        <v>250</v>
      </c>
      <c r="C17" s="257">
        <v>2.3291000000000002E-3</v>
      </c>
      <c r="D17" s="258">
        <v>2763770</v>
      </c>
      <c r="F17" s="179"/>
    </row>
    <row r="18" spans="1:6">
      <c r="A18" s="246">
        <v>11900</v>
      </c>
      <c r="B18" s="229" t="s">
        <v>251</v>
      </c>
      <c r="C18" s="259">
        <v>3.4650000000000002E-4</v>
      </c>
      <c r="D18" s="252">
        <v>389268</v>
      </c>
      <c r="F18" s="179"/>
    </row>
    <row r="19" spans="1:6">
      <c r="A19" s="245">
        <v>12100</v>
      </c>
      <c r="B19" s="237" t="s">
        <v>509</v>
      </c>
      <c r="C19" s="257">
        <v>2.7750000000000002E-4</v>
      </c>
      <c r="D19" s="258">
        <v>402602</v>
      </c>
      <c r="F19" s="179"/>
    </row>
    <row r="20" spans="1:6">
      <c r="A20" s="246">
        <v>12150</v>
      </c>
      <c r="B20" s="229" t="s">
        <v>510</v>
      </c>
      <c r="C20" s="259">
        <v>1.15E-5</v>
      </c>
      <c r="D20" s="252">
        <v>56283</v>
      </c>
      <c r="F20" s="179"/>
    </row>
    <row r="21" spans="1:6">
      <c r="A21" s="245">
        <v>12160</v>
      </c>
      <c r="B21" s="237" t="s">
        <v>252</v>
      </c>
      <c r="C21" s="257">
        <v>1.7056E-3</v>
      </c>
      <c r="D21" s="258">
        <v>2645948</v>
      </c>
      <c r="F21" s="179"/>
    </row>
    <row r="22" spans="1:6">
      <c r="A22" s="246">
        <v>12220</v>
      </c>
      <c r="B22" s="229" t="s">
        <v>511</v>
      </c>
      <c r="C22" s="259">
        <v>4.0055100000000003E-2</v>
      </c>
      <c r="D22" s="252">
        <v>59399740</v>
      </c>
      <c r="F22" s="179"/>
    </row>
    <row r="23" spans="1:6">
      <c r="A23" s="245">
        <v>12510</v>
      </c>
      <c r="B23" s="237" t="s">
        <v>253</v>
      </c>
      <c r="C23" s="257">
        <v>3.9664000000000001E-3</v>
      </c>
      <c r="D23" s="258">
        <v>6227157</v>
      </c>
      <c r="F23" s="179"/>
    </row>
    <row r="24" spans="1:6">
      <c r="A24" s="246">
        <v>12600</v>
      </c>
      <c r="B24" s="229" t="s">
        <v>512</v>
      </c>
      <c r="C24" s="259">
        <v>1.6620000000000001E-3</v>
      </c>
      <c r="D24" s="252">
        <v>2755041</v>
      </c>
      <c r="F24" s="179"/>
    </row>
    <row r="25" spans="1:6">
      <c r="A25" s="245">
        <v>12700</v>
      </c>
      <c r="B25" s="237" t="s">
        <v>513</v>
      </c>
      <c r="C25" s="257">
        <v>9.9099999999999991E-4</v>
      </c>
      <c r="D25" s="258">
        <v>1597476</v>
      </c>
      <c r="F25" s="179"/>
    </row>
    <row r="26" spans="1:6">
      <c r="A26" s="246">
        <v>13500</v>
      </c>
      <c r="B26" s="229" t="s">
        <v>514</v>
      </c>
      <c r="C26" s="259">
        <v>3.9110000000000004E-3</v>
      </c>
      <c r="D26" s="252">
        <v>5741227</v>
      </c>
      <c r="F26" s="179"/>
    </row>
    <row r="27" spans="1:6">
      <c r="A27" s="245">
        <v>13700</v>
      </c>
      <c r="B27" s="237" t="s">
        <v>515</v>
      </c>
      <c r="C27" s="257">
        <v>4.3970000000000001E-4</v>
      </c>
      <c r="D27" s="258">
        <v>712227</v>
      </c>
      <c r="F27" s="179"/>
    </row>
    <row r="28" spans="1:6">
      <c r="A28" s="246">
        <v>14300</v>
      </c>
      <c r="B28" s="229" t="s">
        <v>516</v>
      </c>
      <c r="C28" s="259">
        <v>1.3550999999999999E-3</v>
      </c>
      <c r="D28" s="260">
        <v>1947111</v>
      </c>
      <c r="F28" s="179"/>
    </row>
    <row r="29" spans="1:6">
      <c r="A29" s="245">
        <v>14300.2</v>
      </c>
      <c r="B29" s="237" t="s">
        <v>885</v>
      </c>
      <c r="C29" s="257">
        <v>1.7689999999999999E-4</v>
      </c>
      <c r="D29" s="260">
        <v>264206</v>
      </c>
      <c r="F29" s="179"/>
    </row>
    <row r="30" spans="1:6">
      <c r="A30" s="246">
        <v>18400</v>
      </c>
      <c r="B30" s="229" t="s">
        <v>517</v>
      </c>
      <c r="C30" s="259">
        <v>4.7032999999999997E-3</v>
      </c>
      <c r="D30" s="252">
        <v>6827265</v>
      </c>
      <c r="F30" s="179"/>
    </row>
    <row r="31" spans="1:6">
      <c r="A31" s="245">
        <v>18600</v>
      </c>
      <c r="B31" s="237" t="s">
        <v>518</v>
      </c>
      <c r="C31" s="257">
        <v>9.3000000000000007E-6</v>
      </c>
      <c r="D31" s="258">
        <v>21455</v>
      </c>
      <c r="F31" s="179"/>
    </row>
    <row r="32" spans="1:6">
      <c r="A32" s="246">
        <v>18640</v>
      </c>
      <c r="B32" s="229" t="s">
        <v>241</v>
      </c>
      <c r="C32" s="259">
        <v>1.7999999999999999E-6</v>
      </c>
      <c r="D32" s="252">
        <v>2839</v>
      </c>
      <c r="F32" s="179"/>
    </row>
    <row r="33" spans="1:6">
      <c r="A33" s="245">
        <v>18740</v>
      </c>
      <c r="B33" s="237" t="s">
        <v>519</v>
      </c>
      <c r="C33" s="257">
        <v>0</v>
      </c>
      <c r="D33" s="258">
        <v>11228</v>
      </c>
      <c r="F33" s="179"/>
    </row>
    <row r="34" spans="1:6">
      <c r="A34" s="246">
        <v>18780</v>
      </c>
      <c r="B34" s="229" t="s">
        <v>520</v>
      </c>
      <c r="C34" s="259">
        <v>2.4700000000000001E-5</v>
      </c>
      <c r="D34" s="252">
        <v>26452</v>
      </c>
      <c r="F34" s="179"/>
    </row>
    <row r="35" spans="1:6">
      <c r="A35" s="245">
        <v>19005</v>
      </c>
      <c r="B35" s="237" t="s">
        <v>521</v>
      </c>
      <c r="C35" s="257">
        <v>8.1079999999999998E-4</v>
      </c>
      <c r="D35" s="258">
        <v>1304260</v>
      </c>
      <c r="F35" s="179"/>
    </row>
    <row r="36" spans="1:6">
      <c r="A36" s="246">
        <v>19100</v>
      </c>
      <c r="B36" s="229" t="s">
        <v>254</v>
      </c>
      <c r="C36" s="259">
        <v>1.8356399999999998E-2</v>
      </c>
      <c r="D36" s="252">
        <v>37228000</v>
      </c>
      <c r="F36" s="179"/>
    </row>
    <row r="37" spans="1:6">
      <c r="A37" s="245">
        <v>19120</v>
      </c>
      <c r="B37" s="237" t="s">
        <v>886</v>
      </c>
      <c r="C37" s="257">
        <v>4.4693900000000002E-2</v>
      </c>
      <c r="D37" s="258">
        <v>45419547</v>
      </c>
      <c r="F37" s="179"/>
    </row>
    <row r="38" spans="1:6">
      <c r="A38" s="246">
        <v>20100</v>
      </c>
      <c r="B38" s="229" t="s">
        <v>37</v>
      </c>
      <c r="C38" s="259">
        <v>1.07311E-2</v>
      </c>
      <c r="D38" s="252">
        <v>15413209</v>
      </c>
      <c r="F38" s="179"/>
    </row>
    <row r="39" spans="1:6">
      <c r="A39" s="245">
        <v>20200</v>
      </c>
      <c r="B39" s="237" t="s">
        <v>38</v>
      </c>
      <c r="C39" s="257">
        <v>1.4972E-3</v>
      </c>
      <c r="D39" s="258">
        <v>2228138</v>
      </c>
      <c r="F39" s="179"/>
    </row>
    <row r="40" spans="1:6">
      <c r="A40" s="246">
        <v>20300</v>
      </c>
      <c r="B40" s="229" t="s">
        <v>39</v>
      </c>
      <c r="C40" s="259">
        <v>2.2347200000000001E-2</v>
      </c>
      <c r="D40" s="252">
        <v>30867397</v>
      </c>
      <c r="F40" s="179"/>
    </row>
    <row r="41" spans="1:6">
      <c r="A41" s="245">
        <v>20400</v>
      </c>
      <c r="B41" s="237" t="s">
        <v>40</v>
      </c>
      <c r="C41" s="257">
        <v>1.2289E-3</v>
      </c>
      <c r="D41" s="258">
        <v>1808070</v>
      </c>
      <c r="F41" s="179"/>
    </row>
    <row r="42" spans="1:6">
      <c r="A42" s="246">
        <v>20600</v>
      </c>
      <c r="B42" s="229" t="s">
        <v>41</v>
      </c>
      <c r="C42" s="259">
        <v>2.5574999999999999E-3</v>
      </c>
      <c r="D42" s="252">
        <v>4065158</v>
      </c>
      <c r="F42" s="179"/>
    </row>
    <row r="43" spans="1:6">
      <c r="A43" s="245">
        <v>20700</v>
      </c>
      <c r="B43" s="237" t="s">
        <v>42</v>
      </c>
      <c r="C43" s="257">
        <v>5.7457999999999997E-3</v>
      </c>
      <c r="D43" s="258">
        <v>8578061</v>
      </c>
      <c r="F43" s="179"/>
    </row>
    <row r="44" spans="1:6">
      <c r="A44" s="246">
        <v>20800</v>
      </c>
      <c r="B44" s="229" t="s">
        <v>43</v>
      </c>
      <c r="C44" s="259">
        <v>3.9094999999999998E-3</v>
      </c>
      <c r="D44" s="252">
        <v>6056123</v>
      </c>
      <c r="F44" s="179"/>
    </row>
    <row r="45" spans="1:6">
      <c r="A45" s="245">
        <v>20900</v>
      </c>
      <c r="B45" s="237" t="s">
        <v>887</v>
      </c>
      <c r="C45" s="257">
        <v>9.7169000000000005E-3</v>
      </c>
      <c r="D45" s="258">
        <v>13185785</v>
      </c>
      <c r="F45" s="179"/>
    </row>
    <row r="46" spans="1:6">
      <c r="A46" s="246">
        <v>21200</v>
      </c>
      <c r="B46" s="229" t="s">
        <v>45</v>
      </c>
      <c r="C46" s="259">
        <v>3.0677999999999999E-3</v>
      </c>
      <c r="D46" s="252">
        <v>4240650</v>
      </c>
      <c r="F46" s="179"/>
    </row>
    <row r="47" spans="1:6">
      <c r="A47" s="245">
        <v>21300</v>
      </c>
      <c r="B47" s="237" t="s">
        <v>46</v>
      </c>
      <c r="C47" s="257">
        <v>3.8130299999999999E-2</v>
      </c>
      <c r="D47" s="258">
        <v>52343688</v>
      </c>
      <c r="F47" s="179"/>
    </row>
    <row r="48" spans="1:6">
      <c r="A48" s="246">
        <v>21520</v>
      </c>
      <c r="B48" s="229" t="s">
        <v>490</v>
      </c>
      <c r="C48" s="259">
        <v>7.3100499999999999E-2</v>
      </c>
      <c r="D48" s="252">
        <v>101068064</v>
      </c>
      <c r="F48" s="179"/>
    </row>
    <row r="49" spans="1:6">
      <c r="A49" s="245">
        <v>21525</v>
      </c>
      <c r="B49" s="237" t="s">
        <v>522</v>
      </c>
      <c r="C49" s="257">
        <v>1.8596999999999999E-3</v>
      </c>
      <c r="D49" s="258">
        <v>2487157</v>
      </c>
      <c r="F49" s="179"/>
    </row>
    <row r="50" spans="1:6" ht="13.8">
      <c r="A50" s="256">
        <v>21525.200000000001</v>
      </c>
      <c r="B50" s="261" t="s">
        <v>883</v>
      </c>
      <c r="C50" s="259">
        <v>2.074E-4</v>
      </c>
      <c r="D50" s="252">
        <v>313088</v>
      </c>
      <c r="F50" s="179"/>
    </row>
    <row r="51" spans="1:6">
      <c r="A51" s="245">
        <v>21550</v>
      </c>
      <c r="B51" s="237" t="s">
        <v>48</v>
      </c>
      <c r="C51" s="257">
        <v>4.4517800000000003E-2</v>
      </c>
      <c r="D51" s="258">
        <v>59257493</v>
      </c>
      <c r="F51" s="179"/>
    </row>
    <row r="52" spans="1:6">
      <c r="A52" s="246">
        <v>21570</v>
      </c>
      <c r="B52" s="229" t="s">
        <v>255</v>
      </c>
      <c r="C52" s="259">
        <v>1.8149999999999999E-4</v>
      </c>
      <c r="D52" s="252">
        <v>313759</v>
      </c>
      <c r="F52" s="179"/>
    </row>
    <row r="53" spans="1:6">
      <c r="A53" s="245">
        <v>21800</v>
      </c>
      <c r="B53" s="237" t="s">
        <v>49</v>
      </c>
      <c r="C53" s="257">
        <v>5.6686999999999996E-3</v>
      </c>
      <c r="D53" s="258">
        <v>7846644</v>
      </c>
      <c r="F53" s="179"/>
    </row>
    <row r="54" spans="1:6">
      <c r="A54" s="246">
        <v>21900</v>
      </c>
      <c r="B54" s="229" t="s">
        <v>50</v>
      </c>
      <c r="C54" s="259">
        <v>2.5092999999999999E-3</v>
      </c>
      <c r="D54" s="252">
        <v>3802999</v>
      </c>
      <c r="F54" s="179"/>
    </row>
    <row r="55" spans="1:6">
      <c r="A55" s="245">
        <v>22000</v>
      </c>
      <c r="B55" s="237" t="s">
        <v>256</v>
      </c>
      <c r="C55" s="257">
        <v>3.6083E-3</v>
      </c>
      <c r="D55" s="258">
        <v>5170041</v>
      </c>
      <c r="F55" s="179"/>
    </row>
    <row r="56" spans="1:6">
      <c r="A56" s="246">
        <v>23000</v>
      </c>
      <c r="B56" s="229" t="s">
        <v>51</v>
      </c>
      <c r="C56" s="259">
        <v>2.2076999999999999E-3</v>
      </c>
      <c r="D56" s="252">
        <v>3165237</v>
      </c>
      <c r="F56" s="179"/>
    </row>
    <row r="57" spans="1:6">
      <c r="A57" s="245">
        <v>23100</v>
      </c>
      <c r="B57" s="237" t="s">
        <v>52</v>
      </c>
      <c r="C57" s="257">
        <v>1.5037699999999999E-2</v>
      </c>
      <c r="D57" s="258">
        <v>20662892</v>
      </c>
      <c r="F57" s="179"/>
    </row>
    <row r="58" spans="1:6">
      <c r="A58" s="246">
        <v>23200</v>
      </c>
      <c r="B58" s="229" t="s">
        <v>53</v>
      </c>
      <c r="C58" s="259">
        <v>8.7352999999999997E-3</v>
      </c>
      <c r="D58" s="252">
        <v>11900774</v>
      </c>
      <c r="F58" s="179"/>
    </row>
    <row r="59" spans="1:6">
      <c r="A59" s="245">
        <v>30000</v>
      </c>
      <c r="B59" s="237" t="s">
        <v>257</v>
      </c>
      <c r="C59" s="257">
        <v>7.6409999999999998E-4</v>
      </c>
      <c r="D59" s="258">
        <v>1014860</v>
      </c>
      <c r="F59" s="179"/>
    </row>
    <row r="60" spans="1:6">
      <c r="A60" s="246">
        <v>30100</v>
      </c>
      <c r="B60" s="229" t="s">
        <v>258</v>
      </c>
      <c r="C60" s="259">
        <v>7.5079999999999999E-3</v>
      </c>
      <c r="D60" s="252">
        <v>9610429</v>
      </c>
      <c r="F60" s="179"/>
    </row>
    <row r="61" spans="1:6">
      <c r="A61" s="245">
        <v>30102</v>
      </c>
      <c r="B61" s="237" t="s">
        <v>259</v>
      </c>
      <c r="C61" s="257">
        <v>1.94E-4</v>
      </c>
      <c r="D61" s="258">
        <v>221575</v>
      </c>
      <c r="F61" s="179"/>
    </row>
    <row r="62" spans="1:6">
      <c r="A62" s="246">
        <v>30103</v>
      </c>
      <c r="B62" s="229" t="s">
        <v>260</v>
      </c>
      <c r="C62" s="259">
        <v>2.23E-4</v>
      </c>
      <c r="D62" s="252">
        <v>256559</v>
      </c>
      <c r="F62" s="179"/>
    </row>
    <row r="63" spans="1:6">
      <c r="A63" s="245">
        <v>30104</v>
      </c>
      <c r="B63" s="237" t="s">
        <v>261</v>
      </c>
      <c r="C63" s="257">
        <v>1.3799999999999999E-4</v>
      </c>
      <c r="D63" s="258">
        <v>191396</v>
      </c>
      <c r="F63" s="179"/>
    </row>
    <row r="64" spans="1:6">
      <c r="A64" s="246">
        <v>30105</v>
      </c>
      <c r="B64" s="229" t="s">
        <v>54</v>
      </c>
      <c r="C64" s="259">
        <v>6.8590000000000003E-4</v>
      </c>
      <c r="D64" s="252">
        <v>1030658</v>
      </c>
      <c r="F64" s="179"/>
    </row>
    <row r="65" spans="1:6">
      <c r="A65" s="245">
        <v>30200</v>
      </c>
      <c r="B65" s="237" t="s">
        <v>262</v>
      </c>
      <c r="C65" s="257">
        <v>1.6842999999999999E-3</v>
      </c>
      <c r="D65" s="258">
        <v>2265497</v>
      </c>
      <c r="F65" s="179"/>
    </row>
    <row r="66" spans="1:6">
      <c r="A66" s="246">
        <v>30300</v>
      </c>
      <c r="B66" s="229" t="s">
        <v>263</v>
      </c>
      <c r="C66" s="259">
        <v>5.7350000000000001E-4</v>
      </c>
      <c r="D66" s="252">
        <v>761410</v>
      </c>
      <c r="F66" s="179"/>
    </row>
    <row r="67" spans="1:6">
      <c r="A67" s="245">
        <v>30400</v>
      </c>
      <c r="B67" s="237" t="s">
        <v>264</v>
      </c>
      <c r="C67" s="257">
        <v>1.0589E-3</v>
      </c>
      <c r="D67" s="258">
        <v>1499174</v>
      </c>
      <c r="F67" s="179"/>
    </row>
    <row r="68" spans="1:6">
      <c r="A68" s="246">
        <v>30405</v>
      </c>
      <c r="B68" s="229" t="s">
        <v>55</v>
      </c>
      <c r="C68" s="259">
        <v>6.0820000000000004E-4</v>
      </c>
      <c r="D68" s="252">
        <v>879922</v>
      </c>
      <c r="F68" s="179"/>
    </row>
    <row r="69" spans="1:6">
      <c r="A69" s="245">
        <v>30500</v>
      </c>
      <c r="B69" s="237" t="s">
        <v>265</v>
      </c>
      <c r="C69" s="257">
        <v>1.0740999999999999E-3</v>
      </c>
      <c r="D69" s="258">
        <v>1492506</v>
      </c>
      <c r="F69" s="179"/>
    </row>
    <row r="70" spans="1:6">
      <c r="A70" s="246">
        <v>30600</v>
      </c>
      <c r="B70" s="229" t="s">
        <v>266</v>
      </c>
      <c r="C70" s="259">
        <v>8.1999999999999998E-4</v>
      </c>
      <c r="D70" s="252">
        <v>1109477</v>
      </c>
      <c r="F70" s="179"/>
    </row>
    <row r="71" spans="1:6">
      <c r="A71" s="245">
        <v>30700</v>
      </c>
      <c r="B71" s="237" t="s">
        <v>268</v>
      </c>
      <c r="C71" s="257">
        <v>2.1860999999999998E-3</v>
      </c>
      <c r="D71" s="258">
        <v>2941887</v>
      </c>
      <c r="F71" s="179"/>
    </row>
    <row r="72" spans="1:6">
      <c r="A72" s="246">
        <v>30705</v>
      </c>
      <c r="B72" s="229" t="s">
        <v>56</v>
      </c>
      <c r="C72" s="259">
        <v>4.2739999999999998E-4</v>
      </c>
      <c r="D72" s="252">
        <v>609581</v>
      </c>
      <c r="F72" s="179"/>
    </row>
    <row r="73" spans="1:6">
      <c r="A73" s="245">
        <v>30800</v>
      </c>
      <c r="B73" s="237" t="s">
        <v>269</v>
      </c>
      <c r="C73" s="257">
        <v>6.0320000000000003E-4</v>
      </c>
      <c r="D73" s="258">
        <v>1011173</v>
      </c>
      <c r="F73" s="179"/>
    </row>
    <row r="74" spans="1:6">
      <c r="A74" s="246">
        <v>30900</v>
      </c>
      <c r="B74" s="229" t="s">
        <v>270</v>
      </c>
      <c r="C74" s="259">
        <v>1.5231000000000001E-3</v>
      </c>
      <c r="D74" s="252">
        <v>2225171</v>
      </c>
      <c r="F74" s="179"/>
    </row>
    <row r="75" spans="1:6">
      <c r="A75" s="245">
        <v>30905</v>
      </c>
      <c r="B75" s="237" t="s">
        <v>57</v>
      </c>
      <c r="C75" s="257">
        <v>2.285E-4</v>
      </c>
      <c r="D75" s="258">
        <v>415157</v>
      </c>
      <c r="F75" s="179"/>
    </row>
    <row r="76" spans="1:6">
      <c r="A76" s="246">
        <v>31000</v>
      </c>
      <c r="B76" s="229" t="s">
        <v>271</v>
      </c>
      <c r="C76" s="259">
        <v>4.2913999999999999E-3</v>
      </c>
      <c r="D76" s="252">
        <v>5938764</v>
      </c>
      <c r="F76" s="179"/>
    </row>
    <row r="77" spans="1:6">
      <c r="A77" s="245">
        <v>31005</v>
      </c>
      <c r="B77" s="237" t="s">
        <v>58</v>
      </c>
      <c r="C77" s="257">
        <v>4.0190000000000001E-4</v>
      </c>
      <c r="D77" s="258">
        <v>608182</v>
      </c>
      <c r="F77" s="179"/>
    </row>
    <row r="78" spans="1:6">
      <c r="A78" s="246">
        <v>31100</v>
      </c>
      <c r="B78" s="229" t="s">
        <v>272</v>
      </c>
      <c r="C78" s="259">
        <v>8.6189999999999999E-3</v>
      </c>
      <c r="D78" s="252">
        <v>11625246</v>
      </c>
      <c r="F78" s="179"/>
    </row>
    <row r="79" spans="1:6">
      <c r="A79" s="245">
        <v>31101</v>
      </c>
      <c r="B79" s="237" t="s">
        <v>523</v>
      </c>
      <c r="C79" s="257">
        <v>6.2799999999999995E-5</v>
      </c>
      <c r="D79" s="258">
        <v>76919</v>
      </c>
      <c r="F79" s="179"/>
    </row>
    <row r="80" spans="1:6">
      <c r="A80" s="246">
        <v>31102</v>
      </c>
      <c r="B80" s="229" t="s">
        <v>273</v>
      </c>
      <c r="C80" s="259">
        <v>1.5349999999999999E-4</v>
      </c>
      <c r="D80" s="252">
        <v>189428</v>
      </c>
      <c r="F80" s="179"/>
    </row>
    <row r="81" spans="1:6">
      <c r="A81" s="245">
        <v>31105</v>
      </c>
      <c r="B81" s="237" t="s">
        <v>59</v>
      </c>
      <c r="C81" s="257">
        <v>1.2718E-3</v>
      </c>
      <c r="D81" s="258">
        <v>1843473</v>
      </c>
      <c r="F81" s="179"/>
    </row>
    <row r="82" spans="1:6">
      <c r="A82" s="246">
        <v>31110</v>
      </c>
      <c r="B82" s="229" t="s">
        <v>274</v>
      </c>
      <c r="C82" s="259">
        <v>1.9908E-3</v>
      </c>
      <c r="D82" s="252">
        <v>2563090</v>
      </c>
      <c r="F82" s="179"/>
    </row>
    <row r="83" spans="1:6">
      <c r="A83" s="245">
        <v>31200</v>
      </c>
      <c r="B83" s="237" t="s">
        <v>275</v>
      </c>
      <c r="C83" s="257">
        <v>3.7582000000000002E-3</v>
      </c>
      <c r="D83" s="258">
        <v>5081160</v>
      </c>
      <c r="F83" s="179"/>
    </row>
    <row r="84" spans="1:6">
      <c r="A84" s="246">
        <v>31205</v>
      </c>
      <c r="B84" s="229" t="s">
        <v>60</v>
      </c>
      <c r="C84" s="259">
        <v>4.0640000000000001E-4</v>
      </c>
      <c r="D84" s="252">
        <v>617317</v>
      </c>
      <c r="F84" s="179"/>
    </row>
    <row r="85" spans="1:6">
      <c r="A85" s="245">
        <v>31300</v>
      </c>
      <c r="B85" s="237" t="s">
        <v>276</v>
      </c>
      <c r="C85" s="257">
        <v>1.13895E-2</v>
      </c>
      <c r="D85" s="258">
        <v>14324261</v>
      </c>
      <c r="F85" s="179"/>
    </row>
    <row r="86" spans="1:6">
      <c r="A86" s="246">
        <v>31301</v>
      </c>
      <c r="B86" s="229" t="s">
        <v>277</v>
      </c>
      <c r="C86" s="259">
        <v>1.684E-4</v>
      </c>
      <c r="D86" s="252">
        <v>239447</v>
      </c>
      <c r="F86" s="179"/>
    </row>
    <row r="87" spans="1:6">
      <c r="A87" s="245">
        <v>31320</v>
      </c>
      <c r="B87" s="237" t="s">
        <v>278</v>
      </c>
      <c r="C87" s="257">
        <v>1.8847E-3</v>
      </c>
      <c r="D87" s="258">
        <v>2405772</v>
      </c>
      <c r="F87" s="179"/>
    </row>
    <row r="88" spans="1:6">
      <c r="A88" s="246">
        <v>31400</v>
      </c>
      <c r="B88" s="229" t="s">
        <v>279</v>
      </c>
      <c r="C88" s="259">
        <v>3.6484999999999998E-3</v>
      </c>
      <c r="D88" s="252">
        <v>4963202</v>
      </c>
      <c r="F88" s="179"/>
    </row>
    <row r="89" spans="1:6">
      <c r="A89" s="245">
        <v>31405</v>
      </c>
      <c r="B89" s="237" t="s">
        <v>61</v>
      </c>
      <c r="C89" s="257">
        <v>7.7050000000000003E-4</v>
      </c>
      <c r="D89" s="258">
        <v>1255426</v>
      </c>
      <c r="F89" s="179"/>
    </row>
    <row r="90" spans="1:6">
      <c r="A90" s="246">
        <v>31500</v>
      </c>
      <c r="B90" s="229" t="s">
        <v>280</v>
      </c>
      <c r="C90" s="259">
        <v>7.1730000000000003E-4</v>
      </c>
      <c r="D90" s="252">
        <v>985134</v>
      </c>
      <c r="F90" s="179"/>
    </row>
    <row r="91" spans="1:6">
      <c r="A91" s="245">
        <v>31600</v>
      </c>
      <c r="B91" s="237" t="s">
        <v>281</v>
      </c>
      <c r="C91" s="257">
        <v>2.9120999999999999E-3</v>
      </c>
      <c r="D91" s="258">
        <v>3923018</v>
      </c>
      <c r="F91" s="179"/>
    </row>
    <row r="92" spans="1:6">
      <c r="A92" s="246">
        <v>31605</v>
      </c>
      <c r="B92" s="229" t="s">
        <v>62</v>
      </c>
      <c r="C92" s="259">
        <v>4.2870000000000001E-4</v>
      </c>
      <c r="D92" s="252">
        <v>671503</v>
      </c>
      <c r="F92" s="179"/>
    </row>
    <row r="93" spans="1:6">
      <c r="A93" s="245">
        <v>31700</v>
      </c>
      <c r="B93" s="237" t="s">
        <v>282</v>
      </c>
      <c r="C93" s="257">
        <v>7.6599999999999997E-4</v>
      </c>
      <c r="D93" s="258">
        <v>1114821</v>
      </c>
      <c r="F93" s="179"/>
    </row>
    <row r="94" spans="1:6">
      <c r="A94" s="246">
        <v>31800</v>
      </c>
      <c r="B94" s="229" t="s">
        <v>283</v>
      </c>
      <c r="C94" s="259">
        <v>5.2233999999999996E-3</v>
      </c>
      <c r="D94" s="252">
        <v>6940183</v>
      </c>
      <c r="F94" s="179"/>
    </row>
    <row r="95" spans="1:6">
      <c r="A95" s="245">
        <v>31805</v>
      </c>
      <c r="B95" s="237" t="s">
        <v>63</v>
      </c>
      <c r="C95" s="257">
        <v>1.1253000000000001E-3</v>
      </c>
      <c r="D95" s="258">
        <v>1570524</v>
      </c>
      <c r="F95" s="179"/>
    </row>
    <row r="96" spans="1:6">
      <c r="A96" s="246">
        <v>31810</v>
      </c>
      <c r="B96" s="229" t="s">
        <v>284</v>
      </c>
      <c r="C96" s="259">
        <v>1.1681E-3</v>
      </c>
      <c r="D96" s="252">
        <v>1669649</v>
      </c>
      <c r="F96" s="179"/>
    </row>
    <row r="97" spans="1:6">
      <c r="A97" s="245">
        <v>31820</v>
      </c>
      <c r="B97" s="237" t="s">
        <v>285</v>
      </c>
      <c r="C97" s="257">
        <v>9.9789999999999992E-4</v>
      </c>
      <c r="D97" s="258">
        <v>1350461</v>
      </c>
      <c r="F97" s="179"/>
    </row>
    <row r="98" spans="1:6">
      <c r="A98" s="246">
        <v>31900</v>
      </c>
      <c r="B98" s="229" t="s">
        <v>286</v>
      </c>
      <c r="C98" s="259">
        <v>3.2645E-3</v>
      </c>
      <c r="D98" s="252">
        <v>4339612</v>
      </c>
      <c r="F98" s="179"/>
    </row>
    <row r="99" spans="1:6">
      <c r="A99" s="245">
        <v>32000</v>
      </c>
      <c r="B99" s="237" t="s">
        <v>287</v>
      </c>
      <c r="C99" s="257">
        <v>1.2110999999999999E-3</v>
      </c>
      <c r="D99" s="258">
        <v>1666125</v>
      </c>
      <c r="F99" s="179"/>
    </row>
    <row r="100" spans="1:6">
      <c r="A100" s="246">
        <v>32005</v>
      </c>
      <c r="B100" s="229" t="s">
        <v>64</v>
      </c>
      <c r="C100" s="259">
        <v>3.1290000000000002E-4</v>
      </c>
      <c r="D100" s="252">
        <v>417274</v>
      </c>
      <c r="F100" s="179"/>
    </row>
    <row r="101" spans="1:6">
      <c r="A101" s="245">
        <v>32100</v>
      </c>
      <c r="B101" s="237" t="s">
        <v>288</v>
      </c>
      <c r="C101" s="257">
        <v>7.3189999999999996E-4</v>
      </c>
      <c r="D101" s="258">
        <v>1000301</v>
      </c>
      <c r="F101" s="179"/>
    </row>
    <row r="102" spans="1:6">
      <c r="A102" s="246">
        <v>32200</v>
      </c>
      <c r="B102" s="229" t="s">
        <v>289</v>
      </c>
      <c r="C102" s="259">
        <v>5.2740000000000003E-4</v>
      </c>
      <c r="D102" s="252">
        <v>709209</v>
      </c>
      <c r="F102" s="179"/>
    </row>
    <row r="103" spans="1:6">
      <c r="A103" s="245">
        <v>32300</v>
      </c>
      <c r="B103" s="237" t="s">
        <v>290</v>
      </c>
      <c r="C103" s="257">
        <v>5.0282E-3</v>
      </c>
      <c r="D103" s="258">
        <v>6688038</v>
      </c>
      <c r="F103" s="179"/>
    </row>
    <row r="104" spans="1:6">
      <c r="A104" s="246">
        <v>32305</v>
      </c>
      <c r="B104" s="229" t="s">
        <v>524</v>
      </c>
      <c r="C104" s="259">
        <v>5.9969999999999999E-4</v>
      </c>
      <c r="D104" s="252">
        <v>834011</v>
      </c>
      <c r="F104" s="179"/>
    </row>
    <row r="105" spans="1:6">
      <c r="A105" s="245">
        <v>32400</v>
      </c>
      <c r="B105" s="237" t="s">
        <v>291</v>
      </c>
      <c r="C105" s="257">
        <v>1.7385E-3</v>
      </c>
      <c r="D105" s="258">
        <v>2506471</v>
      </c>
      <c r="F105" s="179"/>
    </row>
    <row r="106" spans="1:6">
      <c r="A106" s="246">
        <v>32405</v>
      </c>
      <c r="B106" s="229" t="s">
        <v>66</v>
      </c>
      <c r="C106" s="259">
        <v>4.1619999999999998E-4</v>
      </c>
      <c r="D106" s="252">
        <v>630989</v>
      </c>
      <c r="F106" s="179"/>
    </row>
    <row r="107" spans="1:6">
      <c r="A107" s="245">
        <v>32410</v>
      </c>
      <c r="B107" s="237" t="s">
        <v>292</v>
      </c>
      <c r="C107" s="257">
        <v>8.1099999999999998E-4</v>
      </c>
      <c r="D107" s="258">
        <v>1120213</v>
      </c>
      <c r="F107" s="179"/>
    </row>
    <row r="108" spans="1:6">
      <c r="A108" s="246">
        <v>32500</v>
      </c>
      <c r="B108" s="229" t="s">
        <v>525</v>
      </c>
      <c r="C108" s="259">
        <v>3.9775000000000001E-3</v>
      </c>
      <c r="D108" s="252">
        <v>5488487</v>
      </c>
      <c r="F108" s="179"/>
    </row>
    <row r="109" spans="1:6">
      <c r="A109" s="245">
        <v>32505</v>
      </c>
      <c r="B109" s="237" t="s">
        <v>67</v>
      </c>
      <c r="C109" s="257">
        <v>6.468E-4</v>
      </c>
      <c r="D109" s="258">
        <v>938565</v>
      </c>
      <c r="F109" s="179"/>
    </row>
    <row r="110" spans="1:6">
      <c r="A110" s="246">
        <v>32600</v>
      </c>
      <c r="B110" s="229" t="s">
        <v>293</v>
      </c>
      <c r="C110" s="259">
        <v>1.4818599999999999E-2</v>
      </c>
      <c r="D110" s="252">
        <v>20255111</v>
      </c>
      <c r="F110" s="179"/>
    </row>
    <row r="111" spans="1:6">
      <c r="A111" s="245">
        <v>32605</v>
      </c>
      <c r="B111" s="237" t="s">
        <v>68</v>
      </c>
      <c r="C111" s="257">
        <v>2.5812999999999999E-3</v>
      </c>
      <c r="D111" s="258">
        <v>3686273</v>
      </c>
      <c r="F111" s="179"/>
    </row>
    <row r="112" spans="1:6">
      <c r="A112" s="246">
        <v>32700</v>
      </c>
      <c r="B112" s="229" t="s">
        <v>294</v>
      </c>
      <c r="C112" s="259">
        <v>1.4040999999999999E-3</v>
      </c>
      <c r="D112" s="252">
        <v>2087855</v>
      </c>
      <c r="F112" s="179"/>
    </row>
    <row r="113" spans="1:6">
      <c r="A113" s="245">
        <v>32800</v>
      </c>
      <c r="B113" s="237" t="s">
        <v>295</v>
      </c>
      <c r="C113" s="257">
        <v>1.9380999999999999E-3</v>
      </c>
      <c r="D113" s="258">
        <v>2738791</v>
      </c>
      <c r="F113" s="179"/>
    </row>
    <row r="114" spans="1:6">
      <c r="A114" s="246">
        <v>32900</v>
      </c>
      <c r="B114" s="229" t="s">
        <v>296</v>
      </c>
      <c r="C114" s="259">
        <v>5.4101000000000002E-3</v>
      </c>
      <c r="D114" s="252">
        <v>7206624</v>
      </c>
      <c r="F114" s="179"/>
    </row>
    <row r="115" spans="1:6">
      <c r="A115" s="245">
        <v>32901</v>
      </c>
      <c r="B115" s="237" t="s">
        <v>424</v>
      </c>
      <c r="C115" s="257">
        <v>8.5900000000000001E-5</v>
      </c>
      <c r="D115" s="258">
        <v>109038</v>
      </c>
      <c r="F115" s="179"/>
    </row>
    <row r="116" spans="1:6">
      <c r="A116" s="246">
        <v>32904</v>
      </c>
      <c r="B116" s="229" t="s">
        <v>479</v>
      </c>
      <c r="C116" s="259">
        <v>8.2399999999999997E-5</v>
      </c>
      <c r="D116" s="252">
        <v>102168</v>
      </c>
      <c r="F116" s="179"/>
    </row>
    <row r="117" spans="1:6">
      <c r="A117" s="245">
        <v>32905</v>
      </c>
      <c r="B117" s="237" t="s">
        <v>526</v>
      </c>
      <c r="C117" s="257">
        <v>7.7570000000000004E-4</v>
      </c>
      <c r="D117" s="258">
        <v>1068342</v>
      </c>
      <c r="F117" s="179"/>
    </row>
    <row r="118" spans="1:6">
      <c r="A118" s="246">
        <v>32910</v>
      </c>
      <c r="B118" s="229" t="s">
        <v>297</v>
      </c>
      <c r="C118" s="259">
        <v>9.7110000000000002E-4</v>
      </c>
      <c r="D118" s="252">
        <v>1372248</v>
      </c>
      <c r="F118" s="179"/>
    </row>
    <row r="119" spans="1:6">
      <c r="A119" s="245">
        <v>32915</v>
      </c>
      <c r="B119" s="237" t="s">
        <v>491</v>
      </c>
      <c r="C119" s="257">
        <v>1.1620000000000001E-4</v>
      </c>
      <c r="D119" s="258">
        <v>142423</v>
      </c>
      <c r="F119" s="179"/>
    </row>
    <row r="120" spans="1:6">
      <c r="A120" s="246">
        <v>32920</v>
      </c>
      <c r="B120" s="229" t="s">
        <v>298</v>
      </c>
      <c r="C120" s="259">
        <v>7.9920000000000002E-4</v>
      </c>
      <c r="D120" s="252">
        <v>1085920</v>
      </c>
      <c r="F120" s="179"/>
    </row>
    <row r="121" spans="1:6">
      <c r="A121" s="245">
        <v>33000</v>
      </c>
      <c r="B121" s="237" t="s">
        <v>299</v>
      </c>
      <c r="C121" s="257">
        <v>2.1365999999999998E-3</v>
      </c>
      <c r="D121" s="258">
        <v>2747604</v>
      </c>
      <c r="F121" s="179"/>
    </row>
    <row r="122" spans="1:6">
      <c r="A122" s="246">
        <v>33001</v>
      </c>
      <c r="B122" s="229" t="s">
        <v>527</v>
      </c>
      <c r="C122" s="259">
        <v>3.79E-5</v>
      </c>
      <c r="D122" s="252">
        <v>48444</v>
      </c>
      <c r="F122" s="179"/>
    </row>
    <row r="123" spans="1:6">
      <c r="A123" s="245">
        <v>33027</v>
      </c>
      <c r="B123" s="237" t="s">
        <v>300</v>
      </c>
      <c r="C123" s="257">
        <v>3.6820000000000001E-4</v>
      </c>
      <c r="D123" s="258">
        <v>415196</v>
      </c>
      <c r="F123" s="179"/>
    </row>
    <row r="124" spans="1:6">
      <c r="A124" s="246">
        <v>33100</v>
      </c>
      <c r="B124" s="229" t="s">
        <v>301</v>
      </c>
      <c r="C124" s="259">
        <v>2.8819000000000002E-3</v>
      </c>
      <c r="D124" s="252">
        <v>4049258</v>
      </c>
      <c r="F124" s="179"/>
    </row>
    <row r="125" spans="1:6">
      <c r="A125" s="245">
        <v>33105</v>
      </c>
      <c r="B125" s="237" t="s">
        <v>70</v>
      </c>
      <c r="C125" s="257">
        <v>3.7100000000000002E-4</v>
      </c>
      <c r="D125" s="258">
        <v>518970</v>
      </c>
      <c r="F125" s="179"/>
    </row>
    <row r="126" spans="1:6">
      <c r="A126" s="246">
        <v>33200</v>
      </c>
      <c r="B126" s="229" t="s">
        <v>302</v>
      </c>
      <c r="C126" s="259">
        <v>1.3300899999999999E-2</v>
      </c>
      <c r="D126" s="252">
        <v>18260374</v>
      </c>
      <c r="F126" s="179"/>
    </row>
    <row r="127" spans="1:6">
      <c r="A127" s="245">
        <v>33202</v>
      </c>
      <c r="B127" s="237" t="s">
        <v>528</v>
      </c>
      <c r="C127" s="257">
        <v>2.6380000000000002E-4</v>
      </c>
      <c r="D127" s="258">
        <v>272925</v>
      </c>
      <c r="F127" s="179"/>
    </row>
    <row r="128" spans="1:6">
      <c r="A128" s="246">
        <v>33203</v>
      </c>
      <c r="B128" s="229" t="s">
        <v>303</v>
      </c>
      <c r="C128" s="259">
        <v>1.7530000000000001E-4</v>
      </c>
      <c r="D128" s="252">
        <v>269284</v>
      </c>
      <c r="F128" s="179"/>
    </row>
    <row r="129" spans="1:6">
      <c r="A129" s="245">
        <v>33204</v>
      </c>
      <c r="B129" s="237" t="s">
        <v>304</v>
      </c>
      <c r="C129" s="257">
        <v>4.4499999999999997E-4</v>
      </c>
      <c r="D129" s="258">
        <v>524394</v>
      </c>
      <c r="F129" s="179"/>
    </row>
    <row r="130" spans="1:6">
      <c r="A130" s="246">
        <v>33205</v>
      </c>
      <c r="B130" s="229" t="s">
        <v>71</v>
      </c>
      <c r="C130" s="259">
        <v>1.1536000000000001E-3</v>
      </c>
      <c r="D130" s="252">
        <v>1634034</v>
      </c>
      <c r="F130" s="179"/>
    </row>
    <row r="131" spans="1:6">
      <c r="A131" s="245">
        <v>33206</v>
      </c>
      <c r="B131" s="237" t="s">
        <v>305</v>
      </c>
      <c r="C131" s="257">
        <v>1.194E-4</v>
      </c>
      <c r="D131" s="258">
        <v>157394</v>
      </c>
      <c r="F131" s="179"/>
    </row>
    <row r="132" spans="1:6">
      <c r="A132" s="246">
        <v>33207</v>
      </c>
      <c r="B132" s="229" t="s">
        <v>306</v>
      </c>
      <c r="C132" s="259">
        <v>5.0409999999999995E-4</v>
      </c>
      <c r="D132" s="252">
        <v>497086</v>
      </c>
      <c r="F132" s="179"/>
    </row>
    <row r="133" spans="1:6">
      <c r="A133" s="245">
        <v>33300</v>
      </c>
      <c r="B133" s="237" t="s">
        <v>308</v>
      </c>
      <c r="C133" s="257">
        <v>1.8450999999999999E-3</v>
      </c>
      <c r="D133" s="258">
        <v>2581067</v>
      </c>
      <c r="F133" s="179"/>
    </row>
    <row r="134" spans="1:6">
      <c r="A134" s="246">
        <v>33305</v>
      </c>
      <c r="B134" s="229" t="s">
        <v>72</v>
      </c>
      <c r="C134" s="259">
        <v>3.813E-4</v>
      </c>
      <c r="D134" s="252">
        <v>585103</v>
      </c>
      <c r="F134" s="179"/>
    </row>
    <row r="135" spans="1:6">
      <c r="A135" s="245">
        <v>33400</v>
      </c>
      <c r="B135" s="237" t="s">
        <v>309</v>
      </c>
      <c r="C135" s="257">
        <v>1.8808600000000002E-2</v>
      </c>
      <c r="D135" s="258">
        <v>24919566</v>
      </c>
      <c r="F135" s="179"/>
    </row>
    <row r="136" spans="1:6">
      <c r="A136" s="246">
        <v>33402</v>
      </c>
      <c r="B136" s="229" t="s">
        <v>310</v>
      </c>
      <c r="C136" s="259">
        <v>1.8239999999999999E-4</v>
      </c>
      <c r="D136" s="252">
        <v>207561</v>
      </c>
      <c r="F136" s="179"/>
    </row>
    <row r="137" spans="1:6">
      <c r="A137" s="245">
        <v>33405</v>
      </c>
      <c r="B137" s="237" t="s">
        <v>529</v>
      </c>
      <c r="C137" s="257">
        <v>1.6815999999999999E-3</v>
      </c>
      <c r="D137" s="258">
        <v>2321730</v>
      </c>
      <c r="F137" s="179"/>
    </row>
    <row r="138" spans="1:6">
      <c r="A138" s="246">
        <v>33500</v>
      </c>
      <c r="B138" s="229" t="s">
        <v>311</v>
      </c>
      <c r="C138" s="259">
        <v>2.6966E-3</v>
      </c>
      <c r="D138" s="252">
        <v>3632294</v>
      </c>
      <c r="F138" s="179"/>
    </row>
    <row r="139" spans="1:6">
      <c r="A139" s="245">
        <v>33501</v>
      </c>
      <c r="B139" s="237" t="s">
        <v>312</v>
      </c>
      <c r="C139" s="257">
        <v>8.6299999999999997E-5</v>
      </c>
      <c r="D139" s="258">
        <v>157214</v>
      </c>
      <c r="F139" s="179"/>
    </row>
    <row r="140" spans="1:6">
      <c r="A140" s="246">
        <v>33600</v>
      </c>
      <c r="B140" s="229" t="s">
        <v>313</v>
      </c>
      <c r="C140" s="259">
        <v>9.1961999999999999E-3</v>
      </c>
      <c r="D140" s="252">
        <v>12398207</v>
      </c>
      <c r="F140" s="179"/>
    </row>
    <row r="141" spans="1:6">
      <c r="A141" s="245">
        <v>33605</v>
      </c>
      <c r="B141" s="237" t="s">
        <v>74</v>
      </c>
      <c r="C141" s="257">
        <v>1.0816999999999999E-3</v>
      </c>
      <c r="D141" s="258">
        <v>1788154</v>
      </c>
      <c r="F141" s="179"/>
    </row>
    <row r="142" spans="1:6">
      <c r="A142" s="246">
        <v>33700</v>
      </c>
      <c r="B142" s="229" t="s">
        <v>314</v>
      </c>
      <c r="C142" s="259">
        <v>6.9870000000000002E-4</v>
      </c>
      <c r="D142" s="252">
        <v>886127</v>
      </c>
      <c r="F142" s="179"/>
    </row>
    <row r="143" spans="1:6">
      <c r="A143" s="245">
        <v>33800</v>
      </c>
      <c r="B143" s="237" t="s">
        <v>315</v>
      </c>
      <c r="C143" s="257">
        <v>5.2599999999999999E-4</v>
      </c>
      <c r="D143" s="258">
        <v>714991</v>
      </c>
      <c r="F143" s="179"/>
    </row>
    <row r="144" spans="1:6">
      <c r="A144" s="246">
        <v>33900</v>
      </c>
      <c r="B144" s="229" t="s">
        <v>530</v>
      </c>
      <c r="C144" s="259">
        <v>1.9732E-3</v>
      </c>
      <c r="D144" s="252">
        <v>2955410</v>
      </c>
      <c r="F144" s="179"/>
    </row>
    <row r="145" spans="1:6">
      <c r="A145" s="245">
        <v>34000</v>
      </c>
      <c r="B145" s="237" t="s">
        <v>316</v>
      </c>
      <c r="C145" s="257">
        <v>1.1754000000000001E-3</v>
      </c>
      <c r="D145" s="258">
        <v>1560327</v>
      </c>
      <c r="F145" s="179"/>
    </row>
    <row r="146" spans="1:6">
      <c r="A146" s="246">
        <v>34100</v>
      </c>
      <c r="B146" s="229" t="s">
        <v>317</v>
      </c>
      <c r="C146" s="259">
        <v>2.43675E-2</v>
      </c>
      <c r="D146" s="252">
        <v>32107351</v>
      </c>
      <c r="F146" s="179"/>
    </row>
    <row r="147" spans="1:6">
      <c r="A147" s="245">
        <v>34105</v>
      </c>
      <c r="B147" s="237" t="s">
        <v>75</v>
      </c>
      <c r="C147" s="257">
        <v>1.8044000000000001E-3</v>
      </c>
      <c r="D147" s="258">
        <v>2908477</v>
      </c>
      <c r="F147" s="179"/>
    </row>
    <row r="148" spans="1:6">
      <c r="A148" s="246">
        <v>34200</v>
      </c>
      <c r="B148" s="229" t="s">
        <v>318</v>
      </c>
      <c r="C148" s="259">
        <v>7.381E-4</v>
      </c>
      <c r="D148" s="252">
        <v>1051606</v>
      </c>
      <c r="F148" s="179"/>
    </row>
    <row r="149" spans="1:6">
      <c r="A149" s="245">
        <v>34205</v>
      </c>
      <c r="B149" s="237" t="s">
        <v>76</v>
      </c>
      <c r="C149" s="257">
        <v>3.2539999999999999E-4</v>
      </c>
      <c r="D149" s="258">
        <v>454723</v>
      </c>
      <c r="F149" s="179"/>
    </row>
    <row r="150" spans="1:6">
      <c r="A150" s="246">
        <v>34220</v>
      </c>
      <c r="B150" s="229" t="s">
        <v>319</v>
      </c>
      <c r="C150" s="259">
        <v>9.3059999999999996E-4</v>
      </c>
      <c r="D150" s="252">
        <v>1249568</v>
      </c>
      <c r="F150" s="179"/>
    </row>
    <row r="151" spans="1:6">
      <c r="A151" s="245">
        <v>34230</v>
      </c>
      <c r="B151" s="237" t="s">
        <v>320</v>
      </c>
      <c r="C151" s="257">
        <v>3.2049999999999998E-4</v>
      </c>
      <c r="D151" s="258">
        <v>501723</v>
      </c>
      <c r="F151" s="179"/>
    </row>
    <row r="152" spans="1:6">
      <c r="A152" s="246">
        <v>34300</v>
      </c>
      <c r="B152" s="229" t="s">
        <v>321</v>
      </c>
      <c r="C152" s="259">
        <v>5.4232000000000004E-3</v>
      </c>
      <c r="D152" s="252">
        <v>7625380</v>
      </c>
      <c r="F152" s="179"/>
    </row>
    <row r="153" spans="1:6">
      <c r="A153" s="245">
        <v>34400</v>
      </c>
      <c r="B153" s="237" t="s">
        <v>322</v>
      </c>
      <c r="C153" s="257">
        <v>2.4361999999999999E-3</v>
      </c>
      <c r="D153" s="258">
        <v>3190692</v>
      </c>
      <c r="F153" s="179"/>
    </row>
    <row r="154" spans="1:6">
      <c r="A154" s="246">
        <v>34405</v>
      </c>
      <c r="B154" s="229" t="s">
        <v>77</v>
      </c>
      <c r="C154" s="259">
        <v>4.372E-4</v>
      </c>
      <c r="D154" s="252">
        <v>568060</v>
      </c>
      <c r="F154" s="179"/>
    </row>
    <row r="155" spans="1:6">
      <c r="A155" s="245">
        <v>34500</v>
      </c>
      <c r="B155" s="237" t="s">
        <v>323</v>
      </c>
      <c r="C155" s="257">
        <v>4.7369999999999999E-3</v>
      </c>
      <c r="D155" s="258">
        <v>5888253</v>
      </c>
      <c r="F155" s="179"/>
    </row>
    <row r="156" spans="1:6">
      <c r="A156" s="246">
        <v>34501</v>
      </c>
      <c r="B156" s="229" t="s">
        <v>324</v>
      </c>
      <c r="C156" s="259">
        <v>6.8499999999999998E-5</v>
      </c>
      <c r="D156" s="252">
        <v>76496</v>
      </c>
      <c r="F156" s="179"/>
    </row>
    <row r="157" spans="1:6">
      <c r="A157" s="245">
        <v>34505</v>
      </c>
      <c r="B157" s="237" t="s">
        <v>78</v>
      </c>
      <c r="C157" s="257">
        <v>5.8980000000000002E-4</v>
      </c>
      <c r="D157" s="258">
        <v>898644</v>
      </c>
      <c r="F157" s="179"/>
    </row>
    <row r="158" spans="1:6">
      <c r="A158" s="246">
        <v>34600</v>
      </c>
      <c r="B158" s="229" t="s">
        <v>325</v>
      </c>
      <c r="C158" s="259">
        <v>8.6589999999999996E-4</v>
      </c>
      <c r="D158" s="252">
        <v>1317393</v>
      </c>
      <c r="F158" s="179"/>
    </row>
    <row r="159" spans="1:6">
      <c r="A159" s="245">
        <v>34605</v>
      </c>
      <c r="B159" s="237" t="s">
        <v>79</v>
      </c>
      <c r="C159" s="257">
        <v>1.5109999999999999E-4</v>
      </c>
      <c r="D159" s="258">
        <v>243012</v>
      </c>
      <c r="F159" s="179"/>
    </row>
    <row r="160" spans="1:6">
      <c r="A160" s="246">
        <v>34700</v>
      </c>
      <c r="B160" s="229" t="s">
        <v>326</v>
      </c>
      <c r="C160" s="259">
        <v>2.9175999999999998E-3</v>
      </c>
      <c r="D160" s="252">
        <v>3582135</v>
      </c>
      <c r="F160" s="179"/>
    </row>
    <row r="161" spans="1:6">
      <c r="A161" s="245">
        <v>34800</v>
      </c>
      <c r="B161" s="237" t="s">
        <v>327</v>
      </c>
      <c r="C161" s="257">
        <v>3.0400000000000002E-4</v>
      </c>
      <c r="D161" s="258">
        <v>452669</v>
      </c>
      <c r="F161" s="179"/>
    </row>
    <row r="162" spans="1:6">
      <c r="A162" s="246">
        <v>34900</v>
      </c>
      <c r="B162" s="229" t="s">
        <v>531</v>
      </c>
      <c r="C162" s="259">
        <v>6.3147999999999998E-3</v>
      </c>
      <c r="D162" s="252">
        <v>8691140</v>
      </c>
      <c r="F162" s="179"/>
    </row>
    <row r="163" spans="1:6">
      <c r="A163" s="245">
        <v>34901</v>
      </c>
      <c r="B163" s="237" t="s">
        <v>532</v>
      </c>
      <c r="C163" s="257">
        <v>1.7870000000000001E-4</v>
      </c>
      <c r="D163" s="258">
        <v>233795</v>
      </c>
      <c r="F163" s="179"/>
    </row>
    <row r="164" spans="1:6">
      <c r="A164" s="246">
        <v>34903</v>
      </c>
      <c r="B164" s="229" t="s">
        <v>328</v>
      </c>
      <c r="C164" s="259">
        <v>2.02E-5</v>
      </c>
      <c r="D164" s="252">
        <v>36276</v>
      </c>
      <c r="F164" s="179"/>
    </row>
    <row r="165" spans="1:6">
      <c r="A165" s="245">
        <v>34905</v>
      </c>
      <c r="B165" s="237" t="s">
        <v>80</v>
      </c>
      <c r="C165" s="257">
        <v>5.9360000000000001E-4</v>
      </c>
      <c r="D165" s="258">
        <v>807826</v>
      </c>
      <c r="F165" s="179"/>
    </row>
    <row r="166" spans="1:6">
      <c r="A166" s="246">
        <v>34910</v>
      </c>
      <c r="B166" s="229" t="s">
        <v>329</v>
      </c>
      <c r="C166" s="259">
        <v>1.9683999999999999E-3</v>
      </c>
      <c r="D166" s="252">
        <v>2563105</v>
      </c>
      <c r="F166" s="179"/>
    </row>
    <row r="167" spans="1:6">
      <c r="A167" s="245">
        <v>35000</v>
      </c>
      <c r="B167" s="237" t="s">
        <v>330</v>
      </c>
      <c r="C167" s="257">
        <v>1.4327000000000001E-3</v>
      </c>
      <c r="D167" s="258">
        <v>1731084</v>
      </c>
      <c r="F167" s="179"/>
    </row>
    <row r="168" spans="1:6">
      <c r="A168" s="246">
        <v>35005</v>
      </c>
      <c r="B168" s="229" t="s">
        <v>81</v>
      </c>
      <c r="C168" s="259">
        <v>5.0770000000000003E-4</v>
      </c>
      <c r="D168" s="252">
        <v>757679</v>
      </c>
      <c r="F168" s="179"/>
    </row>
    <row r="169" spans="1:6">
      <c r="A169" s="245">
        <v>35100</v>
      </c>
      <c r="B169" s="237" t="s">
        <v>331</v>
      </c>
      <c r="C169" s="257">
        <v>1.1941200000000001E-2</v>
      </c>
      <c r="D169" s="258">
        <v>14913814</v>
      </c>
      <c r="F169" s="179"/>
    </row>
    <row r="170" spans="1:6">
      <c r="A170" s="246">
        <v>35105</v>
      </c>
      <c r="B170" s="229" t="s">
        <v>82</v>
      </c>
      <c r="C170" s="259">
        <v>9.6089999999999999E-4</v>
      </c>
      <c r="D170" s="252">
        <v>1319392</v>
      </c>
      <c r="F170" s="179"/>
    </row>
    <row r="171" spans="1:6">
      <c r="A171" s="245">
        <v>35106</v>
      </c>
      <c r="B171" s="237" t="s">
        <v>332</v>
      </c>
      <c r="C171" s="257">
        <v>2.1599999999999999E-4</v>
      </c>
      <c r="D171" s="258">
        <v>255868</v>
      </c>
      <c r="F171" s="179"/>
    </row>
    <row r="172" spans="1:6">
      <c r="A172" s="246">
        <v>35200</v>
      </c>
      <c r="B172" s="229" t="s">
        <v>333</v>
      </c>
      <c r="C172" s="259">
        <v>4.571E-4</v>
      </c>
      <c r="D172" s="252">
        <v>671437</v>
      </c>
      <c r="F172" s="179"/>
    </row>
    <row r="173" spans="1:6">
      <c r="A173" s="245">
        <v>35300</v>
      </c>
      <c r="B173" s="237" t="s">
        <v>533</v>
      </c>
      <c r="C173" s="257">
        <v>3.3176999999999998E-3</v>
      </c>
      <c r="D173" s="258">
        <v>4446186</v>
      </c>
      <c r="F173" s="179"/>
    </row>
    <row r="174" spans="1:6">
      <c r="A174" s="246">
        <v>35305</v>
      </c>
      <c r="B174" s="229" t="s">
        <v>83</v>
      </c>
      <c r="C174" s="259">
        <v>1.3847E-3</v>
      </c>
      <c r="D174" s="252">
        <v>1746861</v>
      </c>
      <c r="F174" s="179"/>
    </row>
    <row r="175" spans="1:6">
      <c r="A175" s="245">
        <v>35400</v>
      </c>
      <c r="B175" s="237" t="s">
        <v>334</v>
      </c>
      <c r="C175" s="257">
        <v>2.9477000000000001E-3</v>
      </c>
      <c r="D175" s="258">
        <v>3768336</v>
      </c>
      <c r="F175" s="179"/>
    </row>
    <row r="176" spans="1:6">
      <c r="A176" s="246">
        <v>35401</v>
      </c>
      <c r="B176" s="229" t="s">
        <v>335</v>
      </c>
      <c r="C176" s="259">
        <v>3.5800000000000003E-5</v>
      </c>
      <c r="D176" s="252">
        <v>37759</v>
      </c>
      <c r="F176" s="179"/>
    </row>
    <row r="177" spans="1:6">
      <c r="A177" s="245">
        <v>35405</v>
      </c>
      <c r="B177" s="237" t="s">
        <v>84</v>
      </c>
      <c r="C177" s="257">
        <v>7.2690000000000005E-4</v>
      </c>
      <c r="D177" s="258">
        <v>983585</v>
      </c>
      <c r="F177" s="179"/>
    </row>
    <row r="178" spans="1:6">
      <c r="A178" s="246">
        <v>35500</v>
      </c>
      <c r="B178" s="229" t="s">
        <v>336</v>
      </c>
      <c r="C178" s="259">
        <v>3.7012999999999998E-3</v>
      </c>
      <c r="D178" s="252">
        <v>4796374</v>
      </c>
      <c r="F178" s="179"/>
    </row>
    <row r="179" spans="1:6">
      <c r="A179" s="245">
        <v>35600</v>
      </c>
      <c r="B179" s="237" t="s">
        <v>337</v>
      </c>
      <c r="C179" s="257">
        <v>1.5709999999999999E-3</v>
      </c>
      <c r="D179" s="258">
        <v>2174894</v>
      </c>
      <c r="F179" s="179"/>
    </row>
    <row r="180" spans="1:6">
      <c r="A180" s="246">
        <v>35700</v>
      </c>
      <c r="B180" s="229" t="s">
        <v>338</v>
      </c>
      <c r="C180" s="259">
        <v>8.5930000000000002E-4</v>
      </c>
      <c r="D180" s="252">
        <v>1233849</v>
      </c>
      <c r="F180" s="179"/>
    </row>
    <row r="181" spans="1:6">
      <c r="A181" s="245">
        <v>35800</v>
      </c>
      <c r="B181" s="237" t="s">
        <v>339</v>
      </c>
      <c r="C181" s="257">
        <v>1.0024000000000001E-3</v>
      </c>
      <c r="D181" s="258">
        <v>1409394</v>
      </c>
      <c r="F181" s="179"/>
    </row>
    <row r="182" spans="1:6">
      <c r="A182" s="246">
        <v>35805</v>
      </c>
      <c r="B182" s="229" t="s">
        <v>85</v>
      </c>
      <c r="C182" s="259">
        <v>1.9660000000000001E-4</v>
      </c>
      <c r="D182" s="252">
        <v>330622</v>
      </c>
      <c r="F182" s="179"/>
    </row>
    <row r="183" spans="1:6">
      <c r="A183" s="245">
        <v>35900</v>
      </c>
      <c r="B183" s="237" t="s">
        <v>340</v>
      </c>
      <c r="C183" s="257">
        <v>1.9876E-3</v>
      </c>
      <c r="D183" s="258">
        <v>2769808</v>
      </c>
      <c r="F183" s="179"/>
    </row>
    <row r="184" spans="1:6">
      <c r="A184" s="246">
        <v>35905</v>
      </c>
      <c r="B184" s="229" t="s">
        <v>86</v>
      </c>
      <c r="C184" s="259">
        <v>3.0630000000000002E-4</v>
      </c>
      <c r="D184" s="252">
        <v>463577</v>
      </c>
      <c r="F184" s="179"/>
    </row>
    <row r="185" spans="1:6">
      <c r="A185" s="245">
        <v>36000</v>
      </c>
      <c r="B185" s="237" t="s">
        <v>341</v>
      </c>
      <c r="C185" s="257">
        <v>5.1042799999999999E-2</v>
      </c>
      <c r="D185" s="258">
        <v>65658952</v>
      </c>
      <c r="F185" s="179"/>
    </row>
    <row r="186" spans="1:6">
      <c r="A186" s="246">
        <v>36003</v>
      </c>
      <c r="B186" s="229" t="s">
        <v>342</v>
      </c>
      <c r="C186" s="259">
        <v>3.8650000000000002E-4</v>
      </c>
      <c r="D186" s="252">
        <v>572797</v>
      </c>
      <c r="F186" s="179"/>
    </row>
    <row r="187" spans="1:6">
      <c r="A187" s="245">
        <v>36004</v>
      </c>
      <c r="B187" s="237" t="s">
        <v>534</v>
      </c>
      <c r="C187" s="257">
        <v>2.8709999999999999E-4</v>
      </c>
      <c r="D187" s="258">
        <v>402576</v>
      </c>
      <c r="F187" s="179"/>
    </row>
    <row r="188" spans="1:6">
      <c r="A188" s="246">
        <v>36005</v>
      </c>
      <c r="B188" s="229" t="s">
        <v>87</v>
      </c>
      <c r="C188" s="259">
        <v>3.6684999999999999E-3</v>
      </c>
      <c r="D188" s="252">
        <v>4927702</v>
      </c>
      <c r="F188" s="179"/>
    </row>
    <row r="189" spans="1:6">
      <c r="A189" s="245">
        <v>36006</v>
      </c>
      <c r="B189" s="237" t="s">
        <v>343</v>
      </c>
      <c r="C189" s="257">
        <v>6.8590000000000003E-4</v>
      </c>
      <c r="D189" s="258">
        <v>746500</v>
      </c>
      <c r="F189" s="179"/>
    </row>
    <row r="190" spans="1:6">
      <c r="A190" s="246">
        <v>36007</v>
      </c>
      <c r="B190" s="229" t="s">
        <v>344</v>
      </c>
      <c r="C190" s="259">
        <v>2.2770000000000001E-4</v>
      </c>
      <c r="D190" s="252">
        <v>297491</v>
      </c>
      <c r="F190" s="179"/>
    </row>
    <row r="191" spans="1:6">
      <c r="A191" s="245">
        <v>36008</v>
      </c>
      <c r="B191" s="237" t="s">
        <v>345</v>
      </c>
      <c r="C191" s="257">
        <v>5.821E-4</v>
      </c>
      <c r="D191" s="258">
        <v>653781</v>
      </c>
      <c r="F191" s="179"/>
    </row>
    <row r="192" spans="1:6">
      <c r="A192" s="246">
        <v>36009</v>
      </c>
      <c r="B192" s="229" t="s">
        <v>346</v>
      </c>
      <c r="C192" s="259">
        <v>6.7799999999999995E-5</v>
      </c>
      <c r="D192" s="252">
        <v>74292</v>
      </c>
      <c r="F192" s="179"/>
    </row>
    <row r="193" spans="1:6">
      <c r="A193" s="245">
        <v>36100</v>
      </c>
      <c r="B193" s="237" t="s">
        <v>347</v>
      </c>
      <c r="C193" s="257">
        <v>6.5079999999999999E-4</v>
      </c>
      <c r="D193" s="258">
        <v>875815</v>
      </c>
      <c r="F193" s="179"/>
    </row>
    <row r="194" spans="1:6">
      <c r="A194" s="246">
        <v>36105</v>
      </c>
      <c r="B194" s="229" t="s">
        <v>88</v>
      </c>
      <c r="C194" s="259">
        <v>2.8810000000000001E-4</v>
      </c>
      <c r="D194" s="252">
        <v>425272</v>
      </c>
      <c r="F194" s="179"/>
    </row>
    <row r="195" spans="1:6">
      <c r="A195" s="245">
        <v>36200</v>
      </c>
      <c r="B195" s="237" t="s">
        <v>349</v>
      </c>
      <c r="C195" s="257">
        <v>1.1397E-3</v>
      </c>
      <c r="D195" s="258">
        <v>1663519</v>
      </c>
      <c r="F195" s="179"/>
    </row>
    <row r="196" spans="1:6">
      <c r="A196" s="246">
        <v>36205</v>
      </c>
      <c r="B196" s="229" t="s">
        <v>89</v>
      </c>
      <c r="C196" s="259">
        <v>2.408E-4</v>
      </c>
      <c r="D196" s="252">
        <v>334717</v>
      </c>
      <c r="F196" s="179"/>
    </row>
    <row r="197" spans="1:6">
      <c r="A197" s="245">
        <v>36300</v>
      </c>
      <c r="B197" s="237" t="s">
        <v>350</v>
      </c>
      <c r="C197" s="257">
        <v>4.2195000000000002E-3</v>
      </c>
      <c r="D197" s="258">
        <v>5799405</v>
      </c>
      <c r="F197" s="179"/>
    </row>
    <row r="198" spans="1:6">
      <c r="A198" s="246">
        <v>36301</v>
      </c>
      <c r="B198" s="229" t="s">
        <v>351</v>
      </c>
      <c r="C198" s="259">
        <v>1.13E-4</v>
      </c>
      <c r="D198" s="252">
        <v>142340</v>
      </c>
      <c r="F198" s="179"/>
    </row>
    <row r="199" spans="1:6">
      <c r="A199" s="245">
        <v>36302</v>
      </c>
      <c r="B199" s="237" t="s">
        <v>352</v>
      </c>
      <c r="C199" s="257">
        <v>2.0249999999999999E-4</v>
      </c>
      <c r="D199" s="258">
        <v>216418</v>
      </c>
      <c r="F199" s="179"/>
    </row>
    <row r="200" spans="1:6">
      <c r="A200" s="246">
        <v>36303</v>
      </c>
      <c r="B200" s="229" t="s">
        <v>242</v>
      </c>
      <c r="C200" s="259">
        <v>2.5720000000000002E-4</v>
      </c>
      <c r="D200" s="252">
        <v>256782</v>
      </c>
      <c r="F200" s="179"/>
    </row>
    <row r="201" spans="1:6">
      <c r="A201" s="245">
        <v>36305</v>
      </c>
      <c r="B201" s="237" t="s">
        <v>90</v>
      </c>
      <c r="C201" s="257">
        <v>8.6379999999999996E-4</v>
      </c>
      <c r="D201" s="258">
        <v>1283704</v>
      </c>
      <c r="F201" s="179"/>
    </row>
    <row r="202" spans="1:6">
      <c r="A202" s="246">
        <v>36400</v>
      </c>
      <c r="B202" s="229" t="s">
        <v>535</v>
      </c>
      <c r="C202" s="259">
        <v>4.4152999999999996E-3</v>
      </c>
      <c r="D202" s="252">
        <v>6089472</v>
      </c>
      <c r="F202" s="179"/>
    </row>
    <row r="203" spans="1:6">
      <c r="A203" s="245">
        <v>36405</v>
      </c>
      <c r="B203" s="237" t="s">
        <v>536</v>
      </c>
      <c r="C203" s="257">
        <v>6.4099999999999997E-4</v>
      </c>
      <c r="D203" s="258">
        <v>884371</v>
      </c>
      <c r="F203" s="179"/>
    </row>
    <row r="204" spans="1:6">
      <c r="A204" s="246">
        <v>36500</v>
      </c>
      <c r="B204" s="229" t="s">
        <v>354</v>
      </c>
      <c r="C204" s="259">
        <v>1.01034E-2</v>
      </c>
      <c r="D204" s="252">
        <v>13206266</v>
      </c>
      <c r="F204" s="179"/>
    </row>
    <row r="205" spans="1:6">
      <c r="A205" s="245">
        <v>36501</v>
      </c>
      <c r="B205" s="237" t="s">
        <v>537</v>
      </c>
      <c r="C205" s="257">
        <v>1.205E-4</v>
      </c>
      <c r="D205" s="258">
        <v>154216</v>
      </c>
      <c r="F205" s="179"/>
    </row>
    <row r="206" spans="1:6">
      <c r="A206" s="246">
        <v>36502</v>
      </c>
      <c r="B206" s="229" t="s">
        <v>355</v>
      </c>
      <c r="C206" s="259">
        <v>2.4899999999999999E-5</v>
      </c>
      <c r="D206" s="252">
        <v>28204</v>
      </c>
      <c r="F206" s="179"/>
    </row>
    <row r="207" spans="1:6">
      <c r="A207" s="245">
        <v>36505</v>
      </c>
      <c r="B207" s="237" t="s">
        <v>92</v>
      </c>
      <c r="C207" s="257">
        <v>1.8238E-3</v>
      </c>
      <c r="D207" s="258">
        <v>2647329</v>
      </c>
      <c r="F207" s="179"/>
    </row>
    <row r="208" spans="1:6">
      <c r="A208" s="246">
        <v>36600</v>
      </c>
      <c r="B208" s="229" t="s">
        <v>356</v>
      </c>
      <c r="C208" s="259">
        <v>4.66E-4</v>
      </c>
      <c r="D208" s="252">
        <v>682932</v>
      </c>
      <c r="F208" s="179"/>
    </row>
    <row r="209" spans="1:6">
      <c r="A209" s="245">
        <v>36700</v>
      </c>
      <c r="B209" s="237" t="s">
        <v>358</v>
      </c>
      <c r="C209" s="257">
        <v>7.7000999999999997E-3</v>
      </c>
      <c r="D209" s="258">
        <v>11238792</v>
      </c>
      <c r="F209" s="179"/>
    </row>
    <row r="210" spans="1:6">
      <c r="A210" s="246">
        <v>36701</v>
      </c>
      <c r="B210" s="229" t="s">
        <v>359</v>
      </c>
      <c r="C210" s="259">
        <v>1.8700000000000001E-5</v>
      </c>
      <c r="D210" s="252">
        <v>29113</v>
      </c>
      <c r="F210" s="179"/>
    </row>
    <row r="211" spans="1:6">
      <c r="A211" s="245">
        <v>36705</v>
      </c>
      <c r="B211" s="237" t="s">
        <v>93</v>
      </c>
      <c r="C211" s="257">
        <v>7.8600000000000002E-4</v>
      </c>
      <c r="D211" s="258">
        <v>1129163</v>
      </c>
      <c r="F211" s="179"/>
    </row>
    <row r="212" spans="1:6">
      <c r="A212" s="246">
        <v>36800</v>
      </c>
      <c r="B212" s="229" t="s">
        <v>360</v>
      </c>
      <c r="C212" s="259">
        <v>2.9968999999999998E-3</v>
      </c>
      <c r="D212" s="252">
        <v>4021097</v>
      </c>
      <c r="F212" s="179"/>
    </row>
    <row r="213" spans="1:6">
      <c r="A213" s="245">
        <v>36802</v>
      </c>
      <c r="B213" s="237" t="s">
        <v>361</v>
      </c>
      <c r="C213" s="257">
        <v>2.541E-4</v>
      </c>
      <c r="D213" s="258">
        <v>279609</v>
      </c>
      <c r="F213" s="179"/>
    </row>
    <row r="214" spans="1:6">
      <c r="A214" s="246">
        <v>36810</v>
      </c>
      <c r="B214" s="229" t="s">
        <v>538</v>
      </c>
      <c r="C214" s="259">
        <v>6.0086000000000002E-3</v>
      </c>
      <c r="D214" s="252">
        <v>7684399</v>
      </c>
      <c r="F214" s="179"/>
    </row>
    <row r="215" spans="1:6">
      <c r="A215" s="245">
        <v>36900</v>
      </c>
      <c r="B215" s="237" t="s">
        <v>362</v>
      </c>
      <c r="C215" s="257">
        <v>6.4999999999999997E-4</v>
      </c>
      <c r="D215" s="258">
        <v>843074</v>
      </c>
      <c r="F215" s="179"/>
    </row>
    <row r="216" spans="1:6">
      <c r="A216" s="246">
        <v>36901</v>
      </c>
      <c r="B216" s="229" t="s">
        <v>363</v>
      </c>
      <c r="C216" s="259">
        <v>2.0049999999999999E-4</v>
      </c>
      <c r="D216" s="252">
        <v>311973</v>
      </c>
      <c r="F216" s="179"/>
    </row>
    <row r="217" spans="1:6">
      <c r="A217" s="245">
        <v>36905</v>
      </c>
      <c r="B217" s="237" t="s">
        <v>94</v>
      </c>
      <c r="C217" s="257">
        <v>1.8340000000000001E-4</v>
      </c>
      <c r="D217" s="258">
        <v>263528</v>
      </c>
      <c r="F217" s="179"/>
    </row>
    <row r="218" spans="1:6">
      <c r="A218" s="246">
        <v>37000</v>
      </c>
      <c r="B218" s="229" t="s">
        <v>364</v>
      </c>
      <c r="C218" s="259">
        <v>1.5564999999999999E-3</v>
      </c>
      <c r="D218" s="252">
        <v>2224042</v>
      </c>
      <c r="F218" s="179"/>
    </row>
    <row r="219" spans="1:6">
      <c r="A219" s="245">
        <v>37001</v>
      </c>
      <c r="B219" s="237" t="s">
        <v>539</v>
      </c>
      <c r="C219" s="257">
        <v>1.964E-4</v>
      </c>
      <c r="D219" s="258">
        <v>255798</v>
      </c>
      <c r="F219" s="179"/>
    </row>
    <row r="220" spans="1:6">
      <c r="A220" s="246">
        <v>37005</v>
      </c>
      <c r="B220" s="229" t="s">
        <v>95</v>
      </c>
      <c r="C220" s="259">
        <v>4.9600000000000002E-4</v>
      </c>
      <c r="D220" s="252">
        <v>752842</v>
      </c>
      <c r="F220" s="179"/>
    </row>
    <row r="221" spans="1:6" ht="16.05" customHeight="1">
      <c r="A221" s="245">
        <v>37100</v>
      </c>
      <c r="B221" s="237" t="s">
        <v>365</v>
      </c>
      <c r="C221" s="257">
        <v>3.2127000000000002E-3</v>
      </c>
      <c r="D221" s="258">
        <v>4367362</v>
      </c>
      <c r="F221" s="179"/>
    </row>
    <row r="222" spans="1:6">
      <c r="A222" s="246">
        <v>37200</v>
      </c>
      <c r="B222" s="229" t="s">
        <v>366</v>
      </c>
      <c r="C222" s="259">
        <v>6.6140000000000003E-4</v>
      </c>
      <c r="D222" s="252">
        <v>874216</v>
      </c>
      <c r="F222" s="179"/>
    </row>
    <row r="223" spans="1:6">
      <c r="A223" s="245">
        <v>37300</v>
      </c>
      <c r="B223" s="237" t="s">
        <v>367</v>
      </c>
      <c r="C223" s="257">
        <v>1.5843999999999999E-3</v>
      </c>
      <c r="D223" s="258">
        <v>2133967</v>
      </c>
      <c r="F223" s="179"/>
    </row>
    <row r="224" spans="1:6">
      <c r="A224" s="246">
        <v>37301</v>
      </c>
      <c r="B224" s="229" t="s">
        <v>368</v>
      </c>
      <c r="C224" s="259">
        <v>1.6229999999999999E-4</v>
      </c>
      <c r="D224" s="252">
        <v>225574</v>
      </c>
      <c r="F224" s="179"/>
    </row>
    <row r="225" spans="1:6">
      <c r="A225" s="245">
        <v>37305</v>
      </c>
      <c r="B225" s="237" t="s">
        <v>96</v>
      </c>
      <c r="C225" s="257">
        <v>3.7300000000000001E-4</v>
      </c>
      <c r="D225" s="258">
        <v>577013</v>
      </c>
      <c r="F225" s="179"/>
    </row>
    <row r="226" spans="1:6">
      <c r="A226" s="246">
        <v>37400</v>
      </c>
      <c r="B226" s="229" t="s">
        <v>369</v>
      </c>
      <c r="C226" s="259">
        <v>8.1437000000000002E-3</v>
      </c>
      <c r="D226" s="252">
        <v>10400583</v>
      </c>
      <c r="F226" s="179"/>
    </row>
    <row r="227" spans="1:6">
      <c r="A227" s="245">
        <v>37405</v>
      </c>
      <c r="B227" s="237" t="s">
        <v>97</v>
      </c>
      <c r="C227" s="257">
        <v>1.5858999999999999E-3</v>
      </c>
      <c r="D227" s="258">
        <v>2191932</v>
      </c>
      <c r="F227" s="179"/>
    </row>
    <row r="228" spans="1:6">
      <c r="A228" s="246">
        <v>37500</v>
      </c>
      <c r="B228" s="229" t="s">
        <v>370</v>
      </c>
      <c r="C228" s="259">
        <v>8.6950000000000005E-4</v>
      </c>
      <c r="D228" s="252">
        <v>1233741</v>
      </c>
      <c r="F228" s="179"/>
    </row>
    <row r="229" spans="1:6">
      <c r="A229" s="245">
        <v>37600</v>
      </c>
      <c r="B229" s="237" t="s">
        <v>371</v>
      </c>
      <c r="C229" s="257">
        <v>4.9937999999999996E-3</v>
      </c>
      <c r="D229" s="258">
        <v>6457410</v>
      </c>
      <c r="F229" s="179"/>
    </row>
    <row r="230" spans="1:6">
      <c r="A230" s="246">
        <v>37601</v>
      </c>
      <c r="B230" s="229" t="s">
        <v>372</v>
      </c>
      <c r="C230" s="259">
        <v>5.4199999999999995E-4</v>
      </c>
      <c r="D230" s="252">
        <v>601318</v>
      </c>
      <c r="F230" s="179"/>
    </row>
    <row r="231" spans="1:6">
      <c r="A231" s="245">
        <v>37605</v>
      </c>
      <c r="B231" s="237" t="s">
        <v>98</v>
      </c>
      <c r="C231" s="257">
        <v>6.4269999999999996E-4</v>
      </c>
      <c r="D231" s="258">
        <v>829135</v>
      </c>
      <c r="F231" s="179"/>
    </row>
    <row r="232" spans="1:6">
      <c r="A232" s="246">
        <v>37610</v>
      </c>
      <c r="B232" s="229" t="s">
        <v>373</v>
      </c>
      <c r="C232" s="259">
        <v>1.5554E-3</v>
      </c>
      <c r="D232" s="252">
        <v>1981220</v>
      </c>
      <c r="F232" s="179"/>
    </row>
    <row r="233" spans="1:6">
      <c r="A233" s="245">
        <v>37700</v>
      </c>
      <c r="B233" s="237" t="s">
        <v>374</v>
      </c>
      <c r="C233" s="257">
        <v>2.2753999999999999E-3</v>
      </c>
      <c r="D233" s="258">
        <v>3069865</v>
      </c>
      <c r="F233" s="179"/>
    </row>
    <row r="234" spans="1:6">
      <c r="A234" s="246">
        <v>37705</v>
      </c>
      <c r="B234" s="229" t="s">
        <v>99</v>
      </c>
      <c r="C234" s="259">
        <v>6.4070000000000002E-4</v>
      </c>
      <c r="D234" s="252">
        <v>907428</v>
      </c>
      <c r="F234" s="179"/>
    </row>
    <row r="235" spans="1:6">
      <c r="A235" s="245">
        <v>37800</v>
      </c>
      <c r="B235" s="237" t="s">
        <v>375</v>
      </c>
      <c r="C235" s="257">
        <v>6.7676000000000004E-3</v>
      </c>
      <c r="D235" s="258">
        <v>9472066</v>
      </c>
      <c r="F235" s="179"/>
    </row>
    <row r="236" spans="1:6">
      <c r="A236" s="246">
        <v>37801</v>
      </c>
      <c r="B236" s="229" t="s">
        <v>376</v>
      </c>
      <c r="C236" s="259">
        <v>6.86E-5</v>
      </c>
      <c r="D236" s="252">
        <v>74075</v>
      </c>
      <c r="F236" s="179"/>
    </row>
    <row r="237" spans="1:6">
      <c r="A237" s="245">
        <v>37805</v>
      </c>
      <c r="B237" s="237" t="s">
        <v>100</v>
      </c>
      <c r="C237" s="257">
        <v>5.5020000000000004E-4</v>
      </c>
      <c r="D237" s="258">
        <v>785159</v>
      </c>
      <c r="F237" s="179"/>
    </row>
    <row r="238" spans="1:6">
      <c r="A238" s="246">
        <v>37900</v>
      </c>
      <c r="B238" s="229" t="s">
        <v>377</v>
      </c>
      <c r="C238" s="259">
        <v>3.5538000000000002E-3</v>
      </c>
      <c r="D238" s="252">
        <v>4912495</v>
      </c>
      <c r="F238" s="179"/>
    </row>
    <row r="239" spans="1:6">
      <c r="A239" s="245">
        <v>37901</v>
      </c>
      <c r="B239" s="237" t="s">
        <v>378</v>
      </c>
      <c r="C239" s="257">
        <v>1.261E-4</v>
      </c>
      <c r="D239" s="258">
        <v>165001</v>
      </c>
      <c r="F239" s="179"/>
    </row>
    <row r="240" spans="1:6">
      <c r="A240" s="246">
        <v>37905</v>
      </c>
      <c r="B240" s="229" t="s">
        <v>101</v>
      </c>
      <c r="C240" s="259">
        <v>4.0549999999999999E-4</v>
      </c>
      <c r="D240" s="252">
        <v>577293</v>
      </c>
      <c r="F240" s="179"/>
    </row>
    <row r="241" spans="1:6">
      <c r="A241" s="245">
        <v>38000</v>
      </c>
      <c r="B241" s="237" t="s">
        <v>379</v>
      </c>
      <c r="C241" s="257">
        <v>5.6233999999999998E-3</v>
      </c>
      <c r="D241" s="258">
        <v>8057660</v>
      </c>
      <c r="F241" s="179"/>
    </row>
    <row r="242" spans="1:6">
      <c r="A242" s="246">
        <v>38005</v>
      </c>
      <c r="B242" s="229" t="s">
        <v>102</v>
      </c>
      <c r="C242" s="259">
        <v>1.3419E-3</v>
      </c>
      <c r="D242" s="252">
        <v>1769574</v>
      </c>
      <c r="F242" s="179"/>
    </row>
    <row r="243" spans="1:6">
      <c r="A243" s="245">
        <v>38100</v>
      </c>
      <c r="B243" s="237" t="s">
        <v>380</v>
      </c>
      <c r="C243" s="257">
        <v>2.8322E-3</v>
      </c>
      <c r="D243" s="258">
        <v>3986901</v>
      </c>
      <c r="F243" s="179"/>
    </row>
    <row r="244" spans="1:6">
      <c r="A244" s="246">
        <v>38105</v>
      </c>
      <c r="B244" s="229" t="s">
        <v>103</v>
      </c>
      <c r="C244" s="259">
        <v>5.4040000000000002E-4</v>
      </c>
      <c r="D244" s="252">
        <v>743070</v>
      </c>
      <c r="F244" s="179"/>
    </row>
    <row r="245" spans="1:6">
      <c r="A245" s="245">
        <v>38200</v>
      </c>
      <c r="B245" s="237" t="s">
        <v>381</v>
      </c>
      <c r="C245" s="257">
        <v>2.5853E-3</v>
      </c>
      <c r="D245" s="258">
        <v>3569193</v>
      </c>
      <c r="F245" s="179"/>
    </row>
    <row r="246" spans="1:6">
      <c r="A246" s="246">
        <v>38205</v>
      </c>
      <c r="B246" s="229" t="s">
        <v>104</v>
      </c>
      <c r="C246" s="259">
        <v>3.8749999999999999E-4</v>
      </c>
      <c r="D246" s="252">
        <v>537582</v>
      </c>
      <c r="F246" s="179"/>
    </row>
    <row r="247" spans="1:6">
      <c r="A247" s="245">
        <v>38210</v>
      </c>
      <c r="B247" s="237" t="s">
        <v>382</v>
      </c>
      <c r="C247" s="257">
        <v>1.0196999999999999E-3</v>
      </c>
      <c r="D247" s="258">
        <v>1345784</v>
      </c>
      <c r="F247" s="179"/>
    </row>
    <row r="248" spans="1:6">
      <c r="A248" s="246">
        <v>38300</v>
      </c>
      <c r="B248" s="229" t="s">
        <v>383</v>
      </c>
      <c r="C248" s="259">
        <v>1.9547000000000002E-3</v>
      </c>
      <c r="D248" s="252">
        <v>2610402</v>
      </c>
      <c r="F248" s="179"/>
    </row>
    <row r="249" spans="1:6">
      <c r="A249" s="245">
        <v>38400</v>
      </c>
      <c r="B249" s="237" t="s">
        <v>384</v>
      </c>
      <c r="C249" s="257">
        <v>2.6156E-3</v>
      </c>
      <c r="D249" s="258">
        <v>3482869</v>
      </c>
      <c r="F249" s="179"/>
    </row>
    <row r="250" spans="1:6">
      <c r="A250" s="246">
        <v>38402</v>
      </c>
      <c r="B250" s="229" t="s">
        <v>385</v>
      </c>
      <c r="C250" s="259">
        <v>1.884E-4</v>
      </c>
      <c r="D250" s="252">
        <v>234249</v>
      </c>
      <c r="F250" s="179"/>
    </row>
    <row r="251" spans="1:6">
      <c r="A251" s="245">
        <v>38405</v>
      </c>
      <c r="B251" s="237" t="s">
        <v>105</v>
      </c>
      <c r="C251" s="257">
        <v>6.2339999999999997E-4</v>
      </c>
      <c r="D251" s="258">
        <v>838299</v>
      </c>
      <c r="F251" s="179"/>
    </row>
    <row r="252" spans="1:6">
      <c r="A252" s="246">
        <v>38500</v>
      </c>
      <c r="B252" s="229" t="s">
        <v>386</v>
      </c>
      <c r="C252" s="259">
        <v>1.9615000000000001E-3</v>
      </c>
      <c r="D252" s="252">
        <v>2663688</v>
      </c>
      <c r="F252" s="179"/>
    </row>
    <row r="253" spans="1:6">
      <c r="A253" s="245">
        <v>38600</v>
      </c>
      <c r="B253" s="237" t="s">
        <v>387</v>
      </c>
      <c r="C253" s="257">
        <v>2.4616999999999998E-3</v>
      </c>
      <c r="D253" s="258">
        <v>3384672</v>
      </c>
      <c r="F253" s="179"/>
    </row>
    <row r="254" spans="1:6">
      <c r="A254" s="246">
        <v>38602</v>
      </c>
      <c r="B254" s="229" t="s">
        <v>389</v>
      </c>
      <c r="C254" s="259">
        <v>2.053E-4</v>
      </c>
      <c r="D254" s="252">
        <v>244878</v>
      </c>
      <c r="F254" s="179"/>
    </row>
    <row r="255" spans="1:6">
      <c r="A255" s="245">
        <v>38605</v>
      </c>
      <c r="B255" s="237" t="s">
        <v>106</v>
      </c>
      <c r="C255" s="257">
        <v>5.7479999999999999E-4</v>
      </c>
      <c r="D255" s="258">
        <v>861490</v>
      </c>
      <c r="F255" s="179"/>
    </row>
    <row r="256" spans="1:6">
      <c r="A256" s="246">
        <v>38610</v>
      </c>
      <c r="B256" s="229" t="s">
        <v>390</v>
      </c>
      <c r="C256" s="259">
        <v>6.3540000000000005E-4</v>
      </c>
      <c r="D256" s="252">
        <v>827897</v>
      </c>
      <c r="F256" s="179"/>
    </row>
    <row r="257" spans="1:6">
      <c r="A257" s="245">
        <v>38620</v>
      </c>
      <c r="B257" s="237" t="s">
        <v>391</v>
      </c>
      <c r="C257" s="257">
        <v>4.5750000000000001E-4</v>
      </c>
      <c r="D257" s="258">
        <v>651237</v>
      </c>
      <c r="F257" s="179"/>
    </row>
    <row r="258" spans="1:6">
      <c r="A258" s="246">
        <v>38700</v>
      </c>
      <c r="B258" s="229" t="s">
        <v>392</v>
      </c>
      <c r="C258" s="259">
        <v>8.2280000000000005E-4</v>
      </c>
      <c r="D258" s="252">
        <v>1035573</v>
      </c>
      <c r="F258" s="179"/>
    </row>
    <row r="259" spans="1:6">
      <c r="A259" s="245">
        <v>38701</v>
      </c>
      <c r="B259" s="237" t="s">
        <v>540</v>
      </c>
      <c r="C259" s="257">
        <v>6.5300000000000002E-5</v>
      </c>
      <c r="D259" s="258">
        <v>69790</v>
      </c>
      <c r="F259" s="179"/>
    </row>
    <row r="260" spans="1:6">
      <c r="A260" s="246">
        <v>38800</v>
      </c>
      <c r="B260" s="229" t="s">
        <v>393</v>
      </c>
      <c r="C260" s="259">
        <v>1.3477999999999999E-3</v>
      </c>
      <c r="D260" s="252">
        <v>1793353</v>
      </c>
      <c r="F260" s="179"/>
    </row>
    <row r="261" spans="1:6">
      <c r="A261" s="245">
        <v>38801</v>
      </c>
      <c r="B261" s="237" t="s">
        <v>394</v>
      </c>
      <c r="C261" s="257">
        <v>1.3019999999999999E-4</v>
      </c>
      <c r="D261" s="258">
        <v>149210</v>
      </c>
      <c r="F261" s="179"/>
    </row>
    <row r="262" spans="1:6">
      <c r="A262" s="246">
        <v>38900</v>
      </c>
      <c r="B262" s="229" t="s">
        <v>395</v>
      </c>
      <c r="C262" s="259">
        <v>2.7310000000000002E-4</v>
      </c>
      <c r="D262" s="252">
        <v>382658</v>
      </c>
      <c r="F262" s="179"/>
    </row>
    <row r="263" spans="1:6">
      <c r="A263" s="245">
        <v>39000</v>
      </c>
      <c r="B263" s="237" t="s">
        <v>396</v>
      </c>
      <c r="C263" s="257">
        <v>1.29845E-2</v>
      </c>
      <c r="D263" s="258">
        <v>17198322</v>
      </c>
      <c r="F263" s="179"/>
    </row>
    <row r="264" spans="1:6">
      <c r="A264" s="246">
        <v>39100</v>
      </c>
      <c r="B264" s="229" t="s">
        <v>397</v>
      </c>
      <c r="C264" s="259">
        <v>1.4771000000000001E-3</v>
      </c>
      <c r="D264" s="252">
        <v>2293591</v>
      </c>
      <c r="F264" s="179"/>
    </row>
    <row r="265" spans="1:6">
      <c r="A265" s="245">
        <v>39101</v>
      </c>
      <c r="B265" s="237" t="s">
        <v>398</v>
      </c>
      <c r="C265" s="257">
        <v>2.6420000000000003E-4</v>
      </c>
      <c r="D265" s="258">
        <v>338270</v>
      </c>
      <c r="F265" s="179"/>
    </row>
    <row r="266" spans="1:6">
      <c r="A266" s="246">
        <v>39105</v>
      </c>
      <c r="B266" s="229" t="s">
        <v>107</v>
      </c>
      <c r="C266" s="259">
        <v>5.9400000000000002E-4</v>
      </c>
      <c r="D266" s="252">
        <v>860144</v>
      </c>
      <c r="F266" s="179"/>
    </row>
    <row r="267" spans="1:6">
      <c r="A267" s="245">
        <v>39200</v>
      </c>
      <c r="B267" s="237" t="s">
        <v>541</v>
      </c>
      <c r="C267" s="257">
        <v>5.9170800000000003E-2</v>
      </c>
      <c r="D267" s="258">
        <v>76512119</v>
      </c>
      <c r="F267" s="179"/>
    </row>
    <row r="268" spans="1:6">
      <c r="A268" s="246">
        <v>39201</v>
      </c>
      <c r="B268" s="229" t="s">
        <v>399</v>
      </c>
      <c r="C268" s="259">
        <v>2.42E-4</v>
      </c>
      <c r="D268" s="252">
        <v>286192</v>
      </c>
      <c r="F268" s="179"/>
    </row>
    <row r="269" spans="1:6">
      <c r="A269" s="245">
        <v>39204</v>
      </c>
      <c r="B269" s="237" t="s">
        <v>400</v>
      </c>
      <c r="C269" s="257">
        <v>2.253E-4</v>
      </c>
      <c r="D269" s="258">
        <v>280266</v>
      </c>
      <c r="F269" s="179"/>
    </row>
    <row r="270" spans="1:6">
      <c r="A270" s="246">
        <v>39205</v>
      </c>
      <c r="B270" s="229" t="s">
        <v>108</v>
      </c>
      <c r="C270" s="259">
        <v>5.0553999999999998E-3</v>
      </c>
      <c r="D270" s="252">
        <v>6955916</v>
      </c>
      <c r="F270" s="179"/>
    </row>
    <row r="271" spans="1:6">
      <c r="A271" s="245">
        <v>39208</v>
      </c>
      <c r="B271" s="237" t="s">
        <v>542</v>
      </c>
      <c r="C271" s="257">
        <v>3.4739999999999999E-4</v>
      </c>
      <c r="D271" s="258">
        <v>414745</v>
      </c>
      <c r="F271" s="179"/>
    </row>
    <row r="272" spans="1:6">
      <c r="A272" s="246">
        <v>39209</v>
      </c>
      <c r="B272" s="229" t="s">
        <v>401</v>
      </c>
      <c r="C272" s="259">
        <v>0</v>
      </c>
      <c r="D272" s="252">
        <v>0</v>
      </c>
      <c r="F272" s="179"/>
    </row>
    <row r="273" spans="1:6">
      <c r="A273" s="245">
        <v>39220</v>
      </c>
      <c r="B273" s="237" t="s">
        <v>425</v>
      </c>
      <c r="C273" s="257">
        <v>0</v>
      </c>
      <c r="D273" s="258">
        <v>524</v>
      </c>
      <c r="F273" s="179"/>
    </row>
    <row r="274" spans="1:6">
      <c r="A274" s="246">
        <v>39300</v>
      </c>
      <c r="B274" s="229" t="s">
        <v>402</v>
      </c>
      <c r="C274" s="259">
        <v>6.1870000000000002E-4</v>
      </c>
      <c r="D274" s="252">
        <v>970024</v>
      </c>
      <c r="F274" s="179"/>
    </row>
    <row r="275" spans="1:6">
      <c r="A275" s="245">
        <v>39301</v>
      </c>
      <c r="B275" s="237" t="s">
        <v>403</v>
      </c>
      <c r="C275" s="257">
        <v>3.6399999999999997E-5</v>
      </c>
      <c r="D275" s="258">
        <v>62268</v>
      </c>
      <c r="F275" s="179"/>
    </row>
    <row r="276" spans="1:6">
      <c r="A276" s="246">
        <v>39400</v>
      </c>
      <c r="B276" s="229" t="s">
        <v>404</v>
      </c>
      <c r="C276" s="259">
        <v>3.8220000000000002E-4</v>
      </c>
      <c r="D276" s="252">
        <v>620788</v>
      </c>
      <c r="F276" s="179"/>
    </row>
    <row r="277" spans="1:6">
      <c r="A277" s="245">
        <v>39401</v>
      </c>
      <c r="B277" s="237" t="s">
        <v>405</v>
      </c>
      <c r="C277" s="257">
        <v>3.902E-4</v>
      </c>
      <c r="D277" s="258">
        <v>482269</v>
      </c>
      <c r="F277" s="179"/>
    </row>
    <row r="278" spans="1:6">
      <c r="A278" s="246">
        <v>39500</v>
      </c>
      <c r="B278" s="229" t="s">
        <v>406</v>
      </c>
      <c r="C278" s="259">
        <v>1.9181000000000001E-3</v>
      </c>
      <c r="D278" s="252">
        <v>2487741</v>
      </c>
      <c r="F278" s="179"/>
    </row>
    <row r="279" spans="1:6">
      <c r="A279" s="245">
        <v>39501</v>
      </c>
      <c r="B279" s="237" t="s">
        <v>543</v>
      </c>
      <c r="C279" s="257">
        <v>4.8199999999999999E-5</v>
      </c>
      <c r="D279" s="258">
        <v>56268</v>
      </c>
      <c r="F279" s="179"/>
    </row>
    <row r="280" spans="1:6">
      <c r="A280" s="246">
        <v>39600</v>
      </c>
      <c r="B280" s="229" t="s">
        <v>407</v>
      </c>
      <c r="C280" s="259">
        <v>5.1983000000000003E-3</v>
      </c>
      <c r="D280" s="252">
        <v>7025886</v>
      </c>
      <c r="F280" s="179"/>
    </row>
    <row r="281" spans="1:6">
      <c r="A281" s="245">
        <v>39605</v>
      </c>
      <c r="B281" s="237" t="s">
        <v>109</v>
      </c>
      <c r="C281" s="257">
        <v>7.6139999999999997E-4</v>
      </c>
      <c r="D281" s="258">
        <v>1043489</v>
      </c>
      <c r="F281" s="179"/>
    </row>
    <row r="282" spans="1:6">
      <c r="A282" s="246">
        <v>39700</v>
      </c>
      <c r="B282" s="229" t="s">
        <v>408</v>
      </c>
      <c r="C282" s="259">
        <v>2.9391999999999999E-3</v>
      </c>
      <c r="D282" s="252">
        <v>3879677</v>
      </c>
      <c r="F282" s="179"/>
    </row>
    <row r="283" spans="1:6">
      <c r="A283" s="245">
        <v>39703</v>
      </c>
      <c r="B283" s="237" t="s">
        <v>409</v>
      </c>
      <c r="C283" s="257">
        <v>2.253E-4</v>
      </c>
      <c r="D283" s="258">
        <v>255135</v>
      </c>
      <c r="F283" s="179"/>
    </row>
    <row r="284" spans="1:6">
      <c r="A284" s="246">
        <v>39705</v>
      </c>
      <c r="B284" s="229" t="s">
        <v>110</v>
      </c>
      <c r="C284" s="259">
        <v>8.0860000000000003E-4</v>
      </c>
      <c r="D284" s="252">
        <v>1063528</v>
      </c>
      <c r="F284" s="179"/>
    </row>
    <row r="285" spans="1:6">
      <c r="A285" s="245">
        <v>39800</v>
      </c>
      <c r="B285" s="237" t="s">
        <v>410</v>
      </c>
      <c r="C285" s="257">
        <v>3.2899000000000001E-3</v>
      </c>
      <c r="D285" s="258">
        <v>4373032</v>
      </c>
      <c r="F285" s="179"/>
    </row>
    <row r="286" spans="1:6">
      <c r="A286" s="246">
        <v>39805</v>
      </c>
      <c r="B286" s="229" t="s">
        <v>111</v>
      </c>
      <c r="C286" s="259">
        <v>3.925E-4</v>
      </c>
      <c r="D286" s="252">
        <v>543937</v>
      </c>
      <c r="F286" s="179"/>
    </row>
    <row r="287" spans="1:6">
      <c r="A287" s="245">
        <v>39900</v>
      </c>
      <c r="B287" s="237" t="s">
        <v>411</v>
      </c>
      <c r="C287" s="257">
        <v>1.7866E-3</v>
      </c>
      <c r="D287" s="258">
        <v>2466019</v>
      </c>
      <c r="F287" s="179"/>
    </row>
    <row r="288" spans="1:6">
      <c r="A288" s="246">
        <v>40000</v>
      </c>
      <c r="B288" s="229" t="s">
        <v>412</v>
      </c>
      <c r="C288" s="259">
        <v>3.3303999999999999E-3</v>
      </c>
      <c r="D288" s="252">
        <v>5899319</v>
      </c>
      <c r="F288" s="179"/>
    </row>
    <row r="289" spans="1:6" ht="13.8">
      <c r="A289" s="220">
        <v>51000</v>
      </c>
      <c r="B289" s="262" t="s">
        <v>474</v>
      </c>
      <c r="C289" s="257">
        <v>2.5634199999999999E-2</v>
      </c>
      <c r="D289" s="260">
        <v>39241905</v>
      </c>
      <c r="F289" s="179"/>
    </row>
    <row r="290" spans="1:6" ht="13.8">
      <c r="A290" s="246">
        <v>51000.2</v>
      </c>
      <c r="B290" s="262" t="s">
        <v>475</v>
      </c>
      <c r="C290" s="259">
        <v>3.1699999999999998E-5</v>
      </c>
      <c r="D290" s="260">
        <v>63853</v>
      </c>
      <c r="F290" s="179"/>
    </row>
    <row r="291" spans="1:6" ht="13.8">
      <c r="A291" s="245">
        <v>51000.3</v>
      </c>
      <c r="B291" s="263" t="s">
        <v>858</v>
      </c>
      <c r="C291" s="257">
        <v>7.716E-4</v>
      </c>
      <c r="D291" s="260">
        <v>1272317</v>
      </c>
      <c r="F291" s="179"/>
    </row>
    <row r="292" spans="1:6">
      <c r="A292" s="246">
        <v>60000</v>
      </c>
      <c r="B292" s="229" t="s">
        <v>544</v>
      </c>
      <c r="C292" s="259">
        <v>1.2559999999999999E-4</v>
      </c>
      <c r="D292" s="252">
        <v>249256</v>
      </c>
      <c r="F292" s="179"/>
    </row>
    <row r="293" spans="1:6">
      <c r="A293" s="245">
        <v>90901</v>
      </c>
      <c r="B293" s="237" t="s">
        <v>413</v>
      </c>
      <c r="C293" s="257">
        <v>8.1859999999999995E-4</v>
      </c>
      <c r="D293" s="258">
        <v>1197241</v>
      </c>
      <c r="F293" s="179"/>
    </row>
    <row r="294" spans="1:6">
      <c r="A294" s="246">
        <v>91041</v>
      </c>
      <c r="B294" s="229" t="s">
        <v>414</v>
      </c>
      <c r="C294" s="259">
        <v>1.84E-4</v>
      </c>
      <c r="D294" s="252">
        <v>250983</v>
      </c>
      <c r="F294" s="179"/>
    </row>
    <row r="295" spans="1:6">
      <c r="A295" s="245">
        <v>91111</v>
      </c>
      <c r="B295" s="237" t="s">
        <v>415</v>
      </c>
      <c r="C295" s="257">
        <v>9.7899999999999994E-5</v>
      </c>
      <c r="D295" s="258">
        <v>118614</v>
      </c>
      <c r="F295" s="179"/>
    </row>
    <row r="296" spans="1:6">
      <c r="A296" s="246">
        <v>91151</v>
      </c>
      <c r="B296" s="229" t="s">
        <v>416</v>
      </c>
      <c r="C296" s="259">
        <v>2.6120000000000001E-4</v>
      </c>
      <c r="D296" s="252">
        <v>365856</v>
      </c>
      <c r="F296" s="179"/>
    </row>
    <row r="297" spans="1:6">
      <c r="A297" s="245">
        <v>98101</v>
      </c>
      <c r="B297" s="237" t="s">
        <v>417</v>
      </c>
      <c r="C297" s="257">
        <v>1.0916000000000001E-3</v>
      </c>
      <c r="D297" s="258">
        <v>1503422</v>
      </c>
      <c r="F297" s="179"/>
    </row>
    <row r="298" spans="1:6">
      <c r="A298" s="246">
        <v>98103</v>
      </c>
      <c r="B298" s="229" t="s">
        <v>545</v>
      </c>
      <c r="C298" s="259">
        <v>1.8110000000000001E-4</v>
      </c>
      <c r="D298" s="252">
        <v>262586</v>
      </c>
      <c r="F298" s="179"/>
    </row>
    <row r="299" spans="1:6">
      <c r="A299" s="245">
        <v>98111</v>
      </c>
      <c r="B299" s="237" t="s">
        <v>418</v>
      </c>
      <c r="C299" s="257">
        <v>4.0220000000000002E-4</v>
      </c>
      <c r="D299" s="258">
        <v>543952</v>
      </c>
      <c r="F299" s="179"/>
    </row>
    <row r="300" spans="1:6">
      <c r="A300" s="246">
        <v>98131</v>
      </c>
      <c r="B300" s="229" t="s">
        <v>419</v>
      </c>
      <c r="C300" s="259">
        <v>9.9300000000000001E-5</v>
      </c>
      <c r="D300" s="252">
        <v>169340</v>
      </c>
      <c r="F300" s="179"/>
    </row>
    <row r="301" spans="1:6">
      <c r="A301" s="245">
        <v>99401</v>
      </c>
      <c r="B301" s="237" t="s">
        <v>420</v>
      </c>
      <c r="C301" s="257">
        <v>2.9589999999999998E-4</v>
      </c>
      <c r="D301" s="258">
        <v>421664</v>
      </c>
      <c r="F301" s="179"/>
    </row>
    <row r="302" spans="1:6">
      <c r="A302" s="246">
        <v>99521</v>
      </c>
      <c r="B302" s="229" t="s">
        <v>421</v>
      </c>
      <c r="C302" s="259">
        <v>2.474E-4</v>
      </c>
      <c r="D302" s="252">
        <v>289235</v>
      </c>
      <c r="F302" s="179"/>
    </row>
    <row r="303" spans="1:6">
      <c r="A303" s="245">
        <v>99831</v>
      </c>
      <c r="B303" s="237" t="s">
        <v>422</v>
      </c>
      <c r="C303" s="259">
        <v>1.6399999999999999E-5</v>
      </c>
      <c r="D303" s="258">
        <v>24990</v>
      </c>
      <c r="E303" s="193"/>
      <c r="F303" s="179"/>
    </row>
    <row r="304" spans="1:6">
      <c r="C304" s="7">
        <f>SUM(C3:C303)</f>
        <v>1</v>
      </c>
      <c r="D304" s="6">
        <f>SUM(D3:D303)</f>
        <v>1369327594</v>
      </c>
      <c r="E304" s="6"/>
    </row>
    <row r="305" spans="1:5">
      <c r="C305" s="264" t="s">
        <v>888</v>
      </c>
      <c r="D305" s="265">
        <v>1369327591</v>
      </c>
    </row>
    <row r="306" spans="1:5">
      <c r="D306" s="6">
        <f>D304-D305</f>
        <v>3</v>
      </c>
      <c r="E306" t="s">
        <v>494</v>
      </c>
    </row>
    <row r="315" spans="1:5">
      <c r="A315" s="2"/>
    </row>
    <row r="317" spans="1:5" ht="15.6">
      <c r="A317" s="181"/>
      <c r="B317" s="175"/>
      <c r="C317" s="176"/>
      <c r="D317" s="179"/>
    </row>
    <row r="318" spans="1:5">
      <c r="D318" s="179"/>
    </row>
  </sheetData>
  <sheetProtection algorithmName="SHA-512" hashValue="BZZGmD9WtfxXcxOxlD6HonzMnNBzd7AwtqhLa2LRpRHC1jJEt60gkmQFh+SsmE6rnrWUdpLA4zlvh14np3JdqA==" saltValue="OesmEMsuW80GjdXfCWtuoQ==" spinCount="100000" sheet="1" objects="1" scenarios="1"/>
  <conditionalFormatting sqref="A303">
    <cfRule type="duplicateValues" dxfId="27" priority="60"/>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16"/>
  <sheetViews>
    <sheetView workbookViewId="0">
      <pane xSplit="2" ySplit="3" topLeftCell="J296" activePane="bottomRight" state="frozen"/>
      <selection activeCell="A4" sqref="A4"/>
      <selection pane="topRight" activeCell="A4" sqref="A4"/>
      <selection pane="bottomLeft" activeCell="A4" sqref="A4"/>
      <selection pane="bottomRight" activeCell="A300" sqref="A300:A301"/>
    </sheetView>
  </sheetViews>
  <sheetFormatPr defaultRowHeight="13.2"/>
  <cols>
    <col min="1" max="1" width="15.21875" customWidth="1"/>
    <col min="2" max="2" width="55.5546875" bestFit="1" customWidth="1"/>
    <col min="3" max="4" width="18.21875" customWidth="1"/>
    <col min="5" max="5" width="20" customWidth="1"/>
    <col min="6" max="6" width="17.21875" customWidth="1"/>
    <col min="7" max="7" width="19.44140625" customWidth="1"/>
    <col min="8" max="8" width="18.21875" customWidth="1"/>
    <col min="9" max="9" width="20" customWidth="1"/>
    <col min="10" max="10" width="17.21875" customWidth="1"/>
    <col min="11" max="11" width="19.44140625" customWidth="1"/>
    <col min="12" max="12" width="15" bestFit="1" customWidth="1"/>
    <col min="13" max="13" width="22.44140625" customWidth="1"/>
    <col min="14" max="14" width="15" bestFit="1" customWidth="1"/>
    <col min="24" max="24" width="15" bestFit="1" customWidth="1"/>
  </cols>
  <sheetData>
    <row r="1" spans="1:24">
      <c r="A1" s="5">
        <v>1</v>
      </c>
      <c r="B1" s="5">
        <v>2</v>
      </c>
      <c r="C1" s="5">
        <v>3</v>
      </c>
      <c r="D1" s="5">
        <v>4</v>
      </c>
      <c r="E1" s="5">
        <v>5</v>
      </c>
      <c r="F1" s="5">
        <v>6</v>
      </c>
      <c r="G1" s="5">
        <v>7</v>
      </c>
      <c r="H1" s="5">
        <v>8</v>
      </c>
      <c r="I1" s="5">
        <v>9</v>
      </c>
      <c r="J1" s="5">
        <v>10</v>
      </c>
      <c r="K1" s="5">
        <v>11</v>
      </c>
      <c r="L1" s="5">
        <v>12</v>
      </c>
      <c r="M1" s="5">
        <v>13</v>
      </c>
      <c r="N1" s="5">
        <v>14</v>
      </c>
    </row>
    <row r="2" spans="1:24" ht="14.4">
      <c r="D2" s="130" t="s">
        <v>129</v>
      </c>
      <c r="E2" s="131"/>
      <c r="F2" s="131"/>
      <c r="G2" s="132"/>
      <c r="H2" s="131" t="s">
        <v>113</v>
      </c>
      <c r="I2" s="131"/>
      <c r="J2" s="131"/>
      <c r="K2" s="132"/>
      <c r="L2" s="130" t="s">
        <v>114</v>
      </c>
      <c r="M2" s="131"/>
      <c r="N2" s="132"/>
    </row>
    <row r="3" spans="1:24" ht="100.8">
      <c r="A3" s="49" t="s">
        <v>163</v>
      </c>
      <c r="B3" s="49" t="s">
        <v>164</v>
      </c>
      <c r="C3" s="49" t="s">
        <v>237</v>
      </c>
      <c r="D3" s="49" t="s">
        <v>116</v>
      </c>
      <c r="E3" s="49" t="s">
        <v>117</v>
      </c>
      <c r="F3" s="49" t="s">
        <v>130</v>
      </c>
      <c r="G3" s="49" t="s">
        <v>115</v>
      </c>
      <c r="H3" s="49" t="s">
        <v>116</v>
      </c>
      <c r="I3" s="49" t="s">
        <v>117</v>
      </c>
      <c r="J3" s="49" t="s">
        <v>130</v>
      </c>
      <c r="K3" s="49" t="s">
        <v>115</v>
      </c>
      <c r="L3" s="49" t="s">
        <v>118</v>
      </c>
      <c r="M3" s="49" t="s">
        <v>119</v>
      </c>
      <c r="N3" s="49" t="s">
        <v>120</v>
      </c>
      <c r="X3" s="163"/>
    </row>
    <row r="4" spans="1:24" ht="13.8">
      <c r="A4" s="266">
        <v>10200</v>
      </c>
      <c r="B4" s="268" t="s">
        <v>245</v>
      </c>
      <c r="C4" s="271">
        <v>29558300</v>
      </c>
      <c r="D4" s="271">
        <v>325495</v>
      </c>
      <c r="E4" s="271">
        <v>236127</v>
      </c>
      <c r="F4" s="271">
        <v>3202064</v>
      </c>
      <c r="G4" s="271">
        <v>3593663</v>
      </c>
      <c r="H4" s="271">
        <v>28961</v>
      </c>
      <c r="J4" s="271">
        <v>7885916</v>
      </c>
      <c r="K4" s="271">
        <v>459116</v>
      </c>
      <c r="L4" s="271">
        <v>-542121</v>
      </c>
      <c r="M4" s="271">
        <v>957199</v>
      </c>
      <c r="N4" s="271">
        <v>415078</v>
      </c>
    </row>
    <row r="5" spans="1:24" ht="13.8">
      <c r="A5" s="266">
        <v>10400</v>
      </c>
      <c r="B5" s="268" t="s">
        <v>246</v>
      </c>
      <c r="C5" s="271">
        <v>79313413</v>
      </c>
      <c r="D5" s="271">
        <v>873396</v>
      </c>
      <c r="E5" s="271">
        <v>633596</v>
      </c>
      <c r="F5" s="271">
        <v>8592057</v>
      </c>
      <c r="G5" s="271">
        <v>5271289</v>
      </c>
      <c r="H5" s="271">
        <v>77711</v>
      </c>
      <c r="J5" s="271">
        <v>21160178</v>
      </c>
      <c r="K5" s="271">
        <v>1100379</v>
      </c>
      <c r="L5" s="271">
        <v>-1454670</v>
      </c>
      <c r="M5" s="271">
        <v>749786</v>
      </c>
      <c r="N5" s="271">
        <v>-704884</v>
      </c>
    </row>
    <row r="6" spans="1:24" ht="13.8">
      <c r="A6" s="266">
        <v>10500</v>
      </c>
      <c r="B6" s="268" t="s">
        <v>427</v>
      </c>
      <c r="C6" s="271">
        <v>17417738</v>
      </c>
      <c r="D6" s="271">
        <v>191803</v>
      </c>
      <c r="E6" s="271">
        <v>139142</v>
      </c>
      <c r="F6" s="271">
        <v>1886871</v>
      </c>
      <c r="G6" s="271">
        <v>802971</v>
      </c>
      <c r="H6" s="271">
        <v>17066</v>
      </c>
      <c r="J6" s="271">
        <v>4646912</v>
      </c>
      <c r="K6" s="271">
        <v>1405785</v>
      </c>
      <c r="L6" s="271">
        <v>-319454</v>
      </c>
      <c r="M6" s="271">
        <v>-292408</v>
      </c>
      <c r="N6" s="271">
        <v>-611862</v>
      </c>
    </row>
    <row r="7" spans="1:24" ht="13.8">
      <c r="A7" s="266">
        <v>10700</v>
      </c>
      <c r="B7" s="268" t="s">
        <v>247</v>
      </c>
      <c r="C7" s="271">
        <v>117293051</v>
      </c>
      <c r="D7" s="271">
        <v>1291626</v>
      </c>
      <c r="E7" s="271">
        <v>936997</v>
      </c>
      <c r="F7" s="271">
        <v>12706408</v>
      </c>
      <c r="G7" s="271">
        <v>5877223</v>
      </c>
      <c r="H7" s="271">
        <v>114924</v>
      </c>
      <c r="J7" s="271">
        <v>31292840</v>
      </c>
      <c r="K7" s="271">
        <v>3201207</v>
      </c>
      <c r="L7" s="271">
        <v>-2151246</v>
      </c>
      <c r="M7" s="271">
        <v>2715526</v>
      </c>
      <c r="N7" s="271">
        <v>564280</v>
      </c>
    </row>
    <row r="8" spans="1:24" ht="13.8">
      <c r="A8" s="266">
        <v>10800</v>
      </c>
      <c r="B8" s="268" t="s">
        <v>248</v>
      </c>
      <c r="C8" s="271">
        <v>504751551</v>
      </c>
      <c r="D8" s="271">
        <v>5558303</v>
      </c>
      <c r="E8" s="271">
        <v>4032215</v>
      </c>
      <c r="F8" s="271">
        <v>54679958</v>
      </c>
      <c r="G8" s="271">
        <v>28516991</v>
      </c>
      <c r="H8" s="271">
        <v>494555</v>
      </c>
      <c r="J8" s="271">
        <v>134663640</v>
      </c>
      <c r="K8" s="271">
        <v>263566</v>
      </c>
      <c r="L8" s="271">
        <v>-9257533</v>
      </c>
      <c r="M8" s="271">
        <v>10427540</v>
      </c>
      <c r="N8" s="271">
        <v>1170007</v>
      </c>
    </row>
    <row r="9" spans="1:24" ht="13.8">
      <c r="A9" s="266">
        <v>10850</v>
      </c>
      <c r="B9" s="268" t="s">
        <v>428</v>
      </c>
      <c r="C9" s="271">
        <v>3945298</v>
      </c>
      <c r="D9" s="271">
        <v>43445</v>
      </c>
      <c r="E9" s="271">
        <v>31517</v>
      </c>
      <c r="F9" s="271">
        <v>427396</v>
      </c>
      <c r="G9" s="271">
        <v>662374</v>
      </c>
      <c r="H9" s="271">
        <v>3866</v>
      </c>
      <c r="J9" s="271">
        <v>1052574</v>
      </c>
      <c r="K9" s="271">
        <v>415194</v>
      </c>
      <c r="L9" s="271">
        <v>-72360</v>
      </c>
      <c r="M9" s="271">
        <v>239309</v>
      </c>
      <c r="N9" s="271">
        <v>166949</v>
      </c>
    </row>
    <row r="10" spans="1:24" ht="13.8">
      <c r="A10" s="267">
        <v>10900</v>
      </c>
      <c r="B10" s="269" t="s">
        <v>249</v>
      </c>
      <c r="C10" s="272">
        <v>41477921</v>
      </c>
      <c r="D10" s="280">
        <v>456753</v>
      </c>
      <c r="E10" s="280">
        <v>331347</v>
      </c>
      <c r="F10" s="280">
        <v>4493321</v>
      </c>
      <c r="G10" s="280">
        <v>6043249</v>
      </c>
      <c r="H10" s="280">
        <v>40640</v>
      </c>
      <c r="J10" s="280">
        <v>11065975</v>
      </c>
      <c r="K10" s="280">
        <v>157598</v>
      </c>
      <c r="L10" s="280">
        <v>-760738</v>
      </c>
      <c r="M10" s="280">
        <v>350542</v>
      </c>
      <c r="N10" s="280">
        <v>-410196</v>
      </c>
    </row>
    <row r="11" spans="1:24" ht="13.8">
      <c r="A11" s="267">
        <v>10910</v>
      </c>
      <c r="B11" s="270" t="s">
        <v>429</v>
      </c>
      <c r="C11" s="272">
        <v>12691226</v>
      </c>
      <c r="D11" s="280">
        <v>139755</v>
      </c>
      <c r="E11" s="280">
        <v>101384</v>
      </c>
      <c r="F11" s="280">
        <v>1374846</v>
      </c>
      <c r="G11" s="280">
        <v>4162270</v>
      </c>
      <c r="H11" s="280">
        <v>12435</v>
      </c>
      <c r="J11" s="280">
        <v>3385917</v>
      </c>
      <c r="K11" s="273">
        <v>0</v>
      </c>
      <c r="L11" s="280">
        <v>-232766</v>
      </c>
      <c r="M11" s="280">
        <v>1534313</v>
      </c>
      <c r="N11" s="280">
        <v>1301547</v>
      </c>
    </row>
    <row r="12" spans="1:24" ht="13.8">
      <c r="A12" s="267">
        <v>10930</v>
      </c>
      <c r="B12" s="270" t="s">
        <v>430</v>
      </c>
      <c r="C12" s="272">
        <v>140649931</v>
      </c>
      <c r="D12" s="280">
        <v>1548831</v>
      </c>
      <c r="E12" s="280">
        <v>1123584</v>
      </c>
      <c r="F12" s="280">
        <v>15236669</v>
      </c>
      <c r="G12" s="280">
        <v>38314212</v>
      </c>
      <c r="H12" s="280">
        <v>137809</v>
      </c>
      <c r="J12" s="280">
        <v>37524267</v>
      </c>
      <c r="K12" s="273">
        <v>0</v>
      </c>
      <c r="L12" s="280">
        <v>-2579627</v>
      </c>
      <c r="M12" s="280">
        <v>20934996</v>
      </c>
      <c r="N12" s="280">
        <v>18355369</v>
      </c>
    </row>
    <row r="13" spans="1:24" ht="13.8">
      <c r="A13" s="267">
        <v>10940</v>
      </c>
      <c r="B13" s="269" t="s">
        <v>489</v>
      </c>
      <c r="C13" s="272">
        <v>18734825</v>
      </c>
      <c r="D13" s="280">
        <v>206307</v>
      </c>
      <c r="E13" s="280">
        <v>149663</v>
      </c>
      <c r="F13" s="280">
        <v>2029552</v>
      </c>
      <c r="G13" s="280">
        <v>3366538</v>
      </c>
      <c r="H13" s="280">
        <v>18356</v>
      </c>
      <c r="J13" s="280">
        <v>4998300</v>
      </c>
      <c r="K13" s="273">
        <v>237385</v>
      </c>
      <c r="L13" s="280">
        <v>-343611</v>
      </c>
      <c r="M13" s="280">
        <v>802181</v>
      </c>
      <c r="N13" s="280">
        <v>458570</v>
      </c>
    </row>
    <row r="14" spans="1:24" ht="13.8">
      <c r="A14" s="267">
        <v>10950</v>
      </c>
      <c r="B14" s="270" t="s">
        <v>431</v>
      </c>
      <c r="C14" s="272">
        <v>26699453</v>
      </c>
      <c r="D14" s="280">
        <v>294013</v>
      </c>
      <c r="E14" s="280">
        <v>213289</v>
      </c>
      <c r="F14" s="280">
        <v>2892363</v>
      </c>
      <c r="G14" s="280">
        <v>5720751</v>
      </c>
      <c r="H14" s="280">
        <v>26160</v>
      </c>
      <c r="J14" s="280">
        <v>7123199</v>
      </c>
      <c r="K14" s="273">
        <v>0</v>
      </c>
      <c r="L14" s="280">
        <v>-489689</v>
      </c>
      <c r="M14" s="280">
        <v>1896587</v>
      </c>
      <c r="N14" s="280">
        <v>1406898</v>
      </c>
    </row>
    <row r="15" spans="1:24" ht="13.8">
      <c r="A15" s="267">
        <v>11050</v>
      </c>
      <c r="B15" s="270" t="s">
        <v>432</v>
      </c>
      <c r="C15" s="272">
        <v>5601577</v>
      </c>
      <c r="D15" s="280">
        <v>61684</v>
      </c>
      <c r="E15" s="280">
        <v>44748</v>
      </c>
      <c r="F15" s="280">
        <v>606821</v>
      </c>
      <c r="G15" s="280">
        <v>595376</v>
      </c>
      <c r="H15" s="280">
        <v>5488</v>
      </c>
      <c r="J15" s="280">
        <v>1494455</v>
      </c>
      <c r="K15" s="280">
        <v>363282</v>
      </c>
      <c r="L15" s="280">
        <v>-102736</v>
      </c>
      <c r="M15" s="280">
        <v>1588870</v>
      </c>
      <c r="N15" s="280">
        <v>1486134</v>
      </c>
    </row>
    <row r="16" spans="1:24" ht="13.8">
      <c r="A16" s="266">
        <v>11300</v>
      </c>
      <c r="B16" s="268" t="s">
        <v>433</v>
      </c>
      <c r="C16" s="271">
        <v>110128257</v>
      </c>
      <c r="D16" s="271">
        <v>1212728</v>
      </c>
      <c r="E16" s="271">
        <v>879761</v>
      </c>
      <c r="F16" s="271">
        <v>11930243</v>
      </c>
      <c r="G16" s="271">
        <v>4402169</v>
      </c>
      <c r="H16" s="271">
        <v>107904</v>
      </c>
      <c r="J16" s="271">
        <v>29381330</v>
      </c>
      <c r="K16" s="271">
        <v>2905120</v>
      </c>
      <c r="L16" s="271">
        <v>-2019837</v>
      </c>
      <c r="M16" s="271">
        <v>399801</v>
      </c>
      <c r="N16" s="271">
        <v>-1620036</v>
      </c>
    </row>
    <row r="17" spans="1:14" ht="13.8">
      <c r="A17" s="266">
        <v>11310</v>
      </c>
      <c r="B17" s="268" t="s">
        <v>434</v>
      </c>
      <c r="C17" s="271">
        <v>13352253</v>
      </c>
      <c r="D17" s="271">
        <v>147034</v>
      </c>
      <c r="E17" s="271">
        <v>106665</v>
      </c>
      <c r="F17" s="271">
        <v>1446455</v>
      </c>
      <c r="G17" s="271">
        <v>872555</v>
      </c>
      <c r="H17" s="271">
        <v>13083</v>
      </c>
      <c r="J17" s="271">
        <v>3562273</v>
      </c>
      <c r="K17" s="271">
        <v>286760</v>
      </c>
      <c r="L17" s="271">
        <v>-244890</v>
      </c>
      <c r="M17" s="271">
        <v>493490</v>
      </c>
      <c r="N17" s="271">
        <v>248600</v>
      </c>
    </row>
    <row r="18" spans="1:14" ht="13.8">
      <c r="A18" s="266">
        <v>11600</v>
      </c>
      <c r="B18" s="268" t="s">
        <v>250</v>
      </c>
      <c r="C18" s="271">
        <v>62064622</v>
      </c>
      <c r="D18" s="271">
        <v>683453</v>
      </c>
      <c r="E18" s="271">
        <v>495804</v>
      </c>
      <c r="F18" s="271">
        <v>6723488</v>
      </c>
      <c r="G18" s="271">
        <v>6232239</v>
      </c>
      <c r="H18" s="271">
        <v>60811</v>
      </c>
      <c r="J18" s="271">
        <v>16558340</v>
      </c>
      <c r="K18" s="271">
        <v>430560</v>
      </c>
      <c r="L18" s="271">
        <v>-1138312</v>
      </c>
      <c r="M18" s="271">
        <v>2712151</v>
      </c>
      <c r="N18" s="271">
        <v>1573839</v>
      </c>
    </row>
    <row r="19" spans="1:14" ht="13.8">
      <c r="A19" s="266">
        <v>11900</v>
      </c>
      <c r="B19" s="268" t="s">
        <v>251</v>
      </c>
      <c r="C19" s="271">
        <v>9234583</v>
      </c>
      <c r="D19" s="271">
        <v>101691</v>
      </c>
      <c r="E19" s="271">
        <v>73771</v>
      </c>
      <c r="F19" s="271">
        <v>1000386</v>
      </c>
      <c r="G19" s="271">
        <v>3195259</v>
      </c>
      <c r="H19" s="271">
        <v>9048</v>
      </c>
      <c r="J19" s="271">
        <v>2463712</v>
      </c>
      <c r="K19" s="271">
        <v>783180</v>
      </c>
      <c r="L19" s="271">
        <v>-169369</v>
      </c>
      <c r="M19" s="271">
        <v>1015280</v>
      </c>
      <c r="N19" s="271">
        <v>845911</v>
      </c>
    </row>
    <row r="20" spans="1:14" ht="13.8">
      <c r="A20" s="266">
        <v>12100</v>
      </c>
      <c r="B20" s="268" t="s">
        <v>435</v>
      </c>
      <c r="C20" s="271">
        <v>7394498</v>
      </c>
      <c r="D20" s="271">
        <v>81428</v>
      </c>
      <c r="E20" s="271">
        <v>59071</v>
      </c>
      <c r="F20" s="271">
        <v>801049</v>
      </c>
      <c r="G20" s="271">
        <v>968363</v>
      </c>
      <c r="H20" s="271">
        <v>7245</v>
      </c>
      <c r="J20" s="271">
        <v>1972792</v>
      </c>
      <c r="K20" s="271">
        <v>11658</v>
      </c>
      <c r="L20" s="271">
        <v>-135620</v>
      </c>
      <c r="M20" s="271">
        <v>197447</v>
      </c>
      <c r="N20" s="271">
        <v>61827</v>
      </c>
    </row>
    <row r="21" spans="1:14" ht="13.8">
      <c r="A21" s="266">
        <v>12150</v>
      </c>
      <c r="B21" s="268" t="s">
        <v>436</v>
      </c>
      <c r="C21" s="271">
        <v>305364</v>
      </c>
      <c r="D21" s="271">
        <v>3363</v>
      </c>
      <c r="E21" s="271">
        <v>2439</v>
      </c>
      <c r="F21" s="271">
        <v>33080</v>
      </c>
      <c r="G21" s="271">
        <v>96658</v>
      </c>
      <c r="H21" s="271">
        <v>299</v>
      </c>
      <c r="J21" s="271">
        <v>81469</v>
      </c>
      <c r="K21" s="271">
        <v>623991</v>
      </c>
      <c r="L21" s="271">
        <v>-5599</v>
      </c>
      <c r="M21" s="271">
        <v>-170589</v>
      </c>
      <c r="N21" s="271">
        <v>-176188</v>
      </c>
    </row>
    <row r="22" spans="1:14" ht="13.8">
      <c r="A22" s="267">
        <v>12160</v>
      </c>
      <c r="B22" s="269" t="s">
        <v>252</v>
      </c>
      <c r="C22" s="272">
        <v>45448606</v>
      </c>
      <c r="D22" s="280">
        <v>500478</v>
      </c>
      <c r="E22" s="280">
        <v>363067</v>
      </c>
      <c r="F22" s="280">
        <v>4923468</v>
      </c>
      <c r="G22" s="280">
        <v>2319038</v>
      </c>
      <c r="H22" s="280">
        <v>44530</v>
      </c>
      <c r="J22" s="280">
        <v>12125321</v>
      </c>
      <c r="K22" s="280">
        <v>770046</v>
      </c>
      <c r="L22" s="280">
        <v>-833562</v>
      </c>
      <c r="M22" s="280">
        <v>847313</v>
      </c>
      <c r="N22" s="280">
        <v>13751</v>
      </c>
    </row>
    <row r="23" spans="1:14" ht="13.8">
      <c r="A23" s="267">
        <v>12220</v>
      </c>
      <c r="B23" s="270" t="s">
        <v>437</v>
      </c>
      <c r="C23" s="272">
        <v>1067366413</v>
      </c>
      <c r="D23" s="280">
        <v>11753793</v>
      </c>
      <c r="E23" s="280">
        <v>8526671</v>
      </c>
      <c r="F23" s="280">
        <v>115628274</v>
      </c>
      <c r="G23" s="280">
        <v>93639936</v>
      </c>
      <c r="H23" s="280">
        <v>1045805</v>
      </c>
      <c r="J23" s="280">
        <v>284764745</v>
      </c>
      <c r="K23" s="280">
        <v>139372917</v>
      </c>
      <c r="L23" s="280">
        <v>-19576322</v>
      </c>
      <c r="M23" s="280">
        <v>-6348653</v>
      </c>
      <c r="N23" s="280">
        <v>-25924975</v>
      </c>
    </row>
    <row r="24" spans="1:14" ht="13.8">
      <c r="A24" s="267">
        <v>12510</v>
      </c>
      <c r="B24" s="269" t="s">
        <v>253</v>
      </c>
      <c r="C24" s="272">
        <v>105694565</v>
      </c>
      <c r="D24" s="280">
        <v>1163904</v>
      </c>
      <c r="E24" s="280">
        <v>844342</v>
      </c>
      <c r="F24" s="280">
        <v>11449939</v>
      </c>
      <c r="G24" s="280">
        <v>14860065</v>
      </c>
      <c r="H24" s="280">
        <v>103559</v>
      </c>
      <c r="J24" s="280">
        <v>28198457</v>
      </c>
      <c r="K24" s="280">
        <v>11397997</v>
      </c>
      <c r="L24" s="280">
        <v>-1938520</v>
      </c>
      <c r="M24" s="280">
        <v>-2991540</v>
      </c>
      <c r="N24" s="280">
        <v>-4930060</v>
      </c>
    </row>
    <row r="25" spans="1:14" ht="13.8">
      <c r="A25" s="267">
        <v>12600</v>
      </c>
      <c r="B25" s="270" t="s">
        <v>438</v>
      </c>
      <c r="C25" s="272">
        <v>44287599</v>
      </c>
      <c r="D25" s="280">
        <v>487693</v>
      </c>
      <c r="E25" s="280">
        <v>353792</v>
      </c>
      <c r="F25" s="280">
        <v>4797695</v>
      </c>
      <c r="G25" s="280">
        <v>1029183</v>
      </c>
      <c r="H25" s="280">
        <v>43393</v>
      </c>
      <c r="J25" s="280">
        <v>11815574</v>
      </c>
      <c r="K25" s="280">
        <v>1670130</v>
      </c>
      <c r="L25" s="280">
        <v>-812268</v>
      </c>
      <c r="M25" s="280">
        <v>3443709</v>
      </c>
      <c r="N25" s="280">
        <v>2631441</v>
      </c>
    </row>
    <row r="26" spans="1:14" ht="13.8">
      <c r="A26" s="267">
        <v>12700</v>
      </c>
      <c r="B26" s="270" t="s">
        <v>439</v>
      </c>
      <c r="C26" s="272">
        <v>26408215</v>
      </c>
      <c r="D26" s="280">
        <v>290806</v>
      </c>
      <c r="E26" s="280">
        <v>210962</v>
      </c>
      <c r="F26" s="280">
        <v>2860814</v>
      </c>
      <c r="G26" s="280">
        <v>1564477</v>
      </c>
      <c r="H26" s="280">
        <v>25875</v>
      </c>
      <c r="J26" s="280">
        <v>7045499</v>
      </c>
      <c r="K26" s="280">
        <v>465250</v>
      </c>
      <c r="L26" s="280">
        <v>-484346</v>
      </c>
      <c r="M26" s="280">
        <v>498861</v>
      </c>
      <c r="N26" s="280">
        <v>14515</v>
      </c>
    </row>
    <row r="27" spans="1:14" ht="13.8">
      <c r="A27" s="267">
        <v>13500</v>
      </c>
      <c r="B27" s="270" t="s">
        <v>440</v>
      </c>
      <c r="C27" s="272">
        <v>104218001</v>
      </c>
      <c r="D27" s="280">
        <v>1147644</v>
      </c>
      <c r="E27" s="280">
        <v>832547</v>
      </c>
      <c r="F27" s="280">
        <v>11289982</v>
      </c>
      <c r="G27" s="280">
        <v>4556368</v>
      </c>
      <c r="H27" s="280">
        <v>102113</v>
      </c>
      <c r="J27" s="280">
        <v>27804522</v>
      </c>
      <c r="K27" s="280">
        <v>1924423</v>
      </c>
      <c r="L27" s="280">
        <v>-1911438</v>
      </c>
      <c r="M27" s="280">
        <v>301042</v>
      </c>
      <c r="N27" s="280">
        <v>-1610396</v>
      </c>
    </row>
    <row r="28" spans="1:14" ht="13.8">
      <c r="A28" s="266">
        <v>13700</v>
      </c>
      <c r="B28" s="268" t="s">
        <v>441</v>
      </c>
      <c r="C28" s="271">
        <v>11716071</v>
      </c>
      <c r="D28" s="271">
        <v>129017</v>
      </c>
      <c r="E28" s="271">
        <v>93594</v>
      </c>
      <c r="F28" s="271">
        <v>1269207</v>
      </c>
      <c r="G28" s="271">
        <v>1132401</v>
      </c>
      <c r="H28" s="271">
        <v>11479</v>
      </c>
      <c r="J28" s="271">
        <v>3125753</v>
      </c>
      <c r="K28" s="271">
        <v>296983</v>
      </c>
      <c r="L28" s="271">
        <v>-214883</v>
      </c>
      <c r="M28" s="271">
        <v>265591</v>
      </c>
      <c r="N28" s="271">
        <v>50708</v>
      </c>
    </row>
    <row r="29" spans="1:14" ht="13.8">
      <c r="A29" s="266">
        <v>14300</v>
      </c>
      <c r="B29" s="268" t="s">
        <v>855</v>
      </c>
      <c r="C29" s="271">
        <v>36108667</v>
      </c>
      <c r="D29" s="271">
        <v>397627</v>
      </c>
      <c r="E29" s="271">
        <v>288455</v>
      </c>
      <c r="F29" s="271">
        <v>3911668</v>
      </c>
      <c r="G29" s="271">
        <v>1537998</v>
      </c>
      <c r="H29" s="271">
        <v>35379</v>
      </c>
      <c r="J29" s="271">
        <v>9633501</v>
      </c>
      <c r="K29" s="271">
        <v>1255988</v>
      </c>
      <c r="L29" s="271">
        <v>-662260</v>
      </c>
      <c r="M29" s="271">
        <v>-561980</v>
      </c>
      <c r="N29" s="271">
        <v>-1224240</v>
      </c>
    </row>
    <row r="30" spans="1:14" ht="13.8">
      <c r="A30" s="138">
        <v>14300.2</v>
      </c>
      <c r="B30" s="268" t="s">
        <v>856</v>
      </c>
      <c r="C30" s="271">
        <v>4713242</v>
      </c>
      <c r="D30" s="271">
        <v>51902</v>
      </c>
      <c r="E30" s="271">
        <v>37652</v>
      </c>
      <c r="F30" s="271">
        <v>510588</v>
      </c>
      <c r="G30" s="271">
        <v>844329</v>
      </c>
      <c r="H30" s="271">
        <v>4618</v>
      </c>
      <c r="J30" s="271">
        <v>1257455</v>
      </c>
      <c r="K30" s="271">
        <v>455271</v>
      </c>
      <c r="L30" s="271">
        <v>-86445</v>
      </c>
      <c r="M30" s="271">
        <v>61973</v>
      </c>
      <c r="N30" s="271">
        <v>-24472</v>
      </c>
    </row>
    <row r="31" spans="1:14" ht="13.8">
      <c r="A31" s="266">
        <v>18400</v>
      </c>
      <c r="B31" s="268" t="s">
        <v>443</v>
      </c>
      <c r="C31" s="271">
        <v>125330883</v>
      </c>
      <c r="D31" s="271">
        <v>1380138</v>
      </c>
      <c r="E31" s="271">
        <v>1001207</v>
      </c>
      <c r="F31" s="271">
        <v>13577150</v>
      </c>
      <c r="G31" s="271">
        <v>596622</v>
      </c>
      <c r="H31" s="271">
        <v>122799</v>
      </c>
      <c r="J31" s="271">
        <v>33437268</v>
      </c>
      <c r="K31" s="271">
        <v>1971041</v>
      </c>
      <c r="L31" s="271">
        <v>-2298663</v>
      </c>
      <c r="M31" s="271">
        <v>-675252</v>
      </c>
      <c r="N31" s="271">
        <v>-2973915</v>
      </c>
    </row>
    <row r="32" spans="1:14" ht="13.8">
      <c r="A32" s="266">
        <v>18600</v>
      </c>
      <c r="B32" s="268" t="s">
        <v>444</v>
      </c>
      <c r="C32" s="271">
        <v>247733</v>
      </c>
      <c r="D32" s="271">
        <v>2728</v>
      </c>
      <c r="E32" s="271">
        <v>1979</v>
      </c>
      <c r="F32" s="271">
        <v>26837</v>
      </c>
      <c r="G32" s="271">
        <v>52113</v>
      </c>
      <c r="H32" s="271">
        <v>243</v>
      </c>
      <c r="J32" s="271">
        <v>66093</v>
      </c>
      <c r="K32" s="271">
        <v>140305</v>
      </c>
      <c r="L32" s="271">
        <v>-4545</v>
      </c>
      <c r="M32" s="271">
        <v>-30254</v>
      </c>
      <c r="N32" s="271">
        <v>-34799</v>
      </c>
    </row>
    <row r="33" spans="1:14" ht="13.8">
      <c r="A33" s="266">
        <v>18640</v>
      </c>
      <c r="B33" s="268" t="s">
        <v>241</v>
      </c>
      <c r="C33" s="271">
        <v>49021</v>
      </c>
      <c r="D33" s="271">
        <v>540</v>
      </c>
      <c r="E33" s="271">
        <v>392</v>
      </c>
      <c r="F33" s="271">
        <v>5310</v>
      </c>
      <c r="G33" s="271">
        <v>14235</v>
      </c>
      <c r="H33" s="271">
        <v>48</v>
      </c>
      <c r="J33" s="271">
        <v>13078</v>
      </c>
      <c r="K33" s="271">
        <v>712</v>
      </c>
      <c r="L33" s="271">
        <v>-900</v>
      </c>
      <c r="M33" s="271">
        <v>13666</v>
      </c>
      <c r="N33" s="271">
        <v>12766</v>
      </c>
    </row>
    <row r="34" spans="1:14" ht="13.8">
      <c r="A34" s="267">
        <v>18740</v>
      </c>
      <c r="B34" s="269" t="s">
        <v>446</v>
      </c>
      <c r="C34" s="273">
        <v>0</v>
      </c>
      <c r="D34" s="273">
        <v>0</v>
      </c>
      <c r="E34" s="273">
        <v>0</v>
      </c>
      <c r="F34" s="273">
        <v>0</v>
      </c>
      <c r="G34" s="273">
        <v>20021</v>
      </c>
      <c r="H34" s="273">
        <v>0</v>
      </c>
      <c r="J34" s="273">
        <v>0</v>
      </c>
      <c r="K34" s="273">
        <v>87169</v>
      </c>
      <c r="L34" s="273">
        <v>0</v>
      </c>
      <c r="M34" s="280">
        <v>-38489</v>
      </c>
      <c r="N34" s="280">
        <v>-38489</v>
      </c>
    </row>
    <row r="35" spans="1:14" ht="13.8">
      <c r="A35" s="267">
        <v>18780</v>
      </c>
      <c r="B35" s="270" t="s">
        <v>447</v>
      </c>
      <c r="C35" s="272">
        <v>658335</v>
      </c>
      <c r="D35" s="280">
        <v>7250</v>
      </c>
      <c r="E35" s="280">
        <v>5259</v>
      </c>
      <c r="F35" s="280">
        <v>71318</v>
      </c>
      <c r="G35" s="280">
        <v>122236</v>
      </c>
      <c r="H35" s="280">
        <v>645</v>
      </c>
      <c r="J35" s="280">
        <v>175639</v>
      </c>
      <c r="K35" s="273">
        <v>0</v>
      </c>
      <c r="L35" s="280">
        <v>-12075</v>
      </c>
      <c r="M35" s="280">
        <v>85667</v>
      </c>
      <c r="N35" s="280">
        <v>73592</v>
      </c>
    </row>
    <row r="36" spans="1:14" ht="13.8">
      <c r="A36" s="267">
        <v>19005</v>
      </c>
      <c r="B36" s="270" t="s">
        <v>448</v>
      </c>
      <c r="C36" s="272">
        <v>21606807</v>
      </c>
      <c r="D36" s="280">
        <v>237933</v>
      </c>
      <c r="E36" s="280">
        <v>172606</v>
      </c>
      <c r="F36" s="280">
        <v>2340675</v>
      </c>
      <c r="G36" s="280">
        <v>4452408</v>
      </c>
      <c r="H36" s="280">
        <v>21170</v>
      </c>
      <c r="J36" s="280">
        <v>5764522</v>
      </c>
      <c r="K36" s="280">
        <v>400788</v>
      </c>
      <c r="L36" s="280">
        <v>-396283</v>
      </c>
      <c r="M36" s="280">
        <v>1175025</v>
      </c>
      <c r="N36" s="280">
        <v>778742</v>
      </c>
    </row>
    <row r="37" spans="1:14" ht="13.8">
      <c r="A37" s="267">
        <v>19100</v>
      </c>
      <c r="B37" s="269" t="s">
        <v>254</v>
      </c>
      <c r="C37" s="272">
        <v>489151266</v>
      </c>
      <c r="D37" s="280">
        <v>5386513</v>
      </c>
      <c r="E37" s="280">
        <v>3907592</v>
      </c>
      <c r="F37" s="280">
        <v>52989972</v>
      </c>
      <c r="G37" s="280">
        <v>113524354</v>
      </c>
      <c r="H37" s="280">
        <v>479270</v>
      </c>
      <c r="J37" s="280">
        <v>130501610</v>
      </c>
      <c r="K37" s="280">
        <v>1240938061</v>
      </c>
      <c r="L37" s="280">
        <v>-8971410</v>
      </c>
      <c r="M37" s="280">
        <v>-274487226</v>
      </c>
      <c r="N37" s="280">
        <v>-283458636</v>
      </c>
    </row>
    <row r="38" spans="1:14" ht="13.8">
      <c r="A38" s="267">
        <v>19120</v>
      </c>
      <c r="B38" s="270" t="s">
        <v>881</v>
      </c>
      <c r="C38" s="272">
        <v>1190978427</v>
      </c>
      <c r="D38" s="280">
        <v>13115004</v>
      </c>
      <c r="E38" s="280">
        <v>9514148</v>
      </c>
      <c r="F38" s="280">
        <v>129019218</v>
      </c>
      <c r="G38" s="280">
        <v>1141654404</v>
      </c>
      <c r="H38" s="280">
        <v>1166919</v>
      </c>
      <c r="J38" s="280">
        <v>317743433</v>
      </c>
      <c r="K38" s="273">
        <v>0</v>
      </c>
      <c r="L38" s="280">
        <v>-21843459</v>
      </c>
      <c r="M38" s="280">
        <v>285413601</v>
      </c>
      <c r="N38" s="280">
        <v>263570142</v>
      </c>
    </row>
    <row r="39" spans="1:14" ht="13.8">
      <c r="A39" s="267">
        <v>20100</v>
      </c>
      <c r="B39" s="269" t="s">
        <v>37</v>
      </c>
      <c r="C39" s="272">
        <v>285956342</v>
      </c>
      <c r="D39" s="280">
        <v>3148939</v>
      </c>
      <c r="E39" s="280">
        <v>2284366</v>
      </c>
      <c r="F39" s="280">
        <v>30977777</v>
      </c>
      <c r="G39" s="280">
        <v>14843006</v>
      </c>
      <c r="H39" s="280">
        <v>280180</v>
      </c>
      <c r="J39" s="280">
        <v>76290844</v>
      </c>
      <c r="K39" s="280">
        <v>1992634</v>
      </c>
      <c r="L39" s="280">
        <v>-5244661</v>
      </c>
      <c r="M39" s="280">
        <v>7944008</v>
      </c>
      <c r="N39" s="280">
        <v>2699347</v>
      </c>
    </row>
    <row r="40" spans="1:14" ht="13.8">
      <c r="A40" s="266">
        <v>20200</v>
      </c>
      <c r="B40" s="268" t="s">
        <v>449</v>
      </c>
      <c r="C40" s="271">
        <v>39897299</v>
      </c>
      <c r="D40" s="271">
        <v>439347</v>
      </c>
      <c r="E40" s="271">
        <v>318720</v>
      </c>
      <c r="F40" s="271">
        <v>4322092</v>
      </c>
      <c r="G40" s="271">
        <v>1220491</v>
      </c>
      <c r="H40" s="271">
        <v>39091</v>
      </c>
      <c r="J40" s="271">
        <v>10644277</v>
      </c>
      <c r="K40" s="271">
        <v>1221085</v>
      </c>
      <c r="L40" s="271">
        <v>-731746</v>
      </c>
      <c r="M40" s="271">
        <v>1184275</v>
      </c>
      <c r="N40" s="271">
        <v>452529</v>
      </c>
    </row>
    <row r="41" spans="1:14" ht="13.8">
      <c r="A41" s="266">
        <v>20300</v>
      </c>
      <c r="B41" s="268" t="s">
        <v>39</v>
      </c>
      <c r="C41" s="271">
        <v>595494706</v>
      </c>
      <c r="D41" s="271">
        <v>6557562</v>
      </c>
      <c r="E41" s="271">
        <v>4757118</v>
      </c>
      <c r="F41" s="271">
        <v>64510204</v>
      </c>
      <c r="G41" s="271">
        <v>917100</v>
      </c>
      <c r="H41" s="271">
        <v>583465</v>
      </c>
      <c r="J41" s="271">
        <v>158873182</v>
      </c>
      <c r="K41" s="271">
        <v>42206341</v>
      </c>
      <c r="L41" s="271">
        <v>-10921832</v>
      </c>
      <c r="M41" s="271">
        <v>-2222490</v>
      </c>
      <c r="N41" s="271">
        <v>-13144322</v>
      </c>
    </row>
    <row r="42" spans="1:14" ht="13.8">
      <c r="A42" s="266">
        <v>20400</v>
      </c>
      <c r="B42" s="268" t="s">
        <v>40</v>
      </c>
      <c r="C42" s="271">
        <v>32746063</v>
      </c>
      <c r="D42" s="271">
        <v>360598</v>
      </c>
      <c r="E42" s="271">
        <v>261592</v>
      </c>
      <c r="F42" s="271">
        <v>3547395</v>
      </c>
      <c r="G42" s="271">
        <v>2665083</v>
      </c>
      <c r="H42" s="271">
        <v>32085</v>
      </c>
      <c r="J42" s="271">
        <v>8736385</v>
      </c>
      <c r="K42" s="271">
        <v>301362</v>
      </c>
      <c r="L42" s="271">
        <v>-600588</v>
      </c>
      <c r="M42" s="271">
        <v>968509</v>
      </c>
      <c r="N42" s="271">
        <v>367921</v>
      </c>
    </row>
    <row r="43" spans="1:14" ht="13.8">
      <c r="A43" s="266">
        <v>20600</v>
      </c>
      <c r="B43" s="268" t="s">
        <v>41</v>
      </c>
      <c r="C43" s="271">
        <v>68151448</v>
      </c>
      <c r="D43" s="271">
        <v>750481</v>
      </c>
      <c r="E43" s="271">
        <v>544429</v>
      </c>
      <c r="F43" s="271">
        <v>7382876</v>
      </c>
      <c r="G43" s="271">
        <v>1723266</v>
      </c>
      <c r="H43" s="271">
        <v>66775</v>
      </c>
      <c r="J43" s="271">
        <v>18182256</v>
      </c>
      <c r="K43" s="271">
        <v>6043595</v>
      </c>
      <c r="L43" s="271">
        <v>-1249951</v>
      </c>
      <c r="M43" s="271">
        <v>271918</v>
      </c>
      <c r="N43" s="271">
        <v>-978033</v>
      </c>
    </row>
    <row r="44" spans="1:14" ht="13.8">
      <c r="A44" s="266">
        <v>20700</v>
      </c>
      <c r="B44" s="268" t="s">
        <v>450</v>
      </c>
      <c r="C44" s="271">
        <v>153111608</v>
      </c>
      <c r="D44" s="271">
        <v>1686058</v>
      </c>
      <c r="E44" s="271">
        <v>1223134</v>
      </c>
      <c r="F44" s="271">
        <v>16586648</v>
      </c>
      <c r="G44" s="271">
        <v>5461154</v>
      </c>
      <c r="H44" s="271">
        <v>150019</v>
      </c>
      <c r="J44" s="271">
        <v>40848941</v>
      </c>
      <c r="K44" s="271">
        <v>7355455</v>
      </c>
      <c r="L44" s="271">
        <v>-2808184</v>
      </c>
      <c r="M44" s="271">
        <v>2718154</v>
      </c>
      <c r="N44" s="271">
        <v>-90030</v>
      </c>
    </row>
    <row r="45" spans="1:14" ht="13.8">
      <c r="A45" s="266">
        <v>20800</v>
      </c>
      <c r="B45" s="268" t="s">
        <v>451</v>
      </c>
      <c r="C45" s="271">
        <v>104177066</v>
      </c>
      <c r="D45" s="271">
        <v>1147193</v>
      </c>
      <c r="E45" s="271">
        <v>832220</v>
      </c>
      <c r="F45" s="271">
        <v>11285547</v>
      </c>
      <c r="G45" s="271">
        <v>0</v>
      </c>
      <c r="H45" s="271">
        <v>102073</v>
      </c>
      <c r="J45" s="271">
        <v>27793600</v>
      </c>
      <c r="K45" s="271">
        <v>11058832</v>
      </c>
      <c r="L45" s="271">
        <v>-1910689</v>
      </c>
      <c r="M45" s="271">
        <v>-2501338</v>
      </c>
      <c r="N45" s="271">
        <v>-4412027</v>
      </c>
    </row>
    <row r="46" spans="1:14" ht="13.8">
      <c r="A46" s="267">
        <v>20900</v>
      </c>
      <c r="B46" s="269" t="s">
        <v>44</v>
      </c>
      <c r="C46" s="272">
        <v>258929809</v>
      </c>
      <c r="D46" s="280">
        <v>2851324</v>
      </c>
      <c r="E46" s="280">
        <v>2068464</v>
      </c>
      <c r="F46" s="280">
        <v>28049980</v>
      </c>
      <c r="G46" s="280">
        <v>8821629</v>
      </c>
      <c r="H46" s="280">
        <v>253699</v>
      </c>
      <c r="J46" s="280">
        <v>69080383</v>
      </c>
      <c r="K46" s="280">
        <v>14741356</v>
      </c>
      <c r="L46" s="280">
        <v>-4748971</v>
      </c>
      <c r="M46" s="280">
        <v>6067705</v>
      </c>
      <c r="N46" s="280">
        <v>1318734</v>
      </c>
    </row>
    <row r="47" spans="1:14" ht="13.8">
      <c r="A47" s="267">
        <v>21200</v>
      </c>
      <c r="B47" s="270" t="s">
        <v>452</v>
      </c>
      <c r="C47" s="272">
        <v>81749145</v>
      </c>
      <c r="D47" s="280">
        <v>900218</v>
      </c>
      <c r="E47" s="280">
        <v>653054</v>
      </c>
      <c r="F47" s="280">
        <v>8855921</v>
      </c>
      <c r="G47" s="280">
        <v>3370449</v>
      </c>
      <c r="H47" s="280">
        <v>80098</v>
      </c>
      <c r="J47" s="280">
        <v>21810012</v>
      </c>
      <c r="K47" s="280">
        <v>3155130</v>
      </c>
      <c r="L47" s="280">
        <v>-1499343</v>
      </c>
      <c r="M47" s="280">
        <v>1535315</v>
      </c>
      <c r="N47" s="280">
        <v>35972</v>
      </c>
    </row>
    <row r="48" spans="1:14" ht="13.8">
      <c r="A48" s="267">
        <v>21300</v>
      </c>
      <c r="B48" s="270" t="s">
        <v>453</v>
      </c>
      <c r="C48" s="272">
        <v>1016074701</v>
      </c>
      <c r="D48" s="280">
        <v>11188971</v>
      </c>
      <c r="E48" s="280">
        <v>8116927</v>
      </c>
      <c r="F48" s="280">
        <v>110071821</v>
      </c>
      <c r="G48" s="280">
        <v>28461363</v>
      </c>
      <c r="H48" s="280">
        <v>995549</v>
      </c>
      <c r="J48" s="280">
        <v>271080530</v>
      </c>
      <c r="K48" s="280">
        <v>37986303</v>
      </c>
      <c r="L48" s="280">
        <v>-18635591</v>
      </c>
      <c r="M48" s="280">
        <v>19140464</v>
      </c>
      <c r="N48" s="280">
        <v>504873</v>
      </c>
    </row>
    <row r="49" spans="1:14" ht="13.8">
      <c r="A49" s="267">
        <v>21520</v>
      </c>
      <c r="B49" s="270" t="s">
        <v>490</v>
      </c>
      <c r="C49" s="272">
        <v>1947940481</v>
      </c>
      <c r="D49" s="280">
        <v>21450637</v>
      </c>
      <c r="E49" s="280">
        <v>15561149</v>
      </c>
      <c r="F49" s="280">
        <v>211021252</v>
      </c>
      <c r="G49" s="280">
        <v>91618040</v>
      </c>
      <c r="H49" s="280">
        <v>1908590</v>
      </c>
      <c r="J49" s="280">
        <v>519694800</v>
      </c>
      <c r="K49" s="273">
        <v>0</v>
      </c>
      <c r="L49" s="280">
        <v>-35726727</v>
      </c>
      <c r="M49" s="280">
        <v>65115887</v>
      </c>
      <c r="N49" s="280">
        <v>29389160</v>
      </c>
    </row>
    <row r="50" spans="1:14" ht="13.8">
      <c r="A50" s="267">
        <v>21525</v>
      </c>
      <c r="B50" s="270" t="s">
        <v>882</v>
      </c>
      <c r="C50" s="272">
        <v>49557498</v>
      </c>
      <c r="D50" s="280">
        <v>545725</v>
      </c>
      <c r="E50" s="280">
        <v>395891</v>
      </c>
      <c r="F50" s="280">
        <v>5368586</v>
      </c>
      <c r="G50" s="280">
        <v>5330209</v>
      </c>
      <c r="H50" s="280">
        <v>48556</v>
      </c>
      <c r="J50" s="280">
        <v>13221540</v>
      </c>
      <c r="K50" s="280">
        <v>816580</v>
      </c>
      <c r="L50" s="280">
        <v>-908923</v>
      </c>
      <c r="M50" s="280">
        <v>1105888</v>
      </c>
      <c r="N50" s="280">
        <v>196965</v>
      </c>
    </row>
    <row r="51" spans="1:14" ht="13.8">
      <c r="A51" s="138">
        <v>21525.200000000001</v>
      </c>
      <c r="B51" s="270" t="s">
        <v>883</v>
      </c>
      <c r="C51" s="272">
        <v>5527470</v>
      </c>
      <c r="D51" s="280">
        <v>60868</v>
      </c>
      <c r="E51" s="280">
        <v>44156</v>
      </c>
      <c r="F51" s="280">
        <v>598793</v>
      </c>
      <c r="G51" s="280">
        <v>1640001</v>
      </c>
      <c r="H51" s="280">
        <v>5416</v>
      </c>
      <c r="J51" s="280">
        <v>1474684</v>
      </c>
      <c r="K51" s="280">
        <v>22175</v>
      </c>
      <c r="L51" s="280">
        <v>-101379</v>
      </c>
      <c r="M51" s="280">
        <v>803483</v>
      </c>
      <c r="N51" s="280">
        <v>702104</v>
      </c>
    </row>
    <row r="52" spans="1:14" ht="13.8">
      <c r="A52" s="266">
        <v>21550</v>
      </c>
      <c r="B52" s="268" t="s">
        <v>48</v>
      </c>
      <c r="C52" s="271">
        <v>1186285088</v>
      </c>
      <c r="D52" s="271">
        <v>13063321</v>
      </c>
      <c r="E52" s="271">
        <v>9476655</v>
      </c>
      <c r="F52" s="271">
        <v>128510787</v>
      </c>
      <c r="G52" s="271">
        <v>88273807</v>
      </c>
      <c r="H52" s="271">
        <v>1162321</v>
      </c>
      <c r="J52" s="271">
        <v>316491288</v>
      </c>
      <c r="K52" s="271">
        <v>44171468</v>
      </c>
      <c r="L52" s="271">
        <v>-21757381</v>
      </c>
      <c r="M52" s="271">
        <v>39372173</v>
      </c>
      <c r="N52" s="271">
        <v>17614792</v>
      </c>
    </row>
    <row r="53" spans="1:14" ht="13.8">
      <c r="A53" s="266">
        <v>21570</v>
      </c>
      <c r="B53" s="268" t="s">
        <v>255</v>
      </c>
      <c r="C53" s="271">
        <v>4835445</v>
      </c>
      <c r="D53" s="271">
        <v>53248</v>
      </c>
      <c r="E53" s="271">
        <v>38628</v>
      </c>
      <c r="F53" s="271">
        <v>523826</v>
      </c>
      <c r="G53" s="271">
        <v>460205</v>
      </c>
      <c r="H53" s="271">
        <v>4738</v>
      </c>
      <c r="J53" s="271">
        <v>1290058</v>
      </c>
      <c r="K53" s="271">
        <v>357712</v>
      </c>
      <c r="L53" s="271">
        <v>-88685</v>
      </c>
      <c r="M53" s="271">
        <v>163532</v>
      </c>
      <c r="N53" s="271">
        <v>74847</v>
      </c>
    </row>
    <row r="54" spans="1:14" ht="13.8">
      <c r="A54" s="266">
        <v>21800</v>
      </c>
      <c r="B54" s="268" t="s">
        <v>49</v>
      </c>
      <c r="C54" s="271">
        <v>151055149</v>
      </c>
      <c r="D54" s="271">
        <v>1663413</v>
      </c>
      <c r="E54" s="271">
        <v>1206706</v>
      </c>
      <c r="F54" s="271">
        <v>16363871</v>
      </c>
      <c r="G54" s="271">
        <v>2619763</v>
      </c>
      <c r="H54" s="271">
        <v>148004</v>
      </c>
      <c r="J54" s="271">
        <v>40300295</v>
      </c>
      <c r="K54" s="271">
        <v>4903529</v>
      </c>
      <c r="L54" s="271">
        <v>-2770468</v>
      </c>
      <c r="M54" s="271">
        <v>3264604</v>
      </c>
      <c r="N54" s="271">
        <v>494136</v>
      </c>
    </row>
    <row r="55" spans="1:14" ht="13.8">
      <c r="A55" s="266">
        <v>21900</v>
      </c>
      <c r="B55" s="268" t="s">
        <v>50</v>
      </c>
      <c r="C55" s="271">
        <v>66866432</v>
      </c>
      <c r="D55" s="271">
        <v>736330</v>
      </c>
      <c r="E55" s="271">
        <v>534163</v>
      </c>
      <c r="F55" s="271">
        <v>7243670</v>
      </c>
      <c r="G55" s="271">
        <v>0</v>
      </c>
      <c r="H55" s="271">
        <v>65516</v>
      </c>
      <c r="J55" s="271">
        <v>17839424</v>
      </c>
      <c r="K55" s="271">
        <v>9266054</v>
      </c>
      <c r="L55" s="271">
        <v>-1226383</v>
      </c>
      <c r="M55" s="271">
        <v>-3319713</v>
      </c>
      <c r="N55" s="271">
        <v>-4546096</v>
      </c>
    </row>
    <row r="56" spans="1:14" ht="13.8">
      <c r="A56" s="266">
        <v>22000</v>
      </c>
      <c r="B56" s="268" t="s">
        <v>256</v>
      </c>
      <c r="C56" s="271">
        <v>96152236</v>
      </c>
      <c r="D56" s="271">
        <v>1058824</v>
      </c>
      <c r="E56" s="271">
        <v>768113</v>
      </c>
      <c r="F56" s="271">
        <v>10416214</v>
      </c>
      <c r="G56" s="271">
        <v>18587294</v>
      </c>
      <c r="H56" s="271">
        <v>94210</v>
      </c>
      <c r="J56" s="271">
        <v>25652641</v>
      </c>
      <c r="K56" s="271">
        <v>2022221</v>
      </c>
      <c r="L56" s="271">
        <v>-1763505</v>
      </c>
      <c r="M56" s="271">
        <v>2855759</v>
      </c>
      <c r="N56" s="271">
        <v>1092254</v>
      </c>
    </row>
    <row r="57" spans="1:14" ht="13.8">
      <c r="A57" s="266">
        <v>23000</v>
      </c>
      <c r="B57" s="268" t="s">
        <v>51</v>
      </c>
      <c r="C57" s="271">
        <v>58829035</v>
      </c>
      <c r="D57" s="271">
        <v>647823</v>
      </c>
      <c r="E57" s="271">
        <v>469957</v>
      </c>
      <c r="F57" s="271">
        <v>6372975</v>
      </c>
      <c r="G57" s="271">
        <v>0</v>
      </c>
      <c r="H57" s="271">
        <v>57641</v>
      </c>
      <c r="J57" s="271">
        <v>15695112</v>
      </c>
      <c r="K57" s="271">
        <v>5700075</v>
      </c>
      <c r="L57" s="271">
        <v>-1078968</v>
      </c>
      <c r="M57" s="271">
        <v>-1136825</v>
      </c>
      <c r="N57" s="271">
        <v>-2215793</v>
      </c>
    </row>
    <row r="58" spans="1:14" ht="13.8">
      <c r="A58" s="267">
        <v>23100</v>
      </c>
      <c r="B58" s="269" t="s">
        <v>52</v>
      </c>
      <c r="C58" s="272">
        <v>400714688</v>
      </c>
      <c r="D58" s="280">
        <v>4412653</v>
      </c>
      <c r="E58" s="280">
        <v>3201115</v>
      </c>
      <c r="F58" s="280">
        <v>43409599</v>
      </c>
      <c r="G58" s="280">
        <v>7057879</v>
      </c>
      <c r="H58" s="280">
        <v>392620</v>
      </c>
      <c r="J58" s="280">
        <v>106907445</v>
      </c>
      <c r="K58" s="280">
        <v>11034429</v>
      </c>
      <c r="L58" s="280">
        <v>-7349415</v>
      </c>
      <c r="M58" s="280">
        <v>8977987</v>
      </c>
      <c r="N58" s="280">
        <v>1628572</v>
      </c>
    </row>
    <row r="59" spans="1:14" ht="13.8">
      <c r="A59" s="267">
        <v>23200</v>
      </c>
      <c r="B59" s="269" t="s">
        <v>53</v>
      </c>
      <c r="C59" s="272">
        <v>232772119</v>
      </c>
      <c r="D59" s="280">
        <v>2563277</v>
      </c>
      <c r="E59" s="280">
        <v>1859503</v>
      </c>
      <c r="F59" s="280">
        <v>25216306</v>
      </c>
      <c r="G59" s="280">
        <v>18320274</v>
      </c>
      <c r="H59" s="280">
        <v>228070</v>
      </c>
      <c r="J59" s="280">
        <v>62101723</v>
      </c>
      <c r="K59" s="280">
        <v>1147080</v>
      </c>
      <c r="L59" s="280">
        <v>-4269220</v>
      </c>
      <c r="M59" s="280">
        <v>11986781</v>
      </c>
      <c r="N59" s="280">
        <v>7717561</v>
      </c>
    </row>
    <row r="60" spans="1:14" ht="13.8">
      <c r="A60" s="267">
        <v>30000</v>
      </c>
      <c r="B60" s="269" t="s">
        <v>257</v>
      </c>
      <c r="C60" s="272">
        <v>20360230</v>
      </c>
      <c r="D60" s="280">
        <v>224206</v>
      </c>
      <c r="E60" s="280">
        <v>162648</v>
      </c>
      <c r="F60" s="280">
        <v>2205633</v>
      </c>
      <c r="G60" s="280">
        <v>1512436</v>
      </c>
      <c r="H60" s="280">
        <v>19949</v>
      </c>
      <c r="J60" s="280">
        <v>5431945</v>
      </c>
      <c r="K60" s="280">
        <v>1966935</v>
      </c>
      <c r="L60" s="280">
        <v>-373423</v>
      </c>
      <c r="M60" s="280">
        <v>-1000100</v>
      </c>
      <c r="N60" s="280">
        <v>-1373523</v>
      </c>
    </row>
    <row r="61" spans="1:14" ht="13.8">
      <c r="A61" s="267">
        <v>30100</v>
      </c>
      <c r="B61" s="269" t="s">
        <v>258</v>
      </c>
      <c r="C61" s="272">
        <v>200068770</v>
      </c>
      <c r="D61" s="280">
        <v>2203149</v>
      </c>
      <c r="E61" s="280">
        <v>1598252</v>
      </c>
      <c r="F61" s="280">
        <v>21673538</v>
      </c>
      <c r="G61" s="280">
        <v>11716625</v>
      </c>
      <c r="H61" s="280">
        <v>196027</v>
      </c>
      <c r="J61" s="280">
        <v>53376733</v>
      </c>
      <c r="K61" s="280">
        <v>11617889</v>
      </c>
      <c r="L61" s="280">
        <v>-3669416</v>
      </c>
      <c r="M61" s="280">
        <v>-2799144</v>
      </c>
      <c r="N61" s="280">
        <v>-6468560</v>
      </c>
    </row>
    <row r="62" spans="1:14" ht="13.8">
      <c r="A62" s="267">
        <v>30102</v>
      </c>
      <c r="B62" s="269" t="s">
        <v>259</v>
      </c>
      <c r="C62" s="272">
        <v>5170888</v>
      </c>
      <c r="D62" s="280">
        <v>56942</v>
      </c>
      <c r="E62" s="280">
        <v>41308</v>
      </c>
      <c r="F62" s="280">
        <v>560165</v>
      </c>
      <c r="G62" s="280">
        <v>1005728</v>
      </c>
      <c r="H62" s="280">
        <v>5066</v>
      </c>
      <c r="J62" s="280">
        <v>1379551</v>
      </c>
      <c r="K62" s="280">
        <v>2720</v>
      </c>
      <c r="L62" s="280">
        <v>-94838</v>
      </c>
      <c r="M62" s="280">
        <v>292017</v>
      </c>
      <c r="N62" s="280">
        <v>197179</v>
      </c>
    </row>
    <row r="63" spans="1:14" ht="13.8">
      <c r="A63" s="267">
        <v>30103</v>
      </c>
      <c r="B63" s="269" t="s">
        <v>260</v>
      </c>
      <c r="C63" s="272">
        <v>5943639</v>
      </c>
      <c r="D63" s="280">
        <v>65451</v>
      </c>
      <c r="E63" s="280">
        <v>47481</v>
      </c>
      <c r="F63" s="280">
        <v>643877</v>
      </c>
      <c r="G63" s="280">
        <v>786422</v>
      </c>
      <c r="H63" s="280">
        <v>5824</v>
      </c>
      <c r="J63" s="280">
        <v>1585715</v>
      </c>
      <c r="K63" s="280">
        <v>293649</v>
      </c>
      <c r="L63" s="280">
        <v>-109011</v>
      </c>
      <c r="M63" s="280">
        <v>144732</v>
      </c>
      <c r="N63" s="280">
        <v>35721</v>
      </c>
    </row>
    <row r="64" spans="1:14" ht="13.8">
      <c r="A64" s="266">
        <v>30104</v>
      </c>
      <c r="B64" s="268" t="s">
        <v>261</v>
      </c>
      <c r="C64" s="271">
        <v>3677944</v>
      </c>
      <c r="D64" s="271">
        <v>40501</v>
      </c>
      <c r="E64" s="271">
        <v>29381</v>
      </c>
      <c r="F64" s="271">
        <v>398433</v>
      </c>
      <c r="G64" s="271">
        <v>813451</v>
      </c>
      <c r="H64" s="271">
        <v>3604</v>
      </c>
      <c r="J64" s="271">
        <v>981246</v>
      </c>
      <c r="K64" s="271">
        <v>248203</v>
      </c>
      <c r="L64" s="271">
        <v>-67457</v>
      </c>
      <c r="M64" s="271">
        <v>133113</v>
      </c>
      <c r="N64" s="271">
        <v>65656</v>
      </c>
    </row>
    <row r="65" spans="1:14" ht="13.8">
      <c r="A65" s="266">
        <v>30105</v>
      </c>
      <c r="B65" s="268" t="s">
        <v>54</v>
      </c>
      <c r="C65" s="271">
        <v>18276223</v>
      </c>
      <c r="D65" s="271">
        <v>201257</v>
      </c>
      <c r="E65" s="271">
        <v>146000</v>
      </c>
      <c r="F65" s="271">
        <v>1979871</v>
      </c>
      <c r="G65" s="271">
        <v>283356</v>
      </c>
      <c r="H65" s="271">
        <v>17907</v>
      </c>
      <c r="J65" s="271">
        <v>4875949</v>
      </c>
      <c r="K65" s="271">
        <v>1194216</v>
      </c>
      <c r="L65" s="271">
        <v>-335201</v>
      </c>
      <c r="M65" s="271">
        <v>-204517</v>
      </c>
      <c r="N65" s="271">
        <v>-539718</v>
      </c>
    </row>
    <row r="66" spans="1:14" ht="13.8">
      <c r="A66" s="266">
        <v>30200</v>
      </c>
      <c r="B66" s="268" t="s">
        <v>262</v>
      </c>
      <c r="C66" s="271">
        <v>44881860</v>
      </c>
      <c r="D66" s="271">
        <v>494237</v>
      </c>
      <c r="E66" s="271">
        <v>358539</v>
      </c>
      <c r="F66" s="271">
        <v>4862072</v>
      </c>
      <c r="G66" s="271">
        <v>2912574</v>
      </c>
      <c r="H66" s="271">
        <v>43975</v>
      </c>
      <c r="J66" s="271">
        <v>11974118</v>
      </c>
      <c r="K66" s="271">
        <v>3331350</v>
      </c>
      <c r="L66" s="271">
        <v>-823167</v>
      </c>
      <c r="M66" s="271">
        <v>-744278</v>
      </c>
      <c r="N66" s="271">
        <v>-1567445</v>
      </c>
    </row>
    <row r="67" spans="1:14" ht="13.8">
      <c r="A67" s="266">
        <v>30300</v>
      </c>
      <c r="B67" s="268" t="s">
        <v>263</v>
      </c>
      <c r="C67" s="271">
        <v>15281500</v>
      </c>
      <c r="D67" s="271">
        <v>168279</v>
      </c>
      <c r="E67" s="271">
        <v>122076</v>
      </c>
      <c r="F67" s="271">
        <v>1655452</v>
      </c>
      <c r="G67" s="271">
        <v>1423689</v>
      </c>
      <c r="H67" s="271">
        <v>14973</v>
      </c>
      <c r="J67" s="271">
        <v>4076981</v>
      </c>
      <c r="K67" s="271">
        <v>619195</v>
      </c>
      <c r="L67" s="271">
        <v>-280274</v>
      </c>
      <c r="M67" s="271">
        <v>18058</v>
      </c>
      <c r="N67" s="271">
        <v>-262216</v>
      </c>
    </row>
    <row r="68" spans="1:14" ht="13.8">
      <c r="A68" s="266">
        <v>30400</v>
      </c>
      <c r="B68" s="268" t="s">
        <v>264</v>
      </c>
      <c r="C68" s="271">
        <v>28216685</v>
      </c>
      <c r="D68" s="271">
        <v>310721</v>
      </c>
      <c r="E68" s="271">
        <v>225409</v>
      </c>
      <c r="F68" s="271">
        <v>3056726</v>
      </c>
      <c r="G68" s="271">
        <v>2362465</v>
      </c>
      <c r="H68" s="271">
        <v>27647</v>
      </c>
      <c r="J68" s="271">
        <v>7527984</v>
      </c>
      <c r="K68" s="271">
        <v>979205</v>
      </c>
      <c r="L68" s="271">
        <v>-517514</v>
      </c>
      <c r="M68" s="271">
        <v>-104249</v>
      </c>
      <c r="N68" s="271">
        <v>-621763</v>
      </c>
    </row>
    <row r="69" spans="1:14" ht="13.8">
      <c r="A69" s="266">
        <v>30405</v>
      </c>
      <c r="B69" s="268" t="s">
        <v>55</v>
      </c>
      <c r="C69" s="271">
        <v>16206445</v>
      </c>
      <c r="D69" s="271">
        <v>178465</v>
      </c>
      <c r="E69" s="271">
        <v>129465</v>
      </c>
      <c r="F69" s="271">
        <v>1755651</v>
      </c>
      <c r="G69" s="271">
        <v>529128</v>
      </c>
      <c r="H69" s="271">
        <v>15879</v>
      </c>
      <c r="J69" s="271">
        <v>4323749</v>
      </c>
      <c r="K69" s="271">
        <v>908688</v>
      </c>
      <c r="L69" s="271">
        <v>-297237</v>
      </c>
      <c r="M69" s="271">
        <v>-599803</v>
      </c>
      <c r="N69" s="271">
        <v>-897040</v>
      </c>
    </row>
    <row r="70" spans="1:14" ht="13.8">
      <c r="A70" s="267">
        <v>30500</v>
      </c>
      <c r="B70" s="269" t="s">
        <v>265</v>
      </c>
      <c r="C70" s="272">
        <v>28621308</v>
      </c>
      <c r="D70" s="280">
        <v>315177</v>
      </c>
      <c r="E70" s="280">
        <v>228642</v>
      </c>
      <c r="F70" s="280">
        <v>3100559</v>
      </c>
      <c r="G70" s="280">
        <v>2208308</v>
      </c>
      <c r="H70" s="280">
        <v>28043</v>
      </c>
      <c r="J70" s="280">
        <v>7635934</v>
      </c>
      <c r="K70" s="280">
        <v>1976717</v>
      </c>
      <c r="L70" s="280">
        <v>-524937</v>
      </c>
      <c r="M70" s="280">
        <v>-617878</v>
      </c>
      <c r="N70" s="280">
        <v>-1142815</v>
      </c>
    </row>
    <row r="71" spans="1:14" ht="13.8">
      <c r="A71" s="267">
        <v>30600</v>
      </c>
      <c r="B71" s="269" t="s">
        <v>266</v>
      </c>
      <c r="C71" s="272">
        <v>21850130</v>
      </c>
      <c r="D71" s="280">
        <v>240613</v>
      </c>
      <c r="E71" s="280">
        <v>174550</v>
      </c>
      <c r="F71" s="280">
        <v>2367034</v>
      </c>
      <c r="G71" s="280">
        <v>1577288</v>
      </c>
      <c r="H71" s="280">
        <v>21409</v>
      </c>
      <c r="J71" s="280">
        <v>5829438</v>
      </c>
      <c r="K71" s="280">
        <v>978256</v>
      </c>
      <c r="L71" s="280">
        <v>-400747</v>
      </c>
      <c r="M71" s="280">
        <v>-615125</v>
      </c>
      <c r="N71" s="280">
        <v>-1015872</v>
      </c>
    </row>
    <row r="72" spans="1:14" ht="13.8">
      <c r="A72" s="267">
        <v>30601</v>
      </c>
      <c r="B72" s="269" t="s">
        <v>267</v>
      </c>
      <c r="C72" s="273">
        <v>0</v>
      </c>
      <c r="D72" s="273">
        <v>0</v>
      </c>
      <c r="E72" s="273">
        <v>0</v>
      </c>
      <c r="F72" s="273">
        <v>0</v>
      </c>
      <c r="G72" s="273">
        <v>117052</v>
      </c>
      <c r="H72" s="273">
        <v>0</v>
      </c>
      <c r="J72" s="273">
        <v>0</v>
      </c>
      <c r="K72" s="273">
        <v>409783</v>
      </c>
      <c r="L72" s="273">
        <v>0</v>
      </c>
      <c r="M72" s="280">
        <v>-119630</v>
      </c>
      <c r="N72" s="280">
        <v>-119630</v>
      </c>
    </row>
    <row r="73" spans="1:14" ht="13.8">
      <c r="A73" s="267">
        <v>30700</v>
      </c>
      <c r="B73" s="269" t="s">
        <v>268</v>
      </c>
      <c r="C73" s="272">
        <v>58252953</v>
      </c>
      <c r="D73" s="280">
        <v>641479</v>
      </c>
      <c r="E73" s="280">
        <v>465355</v>
      </c>
      <c r="F73" s="280">
        <v>6310568</v>
      </c>
      <c r="G73" s="280">
        <v>6313674</v>
      </c>
      <c r="H73" s="280">
        <v>57076</v>
      </c>
      <c r="J73" s="280">
        <v>15541418</v>
      </c>
      <c r="K73" s="280">
        <v>5718644</v>
      </c>
      <c r="L73" s="280">
        <v>-1068404</v>
      </c>
      <c r="M73" s="280">
        <v>-778590</v>
      </c>
      <c r="N73" s="280">
        <v>-1846994</v>
      </c>
    </row>
    <row r="74" spans="1:14" ht="13.8">
      <c r="A74" s="267">
        <v>30705</v>
      </c>
      <c r="B74" s="269" t="s">
        <v>56</v>
      </c>
      <c r="C74" s="272">
        <v>11389560</v>
      </c>
      <c r="D74" s="280">
        <v>125421</v>
      </c>
      <c r="E74" s="280">
        <v>90986</v>
      </c>
      <c r="F74" s="280">
        <v>1233836</v>
      </c>
      <c r="G74" s="280">
        <v>658198</v>
      </c>
      <c r="H74" s="280">
        <v>11159</v>
      </c>
      <c r="J74" s="280">
        <v>3038643</v>
      </c>
      <c r="K74" s="280">
        <v>125465</v>
      </c>
      <c r="L74" s="280">
        <v>-208893</v>
      </c>
      <c r="M74" s="280">
        <v>116159</v>
      </c>
      <c r="N74" s="280">
        <v>-92734</v>
      </c>
    </row>
    <row r="75" spans="1:14" ht="13.8">
      <c r="A75" s="267">
        <v>30800</v>
      </c>
      <c r="B75" s="269" t="s">
        <v>269</v>
      </c>
      <c r="C75" s="272">
        <v>16073418</v>
      </c>
      <c r="D75" s="280">
        <v>177000</v>
      </c>
      <c r="E75" s="280">
        <v>128403</v>
      </c>
      <c r="F75" s="280">
        <v>1741241</v>
      </c>
      <c r="G75" s="280">
        <v>25296</v>
      </c>
      <c r="H75" s="280">
        <v>15749</v>
      </c>
      <c r="J75" s="280">
        <v>4288258</v>
      </c>
      <c r="K75" s="280">
        <v>1840805</v>
      </c>
      <c r="L75" s="280">
        <v>-294799</v>
      </c>
      <c r="M75" s="280">
        <v>-1671008</v>
      </c>
      <c r="N75" s="280">
        <v>-1965807</v>
      </c>
    </row>
    <row r="76" spans="1:14" ht="13.8">
      <c r="A76" s="266">
        <v>30900</v>
      </c>
      <c r="B76" s="268" t="s">
        <v>270</v>
      </c>
      <c r="C76" s="271">
        <v>40586274</v>
      </c>
      <c r="D76" s="271">
        <v>446934</v>
      </c>
      <c r="E76" s="271">
        <v>324224</v>
      </c>
      <c r="F76" s="271">
        <v>4396729</v>
      </c>
      <c r="G76" s="271">
        <v>6374500</v>
      </c>
      <c r="H76" s="271">
        <v>39766</v>
      </c>
      <c r="J76" s="271">
        <v>10828090</v>
      </c>
      <c r="K76" s="271">
        <v>1535277</v>
      </c>
      <c r="L76" s="271">
        <v>-744383</v>
      </c>
      <c r="M76" s="271">
        <v>527398</v>
      </c>
      <c r="N76" s="271">
        <v>-216985</v>
      </c>
    </row>
    <row r="77" spans="1:14" ht="13.8">
      <c r="A77" s="266">
        <v>30905</v>
      </c>
      <c r="B77" s="268" t="s">
        <v>57</v>
      </c>
      <c r="C77" s="271">
        <v>6087807</v>
      </c>
      <c r="D77" s="271">
        <v>67039</v>
      </c>
      <c r="E77" s="271">
        <v>48633</v>
      </c>
      <c r="F77" s="271">
        <v>659495</v>
      </c>
      <c r="G77" s="271">
        <v>4684</v>
      </c>
      <c r="H77" s="271">
        <v>5965</v>
      </c>
      <c r="J77" s="271">
        <v>1624178</v>
      </c>
      <c r="K77" s="271">
        <v>569446</v>
      </c>
      <c r="L77" s="271">
        <v>-111654</v>
      </c>
      <c r="M77" s="271">
        <v>-97704</v>
      </c>
      <c r="N77" s="271">
        <v>-209358</v>
      </c>
    </row>
    <row r="78" spans="1:14" ht="13.8">
      <c r="A78" s="266">
        <v>31000</v>
      </c>
      <c r="B78" s="268" t="s">
        <v>271</v>
      </c>
      <c r="C78" s="271">
        <v>114353763</v>
      </c>
      <c r="D78" s="271">
        <v>1259259</v>
      </c>
      <c r="E78" s="271">
        <v>913517</v>
      </c>
      <c r="F78" s="271">
        <v>12387994</v>
      </c>
      <c r="G78" s="271">
        <v>4386480</v>
      </c>
      <c r="H78" s="271">
        <v>112044</v>
      </c>
      <c r="J78" s="271">
        <v>30508661</v>
      </c>
      <c r="K78" s="271">
        <v>2662263</v>
      </c>
      <c r="L78" s="271">
        <v>-2097335</v>
      </c>
      <c r="M78" s="271">
        <v>-420359</v>
      </c>
      <c r="N78" s="271">
        <v>-2517694</v>
      </c>
    </row>
    <row r="79" spans="1:14" ht="13.8">
      <c r="A79" s="266">
        <v>31005</v>
      </c>
      <c r="B79" s="268" t="s">
        <v>58</v>
      </c>
      <c r="C79" s="271">
        <v>10708711</v>
      </c>
      <c r="D79" s="271">
        <v>117924</v>
      </c>
      <c r="E79" s="271">
        <v>85547</v>
      </c>
      <c r="F79" s="271">
        <v>1160079</v>
      </c>
      <c r="G79" s="271">
        <v>916091</v>
      </c>
      <c r="H79" s="271">
        <v>10492</v>
      </c>
      <c r="J79" s="271">
        <v>2856998</v>
      </c>
      <c r="K79" s="271">
        <v>211747</v>
      </c>
      <c r="L79" s="271">
        <v>-196406</v>
      </c>
      <c r="M79" s="271">
        <v>157066</v>
      </c>
      <c r="N79" s="271">
        <v>-39340</v>
      </c>
    </row>
    <row r="80" spans="1:14" ht="13.8">
      <c r="A80" s="266">
        <v>31100</v>
      </c>
      <c r="B80" s="268" t="s">
        <v>272</v>
      </c>
      <c r="C80" s="271">
        <v>229673642</v>
      </c>
      <c r="D80" s="271">
        <v>2529156</v>
      </c>
      <c r="E80" s="271">
        <v>1834751</v>
      </c>
      <c r="F80" s="271">
        <v>24880647</v>
      </c>
      <c r="G80" s="271">
        <v>7680372</v>
      </c>
      <c r="H80" s="271">
        <v>225034</v>
      </c>
      <c r="J80" s="271">
        <v>61275074</v>
      </c>
      <c r="K80" s="271">
        <v>10402774</v>
      </c>
      <c r="L80" s="271">
        <v>-4212391</v>
      </c>
      <c r="M80" s="271">
        <v>-3208933</v>
      </c>
      <c r="N80" s="271">
        <v>-7421324</v>
      </c>
    </row>
    <row r="81" spans="1:14" ht="13.8">
      <c r="A81" s="266">
        <v>31101</v>
      </c>
      <c r="B81" s="268" t="s">
        <v>454</v>
      </c>
      <c r="C81" s="271">
        <v>1673754</v>
      </c>
      <c r="D81" s="271">
        <v>18431</v>
      </c>
      <c r="E81" s="271">
        <v>13371</v>
      </c>
      <c r="F81" s="271">
        <v>181319</v>
      </c>
      <c r="G81" s="271">
        <v>297453</v>
      </c>
      <c r="H81" s="271">
        <v>1640</v>
      </c>
      <c r="J81" s="271">
        <v>446544</v>
      </c>
      <c r="K81" s="271">
        <v>79688</v>
      </c>
      <c r="L81" s="271">
        <v>-30698</v>
      </c>
      <c r="M81" s="271">
        <v>2546</v>
      </c>
      <c r="N81" s="271">
        <v>-28152</v>
      </c>
    </row>
    <row r="82" spans="1:14" ht="13.8">
      <c r="A82" s="266">
        <v>31102</v>
      </c>
      <c r="B82" s="268" t="s">
        <v>273</v>
      </c>
      <c r="C82" s="271">
        <v>4090700</v>
      </c>
      <c r="D82" s="271">
        <v>45047</v>
      </c>
      <c r="E82" s="271">
        <v>32679</v>
      </c>
      <c r="F82" s="271">
        <v>443147</v>
      </c>
      <c r="G82" s="271">
        <v>184013</v>
      </c>
      <c r="H82" s="271">
        <v>4008</v>
      </c>
      <c r="J82" s="271">
        <v>1091366</v>
      </c>
      <c r="K82" s="271">
        <v>322805</v>
      </c>
      <c r="L82" s="271">
        <v>-75026</v>
      </c>
      <c r="M82" s="271">
        <v>-28608</v>
      </c>
      <c r="N82" s="271">
        <v>-103634</v>
      </c>
    </row>
    <row r="83" spans="1:14" ht="13.8">
      <c r="A83" s="266">
        <v>31105</v>
      </c>
      <c r="B83" s="268" t="s">
        <v>59</v>
      </c>
      <c r="C83" s="271">
        <v>33889101</v>
      </c>
      <c r="D83" s="271">
        <v>373185</v>
      </c>
      <c r="E83" s="271">
        <v>270724</v>
      </c>
      <c r="F83" s="271">
        <v>3671221</v>
      </c>
      <c r="G83" s="271">
        <v>376275</v>
      </c>
      <c r="H83" s="271">
        <v>33205</v>
      </c>
      <c r="J83" s="271">
        <v>9041339</v>
      </c>
      <c r="K83" s="271">
        <v>1511437</v>
      </c>
      <c r="L83" s="271">
        <v>-621551</v>
      </c>
      <c r="M83" s="271">
        <v>-97893</v>
      </c>
      <c r="N83" s="271">
        <v>-719444</v>
      </c>
    </row>
    <row r="84" spans="1:14" ht="13.8">
      <c r="A84" s="266">
        <v>31110</v>
      </c>
      <c r="B84" s="268" t="s">
        <v>274</v>
      </c>
      <c r="C84" s="271">
        <v>53049376</v>
      </c>
      <c r="D84" s="271">
        <v>584177</v>
      </c>
      <c r="E84" s="271">
        <v>423786</v>
      </c>
      <c r="F84" s="271">
        <v>5746862</v>
      </c>
      <c r="G84" s="271">
        <v>268014</v>
      </c>
      <c r="H84" s="271">
        <v>51978</v>
      </c>
      <c r="J84" s="271">
        <v>14153146</v>
      </c>
      <c r="K84" s="271">
        <v>3406210</v>
      </c>
      <c r="L84" s="271">
        <v>-972965</v>
      </c>
      <c r="M84" s="271">
        <v>-731247</v>
      </c>
      <c r="N84" s="271">
        <v>-1704212</v>
      </c>
    </row>
    <row r="85" spans="1:14" ht="13.8">
      <c r="A85" s="266">
        <v>31200</v>
      </c>
      <c r="B85" s="268" t="s">
        <v>275</v>
      </c>
      <c r="C85" s="271">
        <v>100147439</v>
      </c>
      <c r="D85" s="271">
        <v>1102819</v>
      </c>
      <c r="E85" s="271">
        <v>800029</v>
      </c>
      <c r="F85" s="271">
        <v>10849016</v>
      </c>
      <c r="G85" s="271">
        <v>6228163</v>
      </c>
      <c r="H85" s="271">
        <v>98124</v>
      </c>
      <c r="J85" s="271">
        <v>26718529</v>
      </c>
      <c r="K85" s="271">
        <v>5666592</v>
      </c>
      <c r="L85" s="271">
        <v>-1836783</v>
      </c>
      <c r="M85" s="271">
        <v>-2113070</v>
      </c>
      <c r="N85" s="271">
        <v>-3949853</v>
      </c>
    </row>
    <row r="86" spans="1:14" ht="13.8">
      <c r="A86" s="266">
        <v>31205</v>
      </c>
      <c r="B86" s="268" t="s">
        <v>455</v>
      </c>
      <c r="C86" s="271">
        <v>10829719</v>
      </c>
      <c r="D86" s="271">
        <v>119256</v>
      </c>
      <c r="E86" s="271">
        <v>86513</v>
      </c>
      <c r="F86" s="271">
        <v>1173188</v>
      </c>
      <c r="G86" s="271">
        <v>412549</v>
      </c>
      <c r="H86" s="271">
        <v>10611</v>
      </c>
      <c r="J86" s="271">
        <v>2889282</v>
      </c>
      <c r="K86" s="271">
        <v>555400</v>
      </c>
      <c r="L86" s="271">
        <v>-198627</v>
      </c>
      <c r="M86" s="271">
        <v>-258719</v>
      </c>
      <c r="N86" s="271">
        <v>-457346</v>
      </c>
    </row>
    <row r="87" spans="1:14" ht="13.8">
      <c r="A87" s="266">
        <v>31300</v>
      </c>
      <c r="B87" s="268" t="s">
        <v>276</v>
      </c>
      <c r="C87" s="271">
        <v>303500139</v>
      </c>
      <c r="D87" s="271">
        <v>3342131</v>
      </c>
      <c r="E87" s="271">
        <v>2424515</v>
      </c>
      <c r="F87" s="271">
        <v>32878304</v>
      </c>
      <c r="G87" s="271">
        <v>12099641</v>
      </c>
      <c r="H87" s="271">
        <v>297369</v>
      </c>
      <c r="J87" s="271">
        <v>80971388</v>
      </c>
      <c r="K87" s="271">
        <v>4670808</v>
      </c>
      <c r="L87" s="271">
        <v>-5566426</v>
      </c>
      <c r="M87" s="271">
        <v>469030</v>
      </c>
      <c r="N87" s="271">
        <v>-5097396</v>
      </c>
    </row>
    <row r="88" spans="1:14" ht="13.8">
      <c r="A88" s="267">
        <v>31301</v>
      </c>
      <c r="B88" s="269" t="s">
        <v>277</v>
      </c>
      <c r="C88" s="272">
        <v>4487389</v>
      </c>
      <c r="D88" s="280">
        <v>49415</v>
      </c>
      <c r="E88" s="280">
        <v>35848</v>
      </c>
      <c r="F88" s="280">
        <v>486121</v>
      </c>
      <c r="G88" s="273">
        <v>0</v>
      </c>
      <c r="H88" s="280">
        <v>4397</v>
      </c>
      <c r="J88" s="280">
        <v>1197199</v>
      </c>
      <c r="K88" s="280">
        <v>1627353</v>
      </c>
      <c r="L88" s="280">
        <v>-82301</v>
      </c>
      <c r="M88" s="280">
        <v>-607463</v>
      </c>
      <c r="N88" s="280">
        <v>-689764</v>
      </c>
    </row>
    <row r="89" spans="1:14" ht="13.8">
      <c r="A89" s="267">
        <v>31320</v>
      </c>
      <c r="B89" s="269" t="s">
        <v>278</v>
      </c>
      <c r="C89" s="272">
        <v>50223412</v>
      </c>
      <c r="D89" s="280">
        <v>553058</v>
      </c>
      <c r="E89" s="280">
        <v>401210</v>
      </c>
      <c r="F89" s="280">
        <v>5440724</v>
      </c>
      <c r="G89" s="280">
        <v>2218654</v>
      </c>
      <c r="H89" s="280">
        <v>49209</v>
      </c>
      <c r="J89" s="280">
        <v>13399201</v>
      </c>
      <c r="K89" s="280">
        <v>2279215</v>
      </c>
      <c r="L89" s="280">
        <v>-921135</v>
      </c>
      <c r="M89" s="280">
        <v>-937539</v>
      </c>
      <c r="N89" s="280">
        <v>-1858674</v>
      </c>
    </row>
    <row r="90" spans="1:14" ht="13.8">
      <c r="A90" s="267">
        <v>31400</v>
      </c>
      <c r="B90" s="269" t="s">
        <v>279</v>
      </c>
      <c r="C90" s="272">
        <v>97221989</v>
      </c>
      <c r="D90" s="280">
        <v>1070604</v>
      </c>
      <c r="E90" s="280">
        <v>776659</v>
      </c>
      <c r="F90" s="280">
        <v>10532101</v>
      </c>
      <c r="G90" s="280">
        <v>5254842</v>
      </c>
      <c r="H90" s="280">
        <v>95258</v>
      </c>
      <c r="J90" s="280">
        <v>25938042</v>
      </c>
      <c r="K90" s="280">
        <v>9435340</v>
      </c>
      <c r="L90" s="280">
        <v>-1783125</v>
      </c>
      <c r="M90" s="280">
        <v>-3526687</v>
      </c>
      <c r="N90" s="280">
        <v>-5309812</v>
      </c>
    </row>
    <row r="91" spans="1:14" ht="13.8">
      <c r="A91" s="267">
        <v>31405</v>
      </c>
      <c r="B91" s="269" t="s">
        <v>61</v>
      </c>
      <c r="C91" s="272">
        <v>20530821</v>
      </c>
      <c r="D91" s="280">
        <v>226085</v>
      </c>
      <c r="E91" s="280">
        <v>164011</v>
      </c>
      <c r="F91" s="280">
        <v>2224113</v>
      </c>
      <c r="G91" s="280">
        <v>1527018</v>
      </c>
      <c r="H91" s="280">
        <v>20116</v>
      </c>
      <c r="J91" s="280">
        <v>5477457</v>
      </c>
      <c r="K91" s="280">
        <v>840465</v>
      </c>
      <c r="L91" s="280">
        <v>-376552</v>
      </c>
      <c r="M91" s="280">
        <v>121015</v>
      </c>
      <c r="N91" s="280">
        <v>-255537</v>
      </c>
    </row>
    <row r="92" spans="1:14" ht="13.8">
      <c r="A92" s="267">
        <v>31500</v>
      </c>
      <c r="B92" s="269" t="s">
        <v>280</v>
      </c>
      <c r="C92" s="272">
        <v>19113820</v>
      </c>
      <c r="D92" s="280">
        <v>210481</v>
      </c>
      <c r="E92" s="280">
        <v>152691</v>
      </c>
      <c r="F92" s="280">
        <v>2070609</v>
      </c>
      <c r="G92" s="280">
        <v>2895911</v>
      </c>
      <c r="H92" s="280">
        <v>18728</v>
      </c>
      <c r="J92" s="280">
        <v>5099413</v>
      </c>
      <c r="K92" s="280">
        <v>494696</v>
      </c>
      <c r="L92" s="280">
        <v>-350562</v>
      </c>
      <c r="M92" s="280">
        <v>623043</v>
      </c>
      <c r="N92" s="280">
        <v>272481</v>
      </c>
    </row>
    <row r="93" spans="1:14" ht="13.8">
      <c r="A93" s="267">
        <v>31600</v>
      </c>
      <c r="B93" s="269" t="s">
        <v>281</v>
      </c>
      <c r="C93" s="272">
        <v>77598915</v>
      </c>
      <c r="D93" s="280">
        <v>854516</v>
      </c>
      <c r="E93" s="280">
        <v>619900</v>
      </c>
      <c r="F93" s="280">
        <v>8406325</v>
      </c>
      <c r="G93" s="280">
        <v>6008460</v>
      </c>
      <c r="H93" s="280">
        <v>76031</v>
      </c>
      <c r="J93" s="280">
        <v>20702764</v>
      </c>
      <c r="K93" s="280">
        <v>4630575</v>
      </c>
      <c r="L93" s="280">
        <v>-1423223</v>
      </c>
      <c r="M93" s="280">
        <v>-215331</v>
      </c>
      <c r="N93" s="280">
        <v>-1638554</v>
      </c>
    </row>
    <row r="94" spans="1:14" ht="13.8">
      <c r="A94" s="266">
        <v>31605</v>
      </c>
      <c r="B94" s="268" t="s">
        <v>62</v>
      </c>
      <c r="C94" s="271">
        <v>11425055</v>
      </c>
      <c r="D94" s="271">
        <v>125812</v>
      </c>
      <c r="E94" s="271">
        <v>91269</v>
      </c>
      <c r="F94" s="271">
        <v>1237681</v>
      </c>
      <c r="G94" s="271">
        <v>688574</v>
      </c>
      <c r="H94" s="271">
        <v>11194</v>
      </c>
      <c r="J94" s="271">
        <v>3048112</v>
      </c>
      <c r="K94" s="271">
        <v>28415</v>
      </c>
      <c r="L94" s="271">
        <v>-209545</v>
      </c>
      <c r="M94" s="271">
        <v>203127</v>
      </c>
      <c r="N94" s="271">
        <v>-6418</v>
      </c>
    </row>
    <row r="95" spans="1:14" ht="13.8">
      <c r="A95" s="266">
        <v>31700</v>
      </c>
      <c r="B95" s="268" t="s">
        <v>282</v>
      </c>
      <c r="C95" s="271">
        <v>20412123</v>
      </c>
      <c r="D95" s="271">
        <v>224777</v>
      </c>
      <c r="E95" s="271">
        <v>163063</v>
      </c>
      <c r="F95" s="271">
        <v>2211254</v>
      </c>
      <c r="G95" s="271">
        <v>1011196</v>
      </c>
      <c r="H95" s="271">
        <v>20000</v>
      </c>
      <c r="J95" s="271">
        <v>5445790</v>
      </c>
      <c r="K95" s="271">
        <v>2202882</v>
      </c>
      <c r="L95" s="271">
        <v>-374375</v>
      </c>
      <c r="M95" s="271">
        <v>-773949</v>
      </c>
      <c r="N95" s="271">
        <v>-1148324</v>
      </c>
    </row>
    <row r="96" spans="1:14" ht="13.8">
      <c r="A96" s="266">
        <v>31800</v>
      </c>
      <c r="B96" s="268" t="s">
        <v>283</v>
      </c>
      <c r="C96" s="271">
        <v>139190033</v>
      </c>
      <c r="D96" s="271">
        <v>1532755</v>
      </c>
      <c r="E96" s="271">
        <v>1111921</v>
      </c>
      <c r="F96" s="271">
        <v>15078518</v>
      </c>
      <c r="G96" s="271">
        <v>13141882</v>
      </c>
      <c r="H96" s="271">
        <v>136378</v>
      </c>
      <c r="J96" s="271">
        <v>37134778</v>
      </c>
      <c r="K96" s="271">
        <v>6632365</v>
      </c>
      <c r="L96" s="271">
        <v>-2552854</v>
      </c>
      <c r="M96" s="271">
        <v>-916979</v>
      </c>
      <c r="N96" s="271">
        <v>-3469833</v>
      </c>
    </row>
    <row r="97" spans="1:14" ht="13.8">
      <c r="A97" s="266">
        <v>31805</v>
      </c>
      <c r="B97" s="268" t="s">
        <v>63</v>
      </c>
      <c r="C97" s="271">
        <v>29986754</v>
      </c>
      <c r="D97" s="271">
        <v>330213</v>
      </c>
      <c r="E97" s="271">
        <v>239550</v>
      </c>
      <c r="F97" s="271">
        <v>3248478</v>
      </c>
      <c r="G97" s="271">
        <v>3064747</v>
      </c>
      <c r="H97" s="271">
        <v>29381</v>
      </c>
      <c r="J97" s="271">
        <v>8000224</v>
      </c>
      <c r="K97" s="271">
        <v>82401</v>
      </c>
      <c r="L97" s="271">
        <v>-549982</v>
      </c>
      <c r="M97" s="271">
        <v>1229405</v>
      </c>
      <c r="N97" s="271">
        <v>679423</v>
      </c>
    </row>
    <row r="98" spans="1:14" ht="13.8">
      <c r="A98" s="266">
        <v>31810</v>
      </c>
      <c r="B98" s="268" t="s">
        <v>284</v>
      </c>
      <c r="C98" s="271">
        <v>31127767</v>
      </c>
      <c r="D98" s="271">
        <v>342778</v>
      </c>
      <c r="E98" s="271">
        <v>248665</v>
      </c>
      <c r="F98" s="271">
        <v>3372085</v>
      </c>
      <c r="G98" s="271">
        <v>244185</v>
      </c>
      <c r="H98" s="271">
        <v>30499</v>
      </c>
      <c r="J98" s="271">
        <v>8304637</v>
      </c>
      <c r="K98" s="271">
        <v>2955366</v>
      </c>
      <c r="L98" s="271">
        <v>-570907</v>
      </c>
      <c r="M98" s="271">
        <v>-1540602</v>
      </c>
      <c r="N98" s="271">
        <v>-2111509</v>
      </c>
    </row>
    <row r="99" spans="1:14" ht="13.8">
      <c r="A99" s="266">
        <v>31820</v>
      </c>
      <c r="B99" s="268" t="s">
        <v>285</v>
      </c>
      <c r="C99" s="271">
        <v>26590694</v>
      </c>
      <c r="D99" s="271">
        <v>292816</v>
      </c>
      <c r="E99" s="271">
        <v>212420</v>
      </c>
      <c r="F99" s="271">
        <v>2880582</v>
      </c>
      <c r="G99" s="271">
        <v>0</v>
      </c>
      <c r="H99" s="271">
        <v>26054</v>
      </c>
      <c r="J99" s="271">
        <v>7094183</v>
      </c>
      <c r="K99" s="271">
        <v>2434116</v>
      </c>
      <c r="L99" s="271">
        <v>-487696</v>
      </c>
      <c r="M99" s="271">
        <v>-1239438</v>
      </c>
      <c r="N99" s="271">
        <v>-1727134</v>
      </c>
    </row>
    <row r="100" spans="1:14" ht="13.8">
      <c r="A100" s="267">
        <v>31900</v>
      </c>
      <c r="B100" s="269" t="s">
        <v>286</v>
      </c>
      <c r="C100" s="272">
        <v>86990089</v>
      </c>
      <c r="D100" s="280">
        <v>957931</v>
      </c>
      <c r="E100" s="280">
        <v>694922</v>
      </c>
      <c r="F100" s="280">
        <v>9423675</v>
      </c>
      <c r="G100" s="280">
        <v>3163721</v>
      </c>
      <c r="H100" s="280">
        <v>85233</v>
      </c>
      <c r="J100" s="280">
        <v>23208254</v>
      </c>
      <c r="K100" s="280">
        <v>2944674</v>
      </c>
      <c r="L100" s="280">
        <v>-1595466</v>
      </c>
      <c r="M100" s="280">
        <v>-270121</v>
      </c>
      <c r="N100" s="280">
        <v>-1865587</v>
      </c>
    </row>
    <row r="101" spans="1:14" ht="13.8">
      <c r="A101" s="267">
        <v>32000</v>
      </c>
      <c r="B101" s="269" t="s">
        <v>287</v>
      </c>
      <c r="C101" s="272">
        <v>32272685</v>
      </c>
      <c r="D101" s="280">
        <v>355385</v>
      </c>
      <c r="E101" s="280">
        <v>257811</v>
      </c>
      <c r="F101" s="280">
        <v>3496114</v>
      </c>
      <c r="G101" s="280">
        <v>306562</v>
      </c>
      <c r="H101" s="280">
        <v>31621</v>
      </c>
      <c r="J101" s="280">
        <v>8610092</v>
      </c>
      <c r="K101" s="280">
        <v>1694367</v>
      </c>
      <c r="L101" s="280">
        <v>-591905</v>
      </c>
      <c r="M101" s="280">
        <v>-742806</v>
      </c>
      <c r="N101" s="280">
        <v>-1334711</v>
      </c>
    </row>
    <row r="102" spans="1:14" ht="13.8">
      <c r="A102" s="267">
        <v>32005</v>
      </c>
      <c r="B102" s="269" t="s">
        <v>64</v>
      </c>
      <c r="C102" s="272">
        <v>8338430</v>
      </c>
      <c r="D102" s="280">
        <v>91822</v>
      </c>
      <c r="E102" s="280">
        <v>66612</v>
      </c>
      <c r="F102" s="280">
        <v>903306</v>
      </c>
      <c r="G102" s="280">
        <v>1168588</v>
      </c>
      <c r="H102" s="280">
        <v>8170</v>
      </c>
      <c r="J102" s="280">
        <v>2224626</v>
      </c>
      <c r="K102" s="280">
        <v>246450</v>
      </c>
      <c r="L102" s="280">
        <v>-152933</v>
      </c>
      <c r="M102" s="280">
        <v>301523</v>
      </c>
      <c r="N102" s="280">
        <v>148590</v>
      </c>
    </row>
    <row r="103" spans="1:14" ht="13.8">
      <c r="A103" s="267">
        <v>32100</v>
      </c>
      <c r="B103" s="269" t="s">
        <v>288</v>
      </c>
      <c r="C103" s="272">
        <v>19502772</v>
      </c>
      <c r="D103" s="280">
        <v>214764</v>
      </c>
      <c r="E103" s="280">
        <v>155798</v>
      </c>
      <c r="F103" s="280">
        <v>2112744</v>
      </c>
      <c r="G103" s="280">
        <v>1865967</v>
      </c>
      <c r="H103" s="280">
        <v>19109</v>
      </c>
      <c r="J103" s="280">
        <v>5203182</v>
      </c>
      <c r="K103" s="280">
        <v>1253776</v>
      </c>
      <c r="L103" s="280">
        <v>-357697</v>
      </c>
      <c r="M103" s="280">
        <v>-159902</v>
      </c>
      <c r="N103" s="280">
        <v>-517599</v>
      </c>
    </row>
    <row r="104" spans="1:14" ht="13.8">
      <c r="A104" s="267">
        <v>32200</v>
      </c>
      <c r="B104" s="269" t="s">
        <v>289</v>
      </c>
      <c r="C104" s="272">
        <v>14054513</v>
      </c>
      <c r="D104" s="280">
        <v>154768</v>
      </c>
      <c r="E104" s="280">
        <v>112275</v>
      </c>
      <c r="F104" s="280">
        <v>1522532</v>
      </c>
      <c r="G104" s="280">
        <v>1585814</v>
      </c>
      <c r="H104" s="280">
        <v>13771</v>
      </c>
      <c r="J104" s="280">
        <v>3749631</v>
      </c>
      <c r="K104" s="280">
        <v>562529</v>
      </c>
      <c r="L104" s="280">
        <v>-257770</v>
      </c>
      <c r="M104" s="280">
        <v>274792</v>
      </c>
      <c r="N104" s="280">
        <v>17022</v>
      </c>
    </row>
    <row r="105" spans="1:14" ht="13.8">
      <c r="A105" s="267">
        <v>32300</v>
      </c>
      <c r="B105" s="269" t="s">
        <v>290</v>
      </c>
      <c r="C105" s="272">
        <v>133988421</v>
      </c>
      <c r="D105" s="280">
        <v>1475475</v>
      </c>
      <c r="E105" s="280">
        <v>1070368</v>
      </c>
      <c r="F105" s="280">
        <v>14515025</v>
      </c>
      <c r="G105" s="280">
        <v>8168702</v>
      </c>
      <c r="H105" s="280">
        <v>131282</v>
      </c>
      <c r="J105" s="280">
        <v>35747029</v>
      </c>
      <c r="K105" s="280">
        <v>8712061</v>
      </c>
      <c r="L105" s="280">
        <v>-2457451</v>
      </c>
      <c r="M105" s="280">
        <v>-4296786</v>
      </c>
      <c r="N105" s="280">
        <v>-6754237</v>
      </c>
    </row>
    <row r="106" spans="1:14" ht="13.8">
      <c r="A106" s="266">
        <v>32305</v>
      </c>
      <c r="B106" s="268" t="s">
        <v>65</v>
      </c>
      <c r="C106" s="271">
        <v>15979281</v>
      </c>
      <c r="D106" s="271">
        <v>175963</v>
      </c>
      <c r="E106" s="271">
        <v>127651</v>
      </c>
      <c r="F106" s="271">
        <v>1731043</v>
      </c>
      <c r="G106" s="271">
        <v>2436149</v>
      </c>
      <c r="H106" s="271">
        <v>15656</v>
      </c>
      <c r="J106" s="271">
        <v>4263143</v>
      </c>
      <c r="K106" s="271">
        <v>453619</v>
      </c>
      <c r="L106" s="271">
        <v>-293074</v>
      </c>
      <c r="M106" s="271">
        <v>313614</v>
      </c>
      <c r="N106" s="271">
        <v>20540</v>
      </c>
    </row>
    <row r="107" spans="1:14" ht="13.8">
      <c r="A107" s="266">
        <v>32400</v>
      </c>
      <c r="B107" s="268" t="s">
        <v>291</v>
      </c>
      <c r="C107" s="271">
        <v>46325407</v>
      </c>
      <c r="D107" s="271">
        <v>510133</v>
      </c>
      <c r="E107" s="271">
        <v>370071</v>
      </c>
      <c r="F107" s="271">
        <v>5018452</v>
      </c>
      <c r="G107" s="271">
        <v>2899232</v>
      </c>
      <c r="H107" s="271">
        <v>45390</v>
      </c>
      <c r="J107" s="271">
        <v>12359245</v>
      </c>
      <c r="K107" s="271">
        <v>3214430</v>
      </c>
      <c r="L107" s="271">
        <v>-849643</v>
      </c>
      <c r="M107" s="271">
        <v>-1673100</v>
      </c>
      <c r="N107" s="271">
        <v>-2522743</v>
      </c>
    </row>
    <row r="108" spans="1:14" ht="13.8">
      <c r="A108" s="266">
        <v>32405</v>
      </c>
      <c r="B108" s="268" t="s">
        <v>66</v>
      </c>
      <c r="C108" s="271">
        <v>11089910</v>
      </c>
      <c r="D108" s="271">
        <v>122122</v>
      </c>
      <c r="E108" s="271">
        <v>88592</v>
      </c>
      <c r="F108" s="271">
        <v>1201375</v>
      </c>
      <c r="G108" s="271">
        <v>253408</v>
      </c>
      <c r="H108" s="271">
        <v>10866</v>
      </c>
      <c r="J108" s="271">
        <v>2958698</v>
      </c>
      <c r="K108" s="271">
        <v>1248842</v>
      </c>
      <c r="L108" s="271">
        <v>-203396</v>
      </c>
      <c r="M108" s="271">
        <v>-410135</v>
      </c>
      <c r="N108" s="271">
        <v>-613531</v>
      </c>
    </row>
    <row r="109" spans="1:14" ht="13.8">
      <c r="A109" s="266">
        <v>32410</v>
      </c>
      <c r="B109" s="268" t="s">
        <v>292</v>
      </c>
      <c r="C109" s="271">
        <v>21610170</v>
      </c>
      <c r="D109" s="271">
        <v>237970</v>
      </c>
      <c r="E109" s="271">
        <v>172633</v>
      </c>
      <c r="F109" s="271">
        <v>2341039</v>
      </c>
      <c r="G109" s="271">
        <v>2492018</v>
      </c>
      <c r="H109" s="271">
        <v>21174</v>
      </c>
      <c r="J109" s="271">
        <v>5765419</v>
      </c>
      <c r="K109" s="271">
        <v>355409</v>
      </c>
      <c r="L109" s="271">
        <v>-396345</v>
      </c>
      <c r="M109" s="271">
        <v>330737</v>
      </c>
      <c r="N109" s="271">
        <v>-65608</v>
      </c>
    </row>
    <row r="110" spans="1:14" ht="13.8">
      <c r="A110" s="266">
        <v>32500</v>
      </c>
      <c r="B110" s="268" t="s">
        <v>456</v>
      </c>
      <c r="C110" s="271">
        <v>105989666</v>
      </c>
      <c r="D110" s="271">
        <v>1167154</v>
      </c>
      <c r="E110" s="271">
        <v>846700</v>
      </c>
      <c r="F110" s="271">
        <v>11481907</v>
      </c>
      <c r="G110" s="271">
        <v>738090</v>
      </c>
      <c r="H110" s="271">
        <v>103849</v>
      </c>
      <c r="J110" s="271">
        <v>28277188</v>
      </c>
      <c r="K110" s="271">
        <v>6420588</v>
      </c>
      <c r="L110" s="271">
        <v>-1943933</v>
      </c>
      <c r="M110" s="271">
        <v>-2738671</v>
      </c>
      <c r="N110" s="271">
        <v>-4682604</v>
      </c>
    </row>
    <row r="111" spans="1:14" ht="13.8">
      <c r="A111" s="266">
        <v>32505</v>
      </c>
      <c r="B111" s="268" t="s">
        <v>67</v>
      </c>
      <c r="C111" s="271">
        <v>17234913</v>
      </c>
      <c r="D111" s="271">
        <v>189790</v>
      </c>
      <c r="E111" s="271">
        <v>137681</v>
      </c>
      <c r="F111" s="271">
        <v>1867066</v>
      </c>
      <c r="G111" s="271">
        <v>1016014</v>
      </c>
      <c r="H111" s="271">
        <v>16887</v>
      </c>
      <c r="J111" s="271">
        <v>4598136</v>
      </c>
      <c r="K111" s="271">
        <v>538013</v>
      </c>
      <c r="L111" s="271">
        <v>-316101</v>
      </c>
      <c r="M111" s="271">
        <v>319464</v>
      </c>
      <c r="N111" s="271">
        <v>3363</v>
      </c>
    </row>
    <row r="112" spans="1:14" ht="13.8">
      <c r="A112" s="267">
        <v>32600</v>
      </c>
      <c r="B112" s="269" t="s">
        <v>293</v>
      </c>
      <c r="C112" s="272">
        <v>394878110</v>
      </c>
      <c r="D112" s="280">
        <v>4348381</v>
      </c>
      <c r="E112" s="280">
        <v>3154489</v>
      </c>
      <c r="F112" s="280">
        <v>42777320</v>
      </c>
      <c r="G112" s="280">
        <v>26023527</v>
      </c>
      <c r="H112" s="280">
        <v>386901</v>
      </c>
      <c r="J112" s="280">
        <v>105350293</v>
      </c>
      <c r="K112" s="280">
        <v>37728002</v>
      </c>
      <c r="L112" s="280">
        <v>-7242368</v>
      </c>
      <c r="M112" s="280">
        <v>-6051114</v>
      </c>
      <c r="N112" s="280">
        <v>-13293482</v>
      </c>
    </row>
    <row r="113" spans="1:14" ht="13.8">
      <c r="A113" s="267">
        <v>32605</v>
      </c>
      <c r="B113" s="269" t="s">
        <v>68</v>
      </c>
      <c r="C113" s="272">
        <v>68785878</v>
      </c>
      <c r="D113" s="280">
        <v>757467</v>
      </c>
      <c r="E113" s="280">
        <v>549497</v>
      </c>
      <c r="F113" s="280">
        <v>7451605</v>
      </c>
      <c r="G113" s="280">
        <v>9641819</v>
      </c>
      <c r="H113" s="280">
        <v>67396</v>
      </c>
      <c r="J113" s="280">
        <v>18351517</v>
      </c>
      <c r="K113" s="280">
        <v>405714</v>
      </c>
      <c r="L113" s="280">
        <v>-1261586</v>
      </c>
      <c r="M113" s="280">
        <v>3339320</v>
      </c>
      <c r="N113" s="280">
        <v>2077734</v>
      </c>
    </row>
    <row r="114" spans="1:14" ht="13.8">
      <c r="A114" s="267">
        <v>32700</v>
      </c>
      <c r="B114" s="269" t="s">
        <v>294</v>
      </c>
      <c r="C114" s="272">
        <v>37415294</v>
      </c>
      <c r="D114" s="280">
        <v>412016</v>
      </c>
      <c r="E114" s="280">
        <v>298893</v>
      </c>
      <c r="F114" s="280">
        <v>4053215</v>
      </c>
      <c r="G114" s="280">
        <v>1410203</v>
      </c>
      <c r="H114" s="280">
        <v>36659</v>
      </c>
      <c r="J114" s="280">
        <v>9982099</v>
      </c>
      <c r="K114" s="280">
        <v>1266328</v>
      </c>
      <c r="L114" s="280">
        <v>-686225</v>
      </c>
      <c r="M114" s="280">
        <v>-124865</v>
      </c>
      <c r="N114" s="280">
        <v>-811090</v>
      </c>
    </row>
    <row r="115" spans="1:14" ht="13.8">
      <c r="A115" s="267">
        <v>32800</v>
      </c>
      <c r="B115" s="269" t="s">
        <v>295</v>
      </c>
      <c r="C115" s="272">
        <v>51646315</v>
      </c>
      <c r="D115" s="280">
        <v>568727</v>
      </c>
      <c r="E115" s="280">
        <v>412577</v>
      </c>
      <c r="F115" s="280">
        <v>5594868</v>
      </c>
      <c r="G115" s="280">
        <v>2503537</v>
      </c>
      <c r="H115" s="280">
        <v>50603</v>
      </c>
      <c r="J115" s="280">
        <v>13778820</v>
      </c>
      <c r="K115" s="280">
        <v>3491390</v>
      </c>
      <c r="L115" s="280">
        <v>-947234</v>
      </c>
      <c r="M115" s="280">
        <v>522236</v>
      </c>
      <c r="N115" s="280">
        <v>-424998</v>
      </c>
    </row>
    <row r="116" spans="1:14" ht="13.8">
      <c r="A116" s="267">
        <v>32900</v>
      </c>
      <c r="B116" s="269" t="s">
        <v>296</v>
      </c>
      <c r="C116" s="272">
        <v>144165179</v>
      </c>
      <c r="D116" s="280">
        <v>1587541</v>
      </c>
      <c r="E116" s="280">
        <v>1151666</v>
      </c>
      <c r="F116" s="280">
        <v>15617477</v>
      </c>
      <c r="G116" s="280">
        <v>4201392</v>
      </c>
      <c r="H116" s="280">
        <v>141253</v>
      </c>
      <c r="J116" s="280">
        <v>38462106</v>
      </c>
      <c r="K116" s="280">
        <v>8979609</v>
      </c>
      <c r="L116" s="280">
        <v>-2644101</v>
      </c>
      <c r="M116" s="280">
        <v>-4213010</v>
      </c>
      <c r="N116" s="280">
        <v>-6857111</v>
      </c>
    </row>
    <row r="117" spans="1:14" ht="13.8">
      <c r="A117" s="267">
        <v>32901</v>
      </c>
      <c r="B117" s="270" t="s">
        <v>424</v>
      </c>
      <c r="C117" s="272">
        <v>2288766</v>
      </c>
      <c r="D117" s="280">
        <v>25204</v>
      </c>
      <c r="E117" s="280">
        <v>18284</v>
      </c>
      <c r="F117" s="280">
        <v>247943</v>
      </c>
      <c r="G117" s="280">
        <v>125784</v>
      </c>
      <c r="H117" s="280">
        <v>2243</v>
      </c>
      <c r="J117" s="280">
        <v>610624</v>
      </c>
      <c r="K117" s="280">
        <v>1393670</v>
      </c>
      <c r="L117" s="280">
        <v>-41977</v>
      </c>
      <c r="M117" s="280">
        <v>-508301</v>
      </c>
      <c r="N117" s="280">
        <v>-550278</v>
      </c>
    </row>
    <row r="118" spans="1:14" ht="13.8">
      <c r="A118" s="266">
        <v>32904</v>
      </c>
      <c r="B118" s="268" t="s">
        <v>479</v>
      </c>
      <c r="C118" s="271">
        <v>2194996</v>
      </c>
      <c r="D118" s="271">
        <v>24171</v>
      </c>
      <c r="E118" s="271">
        <v>17535</v>
      </c>
      <c r="F118" s="271">
        <v>237785</v>
      </c>
      <c r="G118" s="271">
        <v>1680542</v>
      </c>
      <c r="H118" s="271">
        <v>2151</v>
      </c>
      <c r="J118" s="271">
        <v>585607</v>
      </c>
      <c r="K118" s="271">
        <v>0</v>
      </c>
      <c r="L118" s="271">
        <v>-40257</v>
      </c>
      <c r="M118" s="271">
        <v>557693</v>
      </c>
      <c r="N118" s="271">
        <v>517436</v>
      </c>
    </row>
    <row r="119" spans="1:14" ht="13.8">
      <c r="A119" s="266">
        <v>32905</v>
      </c>
      <c r="B119" s="268" t="s">
        <v>69</v>
      </c>
      <c r="C119" s="271">
        <v>20670606</v>
      </c>
      <c r="D119" s="271">
        <v>227624</v>
      </c>
      <c r="E119" s="271">
        <v>165127</v>
      </c>
      <c r="F119" s="271">
        <v>2239256</v>
      </c>
      <c r="G119" s="271">
        <v>784464</v>
      </c>
      <c r="H119" s="271">
        <v>20253</v>
      </c>
      <c r="J119" s="271">
        <v>5514751</v>
      </c>
      <c r="K119" s="271">
        <v>411250</v>
      </c>
      <c r="L119" s="271">
        <v>-379116</v>
      </c>
      <c r="M119" s="271">
        <v>-60945</v>
      </c>
      <c r="N119" s="271">
        <v>-440061</v>
      </c>
    </row>
    <row r="120" spans="1:14" ht="13.8">
      <c r="A120" s="266">
        <v>32910</v>
      </c>
      <c r="B120" s="268" t="s">
        <v>297</v>
      </c>
      <c r="C120" s="271">
        <v>25877955</v>
      </c>
      <c r="D120" s="271">
        <v>284967</v>
      </c>
      <c r="E120" s="271">
        <v>206726</v>
      </c>
      <c r="F120" s="271">
        <v>2803370</v>
      </c>
      <c r="G120" s="271">
        <v>1012552</v>
      </c>
      <c r="H120" s="271">
        <v>25355</v>
      </c>
      <c r="J120" s="271">
        <v>6904030</v>
      </c>
      <c r="K120" s="271">
        <v>2734144</v>
      </c>
      <c r="L120" s="271">
        <v>-474622</v>
      </c>
      <c r="M120" s="271">
        <v>-834237</v>
      </c>
      <c r="N120" s="271">
        <v>-1308859</v>
      </c>
    </row>
    <row r="121" spans="1:14" ht="13.8">
      <c r="A121" s="266">
        <v>32915</v>
      </c>
      <c r="B121" s="268" t="s">
        <v>857</v>
      </c>
      <c r="C121" s="271">
        <v>3095632</v>
      </c>
      <c r="D121" s="271">
        <v>34089</v>
      </c>
      <c r="E121" s="271">
        <v>24729</v>
      </c>
      <c r="F121" s="271">
        <v>335351</v>
      </c>
      <c r="G121" s="271">
        <v>2494794</v>
      </c>
      <c r="H121" s="271">
        <v>3033</v>
      </c>
      <c r="J121" s="271">
        <v>825890</v>
      </c>
      <c r="K121" s="271">
        <v>0</v>
      </c>
      <c r="L121" s="271">
        <v>-56775</v>
      </c>
      <c r="M121" s="271">
        <v>767568</v>
      </c>
      <c r="N121" s="271">
        <v>710793</v>
      </c>
    </row>
    <row r="122" spans="1:14" ht="13.8">
      <c r="A122" s="266">
        <v>32920</v>
      </c>
      <c r="B122" s="268" t="s">
        <v>298</v>
      </c>
      <c r="C122" s="271">
        <v>21296575</v>
      </c>
      <c r="D122" s="271">
        <v>234517</v>
      </c>
      <c r="E122" s="271">
        <v>170128</v>
      </c>
      <c r="F122" s="271">
        <v>2307067</v>
      </c>
      <c r="G122" s="271">
        <v>180012</v>
      </c>
      <c r="H122" s="271">
        <v>20866</v>
      </c>
      <c r="J122" s="271">
        <v>5681754</v>
      </c>
      <c r="K122" s="271">
        <v>2734820</v>
      </c>
      <c r="L122" s="271">
        <v>-390596</v>
      </c>
      <c r="M122" s="271">
        <v>-893661</v>
      </c>
      <c r="N122" s="271">
        <v>-1284257</v>
      </c>
    </row>
    <row r="123" spans="1:14" ht="13.8">
      <c r="A123" s="266">
        <v>33000</v>
      </c>
      <c r="B123" s="268" t="s">
        <v>299</v>
      </c>
      <c r="C123" s="271">
        <v>56934454</v>
      </c>
      <c r="D123" s="271">
        <v>626960</v>
      </c>
      <c r="E123" s="271">
        <v>454822</v>
      </c>
      <c r="F123" s="271">
        <v>6167735</v>
      </c>
      <c r="G123" s="271">
        <v>4107244</v>
      </c>
      <c r="H123" s="271">
        <v>55784</v>
      </c>
      <c r="J123" s="271">
        <v>15189653</v>
      </c>
      <c r="K123" s="271">
        <v>4107745</v>
      </c>
      <c r="L123" s="271">
        <v>-1044223</v>
      </c>
      <c r="M123" s="271">
        <v>-996944</v>
      </c>
      <c r="N123" s="271">
        <v>-2041167</v>
      </c>
    </row>
    <row r="124" spans="1:14" ht="13.8">
      <c r="A124" s="267">
        <v>33001</v>
      </c>
      <c r="B124" s="270" t="s">
        <v>457</v>
      </c>
      <c r="C124" s="272">
        <v>1008896</v>
      </c>
      <c r="D124" s="280">
        <v>11110</v>
      </c>
      <c r="E124" s="280">
        <v>8060</v>
      </c>
      <c r="F124" s="280">
        <v>109294</v>
      </c>
      <c r="G124" s="280">
        <v>65946</v>
      </c>
      <c r="H124" s="280">
        <v>989</v>
      </c>
      <c r="J124" s="280">
        <v>269165</v>
      </c>
      <c r="K124" s="280">
        <v>411603</v>
      </c>
      <c r="L124" s="280">
        <v>-18503</v>
      </c>
      <c r="M124" s="280">
        <v>-188613</v>
      </c>
      <c r="N124" s="280">
        <v>-207116</v>
      </c>
    </row>
    <row r="125" spans="1:14" ht="13.8">
      <c r="A125" s="267">
        <v>33027</v>
      </c>
      <c r="B125" s="269" t="s">
        <v>300</v>
      </c>
      <c r="C125" s="272">
        <v>9812142</v>
      </c>
      <c r="D125" s="280">
        <v>108051</v>
      </c>
      <c r="E125" s="280">
        <v>78384</v>
      </c>
      <c r="F125" s="280">
        <v>1062954</v>
      </c>
      <c r="G125" s="280">
        <v>1489003</v>
      </c>
      <c r="H125" s="280">
        <v>9614</v>
      </c>
      <c r="J125" s="280">
        <v>2617800</v>
      </c>
      <c r="K125" s="273">
        <v>0</v>
      </c>
      <c r="L125" s="280">
        <v>-179962</v>
      </c>
      <c r="M125" s="280">
        <v>645506</v>
      </c>
      <c r="N125" s="280">
        <v>465544</v>
      </c>
    </row>
    <row r="126" spans="1:14" ht="13.8">
      <c r="A126" s="267">
        <v>33100</v>
      </c>
      <c r="B126" s="269" t="s">
        <v>301</v>
      </c>
      <c r="C126" s="272">
        <v>76794096</v>
      </c>
      <c r="D126" s="280">
        <v>845653</v>
      </c>
      <c r="E126" s="280">
        <v>613471</v>
      </c>
      <c r="F126" s="280">
        <v>8319138</v>
      </c>
      <c r="G126" s="280">
        <v>3575802</v>
      </c>
      <c r="H126" s="280">
        <v>75243</v>
      </c>
      <c r="J126" s="280">
        <v>20488045</v>
      </c>
      <c r="K126" s="280">
        <v>4020777</v>
      </c>
      <c r="L126" s="280">
        <v>-1408463</v>
      </c>
      <c r="M126" s="280">
        <v>-2414760</v>
      </c>
      <c r="N126" s="280">
        <v>-3823223</v>
      </c>
    </row>
    <row r="127" spans="1:14" ht="13.8">
      <c r="A127" s="267">
        <v>33105</v>
      </c>
      <c r="B127" s="269" t="s">
        <v>70</v>
      </c>
      <c r="C127" s="272">
        <v>9886789</v>
      </c>
      <c r="D127" s="280">
        <v>108873</v>
      </c>
      <c r="E127" s="280">
        <v>78981</v>
      </c>
      <c r="F127" s="280">
        <v>1071040</v>
      </c>
      <c r="G127" s="280">
        <v>1252514</v>
      </c>
      <c r="H127" s="280">
        <v>9687</v>
      </c>
      <c r="J127" s="280">
        <v>2637716</v>
      </c>
      <c r="K127" s="280">
        <v>167968</v>
      </c>
      <c r="L127" s="280">
        <v>-181331</v>
      </c>
      <c r="M127" s="280">
        <v>191557</v>
      </c>
      <c r="N127" s="280">
        <v>10226</v>
      </c>
    </row>
    <row r="128" spans="1:14" ht="13.8">
      <c r="A128" s="267">
        <v>33200</v>
      </c>
      <c r="B128" s="269" t="s">
        <v>302</v>
      </c>
      <c r="C128" s="272">
        <v>354433593</v>
      </c>
      <c r="D128" s="280">
        <v>3903008</v>
      </c>
      <c r="E128" s="280">
        <v>2831398</v>
      </c>
      <c r="F128" s="280">
        <v>38395947</v>
      </c>
      <c r="G128" s="280">
        <v>6792400</v>
      </c>
      <c r="H128" s="280">
        <v>347274</v>
      </c>
      <c r="J128" s="280">
        <v>94560022</v>
      </c>
      <c r="K128" s="280">
        <v>22130514</v>
      </c>
      <c r="L128" s="280">
        <v>-6500585</v>
      </c>
      <c r="M128" s="280">
        <v>-7515121</v>
      </c>
      <c r="N128" s="280">
        <v>-14015706</v>
      </c>
    </row>
    <row r="129" spans="1:14" ht="13.8">
      <c r="A129" s="267">
        <v>33202</v>
      </c>
      <c r="B129" s="269" t="s">
        <v>458</v>
      </c>
      <c r="C129" s="272">
        <v>7029487</v>
      </c>
      <c r="D129" s="280">
        <v>77408</v>
      </c>
      <c r="E129" s="280">
        <v>56155</v>
      </c>
      <c r="F129" s="280">
        <v>761507</v>
      </c>
      <c r="G129" s="280">
        <v>683064</v>
      </c>
      <c r="H129" s="280">
        <v>6887</v>
      </c>
      <c r="J129" s="280">
        <v>1875410</v>
      </c>
      <c r="K129" s="280">
        <v>370206</v>
      </c>
      <c r="L129" s="280">
        <v>-128926</v>
      </c>
      <c r="M129" s="280">
        <v>310791</v>
      </c>
      <c r="N129" s="280">
        <v>181865</v>
      </c>
    </row>
    <row r="130" spans="1:14" ht="13.8">
      <c r="A130" s="266">
        <v>33203</v>
      </c>
      <c r="B130" s="268" t="s">
        <v>303</v>
      </c>
      <c r="C130" s="271">
        <v>4670121</v>
      </c>
      <c r="D130" s="271">
        <v>51427</v>
      </c>
      <c r="E130" s="271">
        <v>37307</v>
      </c>
      <c r="F130" s="271">
        <v>505916</v>
      </c>
      <c r="G130" s="271">
        <v>1065755</v>
      </c>
      <c r="H130" s="271">
        <v>4576</v>
      </c>
      <c r="J130" s="271">
        <v>1245951</v>
      </c>
      <c r="K130" s="271">
        <v>0</v>
      </c>
      <c r="L130" s="271">
        <v>-85654</v>
      </c>
      <c r="M130" s="271">
        <v>340618</v>
      </c>
      <c r="N130" s="271">
        <v>254964</v>
      </c>
    </row>
    <row r="131" spans="1:14" ht="13.8">
      <c r="A131" s="266">
        <v>33204</v>
      </c>
      <c r="B131" s="268" t="s">
        <v>304</v>
      </c>
      <c r="C131" s="271">
        <v>11856823</v>
      </c>
      <c r="D131" s="271">
        <v>130567</v>
      </c>
      <c r="E131" s="271">
        <v>94718</v>
      </c>
      <c r="F131" s="271">
        <v>1284455</v>
      </c>
      <c r="G131" s="271">
        <v>1186805</v>
      </c>
      <c r="H131" s="271">
        <v>11617</v>
      </c>
      <c r="J131" s="271">
        <v>3163305</v>
      </c>
      <c r="K131" s="271">
        <v>82463</v>
      </c>
      <c r="L131" s="271">
        <v>-217464</v>
      </c>
      <c r="M131" s="271">
        <v>-88477</v>
      </c>
      <c r="N131" s="271">
        <v>-305941</v>
      </c>
    </row>
    <row r="132" spans="1:14" ht="13.8">
      <c r="A132" s="266">
        <v>33205</v>
      </c>
      <c r="B132" s="268" t="s">
        <v>71</v>
      </c>
      <c r="C132" s="271">
        <v>30741510</v>
      </c>
      <c r="D132" s="271">
        <v>338524</v>
      </c>
      <c r="E132" s="271">
        <v>245579</v>
      </c>
      <c r="F132" s="271">
        <v>3330241</v>
      </c>
      <c r="G132" s="271">
        <v>3872569</v>
      </c>
      <c r="H132" s="271">
        <v>30121</v>
      </c>
      <c r="J132" s="271">
        <v>8201587</v>
      </c>
      <c r="K132" s="271">
        <v>1061393</v>
      </c>
      <c r="L132" s="271">
        <v>-563824</v>
      </c>
      <c r="M132" s="271">
        <v>572968</v>
      </c>
      <c r="N132" s="271">
        <v>9144</v>
      </c>
    </row>
    <row r="133" spans="1:14" ht="13.8">
      <c r="A133" s="266">
        <v>33206</v>
      </c>
      <c r="B133" s="268" t="s">
        <v>305</v>
      </c>
      <c r="C133" s="271">
        <v>3182633</v>
      </c>
      <c r="D133" s="271">
        <v>35047</v>
      </c>
      <c r="E133" s="271">
        <v>25425</v>
      </c>
      <c r="F133" s="271">
        <v>344776</v>
      </c>
      <c r="G133" s="271">
        <v>398751</v>
      </c>
      <c r="H133" s="271">
        <v>3118</v>
      </c>
      <c r="J133" s="271">
        <v>849101</v>
      </c>
      <c r="K133" s="271">
        <v>47192</v>
      </c>
      <c r="L133" s="271">
        <v>-58371</v>
      </c>
      <c r="M133" s="271">
        <v>130408</v>
      </c>
      <c r="N133" s="271">
        <v>72037</v>
      </c>
    </row>
    <row r="134" spans="1:14" ht="13.8">
      <c r="A134" s="266">
        <v>33207</v>
      </c>
      <c r="B134" s="268" t="s">
        <v>306</v>
      </c>
      <c r="C134" s="271">
        <v>13433642</v>
      </c>
      <c r="D134" s="271">
        <v>147931</v>
      </c>
      <c r="E134" s="271">
        <v>107315</v>
      </c>
      <c r="F134" s="271">
        <v>1455272</v>
      </c>
      <c r="G134" s="271">
        <v>2431966</v>
      </c>
      <c r="H134" s="271">
        <v>13162</v>
      </c>
      <c r="J134" s="271">
        <v>3583987</v>
      </c>
      <c r="K134" s="271">
        <v>132212</v>
      </c>
      <c r="L134" s="271">
        <v>-246382</v>
      </c>
      <c r="M134" s="271">
        <v>1329793</v>
      </c>
      <c r="N134" s="271">
        <v>1083411</v>
      </c>
    </row>
    <row r="135" spans="1:14" ht="13.8">
      <c r="A135" s="266">
        <v>33208</v>
      </c>
      <c r="B135" s="268" t="s">
        <v>459</v>
      </c>
      <c r="C135" s="271">
        <v>0</v>
      </c>
      <c r="D135" s="271">
        <v>0</v>
      </c>
      <c r="E135" s="271">
        <v>0</v>
      </c>
      <c r="F135" s="271">
        <v>0</v>
      </c>
      <c r="G135" s="271">
        <v>0</v>
      </c>
      <c r="H135" s="271">
        <v>0</v>
      </c>
      <c r="J135" s="271">
        <v>0</v>
      </c>
      <c r="K135" s="271">
        <v>0</v>
      </c>
      <c r="L135" s="271">
        <v>0</v>
      </c>
      <c r="M135" s="271">
        <v>-201200</v>
      </c>
      <c r="N135" s="271">
        <v>-201200</v>
      </c>
    </row>
    <row r="136" spans="1:14" ht="13.8">
      <c r="A136" s="267">
        <v>33209</v>
      </c>
      <c r="B136" s="269" t="s">
        <v>307</v>
      </c>
      <c r="C136" s="273">
        <v>0</v>
      </c>
      <c r="D136" s="273">
        <v>0</v>
      </c>
      <c r="E136" s="273">
        <v>0</v>
      </c>
      <c r="F136" s="273">
        <v>0</v>
      </c>
      <c r="G136" s="273">
        <v>138675</v>
      </c>
      <c r="H136" s="273">
        <v>0</v>
      </c>
      <c r="J136" s="273">
        <v>0</v>
      </c>
      <c r="K136" s="273">
        <v>2069399</v>
      </c>
      <c r="L136" s="273">
        <v>0</v>
      </c>
      <c r="M136" s="280">
        <v>-477514</v>
      </c>
      <c r="N136" s="280">
        <v>-477514</v>
      </c>
    </row>
    <row r="137" spans="1:14" ht="13.8">
      <c r="A137" s="267">
        <v>33300</v>
      </c>
      <c r="B137" s="269" t="s">
        <v>308</v>
      </c>
      <c r="C137" s="272">
        <v>49166012</v>
      </c>
      <c r="D137" s="280">
        <v>541414</v>
      </c>
      <c r="E137" s="280">
        <v>392763</v>
      </c>
      <c r="F137" s="280">
        <v>5326176</v>
      </c>
      <c r="G137" s="280">
        <v>1139424</v>
      </c>
      <c r="H137" s="280">
        <v>48173</v>
      </c>
      <c r="J137" s="280">
        <v>13117095</v>
      </c>
      <c r="K137" s="280">
        <v>4549984</v>
      </c>
      <c r="L137" s="280">
        <v>-901743</v>
      </c>
      <c r="M137" s="280">
        <v>-1433961</v>
      </c>
      <c r="N137" s="280">
        <v>-2335704</v>
      </c>
    </row>
    <row r="138" spans="1:14" ht="13.8">
      <c r="A138" s="267">
        <v>33305</v>
      </c>
      <c r="B138" s="269" t="s">
        <v>72</v>
      </c>
      <c r="C138" s="272">
        <v>10159989</v>
      </c>
      <c r="D138" s="280">
        <v>111881</v>
      </c>
      <c r="E138" s="280">
        <v>81163</v>
      </c>
      <c r="F138" s="280">
        <v>1100636</v>
      </c>
      <c r="G138" s="280">
        <v>716044</v>
      </c>
      <c r="H138" s="280">
        <v>9955</v>
      </c>
      <c r="J138" s="280">
        <v>2710603</v>
      </c>
      <c r="K138" s="280">
        <v>1731745</v>
      </c>
      <c r="L138" s="280">
        <v>-186342</v>
      </c>
      <c r="M138" s="280">
        <v>-685002</v>
      </c>
      <c r="N138" s="280">
        <v>-871344</v>
      </c>
    </row>
    <row r="139" spans="1:14" ht="13.8">
      <c r="A139" s="267">
        <v>33400</v>
      </c>
      <c r="B139" s="269" t="s">
        <v>309</v>
      </c>
      <c r="C139" s="272">
        <v>501201160</v>
      </c>
      <c r="D139" s="280">
        <v>5519206</v>
      </c>
      <c r="E139" s="280">
        <v>4003852</v>
      </c>
      <c r="F139" s="280">
        <v>54295343</v>
      </c>
      <c r="G139" s="280">
        <v>32349118</v>
      </c>
      <c r="H139" s="280">
        <v>491076</v>
      </c>
      <c r="J139" s="280">
        <v>133716425</v>
      </c>
      <c r="K139" s="280">
        <v>11894878</v>
      </c>
      <c r="L139" s="280">
        <v>-9192414</v>
      </c>
      <c r="M139" s="280">
        <v>756616</v>
      </c>
      <c r="N139" s="280">
        <v>-8435798</v>
      </c>
    </row>
    <row r="140" spans="1:14" ht="13.8">
      <c r="A140" s="267">
        <v>33402</v>
      </c>
      <c r="B140" s="269" t="s">
        <v>310</v>
      </c>
      <c r="C140" s="272">
        <v>4859579</v>
      </c>
      <c r="D140" s="280">
        <v>53513</v>
      </c>
      <c r="E140" s="280">
        <v>38821</v>
      </c>
      <c r="F140" s="280">
        <v>526440</v>
      </c>
      <c r="G140" s="280">
        <v>697450</v>
      </c>
      <c r="H140" s="280">
        <v>4761</v>
      </c>
      <c r="J140" s="280">
        <v>1296497</v>
      </c>
      <c r="K140" s="280">
        <v>187923</v>
      </c>
      <c r="L140" s="280">
        <v>-89127</v>
      </c>
      <c r="M140" s="280">
        <v>183977</v>
      </c>
      <c r="N140" s="280">
        <v>94850</v>
      </c>
    </row>
    <row r="141" spans="1:14" ht="13.8">
      <c r="A141" s="267">
        <v>33405</v>
      </c>
      <c r="B141" s="269" t="s">
        <v>73</v>
      </c>
      <c r="C141" s="272">
        <v>44811442</v>
      </c>
      <c r="D141" s="280">
        <v>493462</v>
      </c>
      <c r="E141" s="280">
        <v>357977</v>
      </c>
      <c r="F141" s="280">
        <v>4854443</v>
      </c>
      <c r="G141" s="280">
        <v>3731906</v>
      </c>
      <c r="H141" s="280">
        <v>43906</v>
      </c>
      <c r="J141" s="280">
        <v>11955331</v>
      </c>
      <c r="K141" s="280">
        <v>633233</v>
      </c>
      <c r="L141" s="280">
        <v>-821877</v>
      </c>
      <c r="M141" s="280">
        <v>148636</v>
      </c>
      <c r="N141" s="280">
        <v>-673241</v>
      </c>
    </row>
    <row r="142" spans="1:14" ht="13.8">
      <c r="A142" s="266">
        <v>33500</v>
      </c>
      <c r="B142" s="268" t="s">
        <v>311</v>
      </c>
      <c r="C142" s="271">
        <v>71857897</v>
      </c>
      <c r="D142" s="271">
        <v>791296</v>
      </c>
      <c r="E142" s="271">
        <v>574038</v>
      </c>
      <c r="F142" s="271">
        <v>7784398</v>
      </c>
      <c r="G142" s="271">
        <v>2326003</v>
      </c>
      <c r="H142" s="271">
        <v>70406</v>
      </c>
      <c r="J142" s="271">
        <v>19171107</v>
      </c>
      <c r="K142" s="271">
        <v>3512358</v>
      </c>
      <c r="L142" s="271">
        <v>-1317928</v>
      </c>
      <c r="M142" s="271">
        <v>-2111564</v>
      </c>
      <c r="N142" s="271">
        <v>-3429492</v>
      </c>
    </row>
    <row r="143" spans="1:14" ht="13.8">
      <c r="A143" s="266">
        <v>33501</v>
      </c>
      <c r="B143" s="268" t="s">
        <v>312</v>
      </c>
      <c r="C143" s="271">
        <v>2300270</v>
      </c>
      <c r="D143" s="271">
        <v>25330</v>
      </c>
      <c r="E143" s="271">
        <v>18376</v>
      </c>
      <c r="F143" s="271">
        <v>249189</v>
      </c>
      <c r="G143" s="271">
        <v>613816</v>
      </c>
      <c r="H143" s="271">
        <v>2254</v>
      </c>
      <c r="J143" s="271">
        <v>613693</v>
      </c>
      <c r="K143" s="271">
        <v>392084</v>
      </c>
      <c r="L143" s="271">
        <v>-42189</v>
      </c>
      <c r="M143" s="271">
        <v>107602</v>
      </c>
      <c r="N143" s="271">
        <v>65413</v>
      </c>
    </row>
    <row r="144" spans="1:14" ht="13.8">
      <c r="A144" s="266">
        <v>33600</v>
      </c>
      <c r="B144" s="268" t="s">
        <v>313</v>
      </c>
      <c r="C144" s="271">
        <v>245055336</v>
      </c>
      <c r="D144" s="271">
        <v>2698539</v>
      </c>
      <c r="E144" s="271">
        <v>1957628</v>
      </c>
      <c r="F144" s="271">
        <v>26546953</v>
      </c>
      <c r="G144" s="271">
        <v>9561075</v>
      </c>
      <c r="H144" s="271">
        <v>240105</v>
      </c>
      <c r="J144" s="271">
        <v>65378786</v>
      </c>
      <c r="K144" s="271">
        <v>24428963</v>
      </c>
      <c r="L144" s="271">
        <v>-4494503</v>
      </c>
      <c r="M144" s="271">
        <v>-5763416</v>
      </c>
      <c r="N144" s="271">
        <v>-10257919</v>
      </c>
    </row>
    <row r="145" spans="1:14" ht="13.8">
      <c r="A145" s="266">
        <v>33605</v>
      </c>
      <c r="B145" s="268" t="s">
        <v>74</v>
      </c>
      <c r="C145" s="271">
        <v>28825741</v>
      </c>
      <c r="D145" s="271">
        <v>317428</v>
      </c>
      <c r="E145" s="271">
        <v>230275</v>
      </c>
      <c r="F145" s="271">
        <v>3122705</v>
      </c>
      <c r="G145" s="271">
        <v>2310782</v>
      </c>
      <c r="H145" s="271">
        <v>28243</v>
      </c>
      <c r="J145" s="271">
        <v>7690475</v>
      </c>
      <c r="K145" s="271">
        <v>2037994</v>
      </c>
      <c r="L145" s="271">
        <v>-528686</v>
      </c>
      <c r="M145" s="271">
        <v>-738068</v>
      </c>
      <c r="N145" s="271">
        <v>-1266754</v>
      </c>
    </row>
    <row r="146" spans="1:14" ht="13.8">
      <c r="A146" s="266">
        <v>33700</v>
      </c>
      <c r="B146" s="268" t="s">
        <v>314</v>
      </c>
      <c r="C146" s="271">
        <v>18617520</v>
      </c>
      <c r="D146" s="271">
        <v>205015</v>
      </c>
      <c r="E146" s="271">
        <v>148726</v>
      </c>
      <c r="F146" s="271">
        <v>2016844</v>
      </c>
      <c r="G146" s="271">
        <v>1516629</v>
      </c>
      <c r="H146" s="271">
        <v>18241</v>
      </c>
      <c r="J146" s="271">
        <v>4967004</v>
      </c>
      <c r="K146" s="271">
        <v>244656</v>
      </c>
      <c r="L146" s="271">
        <v>-341461</v>
      </c>
      <c r="M146" s="271">
        <v>169391</v>
      </c>
      <c r="N146" s="271">
        <v>-172070</v>
      </c>
    </row>
    <row r="147" spans="1:14" ht="13.8">
      <c r="A147" s="266">
        <v>33800</v>
      </c>
      <c r="B147" s="268" t="s">
        <v>315</v>
      </c>
      <c r="C147" s="271">
        <v>14015374</v>
      </c>
      <c r="D147" s="271">
        <v>154337</v>
      </c>
      <c r="E147" s="271">
        <v>111962</v>
      </c>
      <c r="F147" s="271">
        <v>1518292</v>
      </c>
      <c r="G147" s="271">
        <v>1895639</v>
      </c>
      <c r="H147" s="271">
        <v>13732</v>
      </c>
      <c r="J147" s="271">
        <v>3739189</v>
      </c>
      <c r="K147" s="271">
        <v>673231</v>
      </c>
      <c r="L147" s="271">
        <v>-257054</v>
      </c>
      <c r="M147" s="271">
        <v>291</v>
      </c>
      <c r="N147" s="271">
        <v>-256763</v>
      </c>
    </row>
    <row r="148" spans="1:14" ht="13.8">
      <c r="A148" s="267">
        <v>33900</v>
      </c>
      <c r="B148" s="269" t="s">
        <v>460</v>
      </c>
      <c r="C148" s="272">
        <v>52581722</v>
      </c>
      <c r="D148" s="280">
        <v>579028</v>
      </c>
      <c r="E148" s="280">
        <v>420050</v>
      </c>
      <c r="F148" s="280">
        <v>5696201</v>
      </c>
      <c r="G148" s="273">
        <v>0</v>
      </c>
      <c r="H148" s="280">
        <v>51520</v>
      </c>
      <c r="J148" s="280">
        <v>14028379</v>
      </c>
      <c r="K148" s="280">
        <v>9343207</v>
      </c>
      <c r="L148" s="280">
        <v>-964389</v>
      </c>
      <c r="M148" s="280">
        <v>-4492385</v>
      </c>
      <c r="N148" s="280">
        <v>-5456774</v>
      </c>
    </row>
    <row r="149" spans="1:14" ht="13.8">
      <c r="A149" s="267">
        <v>34000</v>
      </c>
      <c r="B149" s="269" t="s">
        <v>316</v>
      </c>
      <c r="C149" s="272">
        <v>31322203</v>
      </c>
      <c r="D149" s="280">
        <v>344919</v>
      </c>
      <c r="E149" s="280">
        <v>250218</v>
      </c>
      <c r="F149" s="280">
        <v>3393148</v>
      </c>
      <c r="G149" s="280">
        <v>3142844</v>
      </c>
      <c r="H149" s="280">
        <v>30689</v>
      </c>
      <c r="J149" s="280">
        <v>8356511</v>
      </c>
      <c r="K149" s="280">
        <v>1501752</v>
      </c>
      <c r="L149" s="280">
        <v>-574473</v>
      </c>
      <c r="M149" s="280">
        <v>-226783</v>
      </c>
      <c r="N149" s="280">
        <v>-801256</v>
      </c>
    </row>
    <row r="150" spans="1:14" ht="13.8">
      <c r="A150" s="267">
        <v>34100</v>
      </c>
      <c r="B150" s="269" t="s">
        <v>317</v>
      </c>
      <c r="C150" s="272">
        <v>649332260</v>
      </c>
      <c r="D150" s="280">
        <v>7150419</v>
      </c>
      <c r="E150" s="280">
        <v>5187200</v>
      </c>
      <c r="F150" s="280">
        <v>70342450</v>
      </c>
      <c r="G150" s="280">
        <v>6016348</v>
      </c>
      <c r="H150" s="280">
        <v>636215</v>
      </c>
      <c r="J150" s="280">
        <v>173236607</v>
      </c>
      <c r="K150" s="280">
        <v>27398225</v>
      </c>
      <c r="L150" s="280">
        <v>-11909255</v>
      </c>
      <c r="M150" s="280">
        <v>-18010690</v>
      </c>
      <c r="N150" s="280">
        <v>-29919945</v>
      </c>
    </row>
    <row r="151" spans="1:14" ht="13.8">
      <c r="A151" s="267">
        <v>34105</v>
      </c>
      <c r="B151" s="269" t="s">
        <v>75</v>
      </c>
      <c r="C151" s="272">
        <v>48083431</v>
      </c>
      <c r="D151" s="280">
        <v>529493</v>
      </c>
      <c r="E151" s="280">
        <v>384115</v>
      </c>
      <c r="F151" s="280">
        <v>5208899</v>
      </c>
      <c r="G151" s="280">
        <v>1383382</v>
      </c>
      <c r="H151" s="280">
        <v>47112</v>
      </c>
      <c r="J151" s="280">
        <v>12828271</v>
      </c>
      <c r="K151" s="280">
        <v>3261100</v>
      </c>
      <c r="L151" s="280">
        <v>-881886</v>
      </c>
      <c r="M151" s="280">
        <v>-1923210</v>
      </c>
      <c r="N151" s="280">
        <v>-2805096</v>
      </c>
    </row>
    <row r="152" spans="1:14" ht="13.8">
      <c r="A152" s="267">
        <v>34200</v>
      </c>
      <c r="B152" s="269" t="s">
        <v>318</v>
      </c>
      <c r="C152" s="272">
        <v>19669667</v>
      </c>
      <c r="D152" s="280">
        <v>216602</v>
      </c>
      <c r="E152" s="280">
        <v>157131</v>
      </c>
      <c r="F152" s="280">
        <v>2130824</v>
      </c>
      <c r="G152" s="280">
        <v>1232352</v>
      </c>
      <c r="H152" s="280">
        <v>19272</v>
      </c>
      <c r="J152" s="280">
        <v>5247708</v>
      </c>
      <c r="K152" s="280">
        <v>3116932</v>
      </c>
      <c r="L152" s="280">
        <v>-360755</v>
      </c>
      <c r="M152" s="280">
        <v>-809562</v>
      </c>
      <c r="N152" s="280">
        <v>-1170317</v>
      </c>
    </row>
    <row r="153" spans="1:14" ht="13.8">
      <c r="A153" s="267">
        <v>34205</v>
      </c>
      <c r="B153" s="269" t="s">
        <v>76</v>
      </c>
      <c r="C153" s="272">
        <v>8671747</v>
      </c>
      <c r="D153" s="280">
        <v>95493</v>
      </c>
      <c r="E153" s="280">
        <v>69274</v>
      </c>
      <c r="F153" s="280">
        <v>939414</v>
      </c>
      <c r="G153" s="280">
        <v>637611</v>
      </c>
      <c r="H153" s="280">
        <v>8497</v>
      </c>
      <c r="J153" s="280">
        <v>2313552</v>
      </c>
      <c r="K153" s="280">
        <v>1139331</v>
      </c>
      <c r="L153" s="280">
        <v>-159046</v>
      </c>
      <c r="M153" s="280">
        <v>-363458</v>
      </c>
      <c r="N153" s="280">
        <v>-522504</v>
      </c>
    </row>
    <row r="154" spans="1:14" ht="13.8">
      <c r="A154" s="266">
        <v>34220</v>
      </c>
      <c r="B154" s="268" t="s">
        <v>319</v>
      </c>
      <c r="C154" s="271">
        <v>24799153</v>
      </c>
      <c r="D154" s="271">
        <v>273087</v>
      </c>
      <c r="E154" s="271">
        <v>198108</v>
      </c>
      <c r="F154" s="271">
        <v>2686503</v>
      </c>
      <c r="G154" s="271">
        <v>842978</v>
      </c>
      <c r="H154" s="271">
        <v>24298</v>
      </c>
      <c r="J154" s="271">
        <v>6616214</v>
      </c>
      <c r="K154" s="271">
        <v>1470594</v>
      </c>
      <c r="L154" s="271">
        <v>-454837</v>
      </c>
      <c r="M154" s="271">
        <v>-357953</v>
      </c>
      <c r="N154" s="271">
        <v>-812790</v>
      </c>
    </row>
    <row r="155" spans="1:14" ht="13.8">
      <c r="A155" s="266">
        <v>34230</v>
      </c>
      <c r="B155" s="268" t="s">
        <v>320</v>
      </c>
      <c r="C155" s="271">
        <v>8540708</v>
      </c>
      <c r="D155" s="271">
        <v>94050</v>
      </c>
      <c r="E155" s="271">
        <v>68228</v>
      </c>
      <c r="F155" s="271">
        <v>925219</v>
      </c>
      <c r="G155" s="271">
        <v>964721</v>
      </c>
      <c r="H155" s="271">
        <v>8368</v>
      </c>
      <c r="J155" s="271">
        <v>2278592</v>
      </c>
      <c r="K155" s="271">
        <v>886714</v>
      </c>
      <c r="L155" s="271">
        <v>-156644</v>
      </c>
      <c r="M155" s="271">
        <v>-637747</v>
      </c>
      <c r="N155" s="271">
        <v>-794391</v>
      </c>
    </row>
    <row r="156" spans="1:14" ht="13.8">
      <c r="A156" s="266">
        <v>34300</v>
      </c>
      <c r="B156" s="268" t="s">
        <v>321</v>
      </c>
      <c r="C156" s="271">
        <v>144513789</v>
      </c>
      <c r="D156" s="271">
        <v>1591380</v>
      </c>
      <c r="E156" s="271">
        <v>1154450</v>
      </c>
      <c r="F156" s="271">
        <v>15655243</v>
      </c>
      <c r="G156" s="271">
        <v>0</v>
      </c>
      <c r="H156" s="271">
        <v>141594</v>
      </c>
      <c r="J156" s="271">
        <v>38555113</v>
      </c>
      <c r="K156" s="271">
        <v>18732302</v>
      </c>
      <c r="L156" s="271">
        <v>-2650495</v>
      </c>
      <c r="M156" s="271">
        <v>-7466605</v>
      </c>
      <c r="N156" s="271">
        <v>-10117100</v>
      </c>
    </row>
    <row r="157" spans="1:14" ht="13.8">
      <c r="A157" s="266">
        <v>34400</v>
      </c>
      <c r="B157" s="268" t="s">
        <v>322</v>
      </c>
      <c r="C157" s="271">
        <v>64918929</v>
      </c>
      <c r="D157" s="271">
        <v>714884</v>
      </c>
      <c r="E157" s="271">
        <v>518606</v>
      </c>
      <c r="F157" s="271">
        <v>7032696</v>
      </c>
      <c r="G157" s="271">
        <v>2403759</v>
      </c>
      <c r="H157" s="271">
        <v>63608</v>
      </c>
      <c r="J157" s="271">
        <v>17319846</v>
      </c>
      <c r="K157" s="271">
        <v>4078277</v>
      </c>
      <c r="L157" s="271">
        <v>-1190662</v>
      </c>
      <c r="M157" s="271">
        <v>-1197872</v>
      </c>
      <c r="N157" s="271">
        <v>-2388534</v>
      </c>
    </row>
    <row r="158" spans="1:14" ht="13.8">
      <c r="A158" s="266">
        <v>34405</v>
      </c>
      <c r="B158" s="268" t="s">
        <v>77</v>
      </c>
      <c r="C158" s="271">
        <v>11651430</v>
      </c>
      <c r="D158" s="271">
        <v>128305</v>
      </c>
      <c r="E158" s="271">
        <v>93078</v>
      </c>
      <c r="F158" s="271">
        <v>1262205</v>
      </c>
      <c r="G158" s="271">
        <v>63924</v>
      </c>
      <c r="H158" s="271">
        <v>11416</v>
      </c>
      <c r="J158" s="271">
        <v>3108507</v>
      </c>
      <c r="K158" s="271">
        <v>869910</v>
      </c>
      <c r="L158" s="271">
        <v>-213698</v>
      </c>
      <c r="M158" s="271">
        <v>-391189</v>
      </c>
      <c r="N158" s="271">
        <v>-604887</v>
      </c>
    </row>
    <row r="159" spans="1:14" ht="13.8">
      <c r="A159" s="266">
        <v>34500</v>
      </c>
      <c r="B159" s="268" t="s">
        <v>323</v>
      </c>
      <c r="C159" s="271">
        <v>126227688</v>
      </c>
      <c r="D159" s="271">
        <v>1390014</v>
      </c>
      <c r="E159" s="271">
        <v>1008372</v>
      </c>
      <c r="F159" s="271">
        <v>13674301</v>
      </c>
      <c r="G159" s="271">
        <v>8903236</v>
      </c>
      <c r="H159" s="271">
        <v>123678</v>
      </c>
      <c r="J159" s="271">
        <v>33676529</v>
      </c>
      <c r="K159" s="271">
        <v>3786627</v>
      </c>
      <c r="L159" s="271">
        <v>-2315112</v>
      </c>
      <c r="M159" s="271">
        <v>787130</v>
      </c>
      <c r="N159" s="271">
        <v>-1527982</v>
      </c>
    </row>
    <row r="160" spans="1:14" ht="13.8">
      <c r="A160" s="266">
        <v>34501</v>
      </c>
      <c r="B160" s="268" t="s">
        <v>324</v>
      </c>
      <c r="C160" s="271">
        <v>1825628</v>
      </c>
      <c r="D160" s="271">
        <v>20104</v>
      </c>
      <c r="E160" s="271">
        <v>14584</v>
      </c>
      <c r="F160" s="271">
        <v>197771</v>
      </c>
      <c r="G160" s="271">
        <v>303694</v>
      </c>
      <c r="H160" s="271">
        <v>1789</v>
      </c>
      <c r="J160" s="271">
        <v>487063</v>
      </c>
      <c r="K160" s="271">
        <v>127279</v>
      </c>
      <c r="L160" s="271">
        <v>-33485</v>
      </c>
      <c r="M160" s="271">
        <v>75522</v>
      </c>
      <c r="N160" s="271">
        <v>42037</v>
      </c>
    </row>
    <row r="161" spans="1:14" ht="13.8">
      <c r="A161" s="266">
        <v>34505</v>
      </c>
      <c r="B161" s="268" t="s">
        <v>78</v>
      </c>
      <c r="C161" s="271">
        <v>15716921</v>
      </c>
      <c r="D161" s="271">
        <v>173074</v>
      </c>
      <c r="E161" s="271">
        <v>125555</v>
      </c>
      <c r="F161" s="271">
        <v>1702621</v>
      </c>
      <c r="G161" s="271">
        <v>854525</v>
      </c>
      <c r="H161" s="271">
        <v>15399</v>
      </c>
      <c r="J161" s="271">
        <v>4193148</v>
      </c>
      <c r="K161" s="271">
        <v>148004</v>
      </c>
      <c r="L161" s="271">
        <v>-288261</v>
      </c>
      <c r="M161" s="271">
        <v>493302</v>
      </c>
      <c r="N161" s="271">
        <v>205041</v>
      </c>
    </row>
    <row r="162" spans="1:14" ht="13.8">
      <c r="A162" s="266">
        <v>34600</v>
      </c>
      <c r="B162" s="268" t="s">
        <v>325</v>
      </c>
      <c r="C162" s="271">
        <v>23074838</v>
      </c>
      <c r="D162" s="271">
        <v>254099</v>
      </c>
      <c r="E162" s="271">
        <v>184334</v>
      </c>
      <c r="F162" s="271">
        <v>2499707</v>
      </c>
      <c r="G162" s="271">
        <v>696624</v>
      </c>
      <c r="H162" s="271">
        <v>22609</v>
      </c>
      <c r="J162" s="271">
        <v>6156181</v>
      </c>
      <c r="K162" s="271">
        <v>3332462</v>
      </c>
      <c r="L162" s="271">
        <v>-423211</v>
      </c>
      <c r="M162" s="271">
        <v>-1247781</v>
      </c>
      <c r="N162" s="271">
        <v>-1670992</v>
      </c>
    </row>
    <row r="163" spans="1:14" ht="13.8">
      <c r="A163" s="266">
        <v>34605</v>
      </c>
      <c r="B163" s="268" t="s">
        <v>79</v>
      </c>
      <c r="C163" s="271">
        <v>4026037</v>
      </c>
      <c r="D163" s="271">
        <v>44335</v>
      </c>
      <c r="E163" s="271">
        <v>32162</v>
      </c>
      <c r="F163" s="271">
        <v>436142</v>
      </c>
      <c r="G163" s="271">
        <v>154857</v>
      </c>
      <c r="H163" s="271">
        <v>3945</v>
      </c>
      <c r="J163" s="271">
        <v>1074114</v>
      </c>
      <c r="K163" s="271">
        <v>825066</v>
      </c>
      <c r="L163" s="271">
        <v>-73841</v>
      </c>
      <c r="M163" s="271">
        <v>-505812</v>
      </c>
      <c r="N163" s="271">
        <v>-579653</v>
      </c>
    </row>
    <row r="164" spans="1:14" ht="13.8">
      <c r="A164" s="266">
        <v>34700</v>
      </c>
      <c r="B164" s="268" t="s">
        <v>326</v>
      </c>
      <c r="C164" s="271">
        <v>77746925</v>
      </c>
      <c r="D164" s="271">
        <v>856146</v>
      </c>
      <c r="E164" s="271">
        <v>621082</v>
      </c>
      <c r="F164" s="271">
        <v>8422359</v>
      </c>
      <c r="G164" s="271">
        <v>2338174</v>
      </c>
      <c r="H164" s="271">
        <v>76176</v>
      </c>
      <c r="J164" s="271">
        <v>20742252</v>
      </c>
      <c r="K164" s="271">
        <v>5060531</v>
      </c>
      <c r="L164" s="271">
        <v>-1425939</v>
      </c>
      <c r="M164" s="271">
        <v>-826105</v>
      </c>
      <c r="N164" s="271">
        <v>-2252044</v>
      </c>
    </row>
    <row r="165" spans="1:14" ht="13.8">
      <c r="A165" s="266">
        <v>34800</v>
      </c>
      <c r="B165" s="268" t="s">
        <v>327</v>
      </c>
      <c r="C165" s="271">
        <v>8099946</v>
      </c>
      <c r="D165" s="271">
        <v>89196</v>
      </c>
      <c r="E165" s="271">
        <v>64707</v>
      </c>
      <c r="F165" s="271">
        <v>877471</v>
      </c>
      <c r="G165" s="271">
        <v>395617</v>
      </c>
      <c r="H165" s="271">
        <v>7936</v>
      </c>
      <c r="J165" s="271">
        <v>2161000</v>
      </c>
      <c r="K165" s="271">
        <v>526400</v>
      </c>
      <c r="L165" s="271">
        <v>-148560</v>
      </c>
      <c r="M165" s="271">
        <v>-170222</v>
      </c>
      <c r="N165" s="271">
        <v>-318782</v>
      </c>
    </row>
    <row r="166" spans="1:14" ht="13.8">
      <c r="A166" s="267">
        <v>34900</v>
      </c>
      <c r="B166" s="269" t="s">
        <v>461</v>
      </c>
      <c r="C166" s="272">
        <v>168273226</v>
      </c>
      <c r="D166" s="280">
        <v>1853018</v>
      </c>
      <c r="E166" s="280">
        <v>1344253</v>
      </c>
      <c r="F166" s="280">
        <v>18229113</v>
      </c>
      <c r="G166" s="280">
        <v>4953192</v>
      </c>
      <c r="H166" s="280">
        <v>164874</v>
      </c>
      <c r="J166" s="280">
        <v>44893939</v>
      </c>
      <c r="K166" s="280">
        <v>5047234</v>
      </c>
      <c r="L166" s="280">
        <v>-3086261</v>
      </c>
      <c r="M166" s="280">
        <v>-2283303</v>
      </c>
      <c r="N166" s="280">
        <v>-5369564</v>
      </c>
    </row>
    <row r="167" spans="1:14" ht="13.8">
      <c r="A167" s="267">
        <v>34901</v>
      </c>
      <c r="B167" s="269" t="s">
        <v>462</v>
      </c>
      <c r="C167" s="272">
        <v>4761469</v>
      </c>
      <c r="D167" s="280">
        <v>52433</v>
      </c>
      <c r="E167" s="280">
        <v>38037</v>
      </c>
      <c r="F167" s="280">
        <v>515812</v>
      </c>
      <c r="G167" s="280">
        <v>286808</v>
      </c>
      <c r="H167" s="280">
        <v>4665</v>
      </c>
      <c r="J167" s="280">
        <v>1270321</v>
      </c>
      <c r="K167" s="280">
        <v>84118</v>
      </c>
      <c r="L167" s="280">
        <v>-87329</v>
      </c>
      <c r="M167" s="280">
        <v>5796</v>
      </c>
      <c r="N167" s="280">
        <v>-81533</v>
      </c>
    </row>
    <row r="168" spans="1:14" ht="13.8">
      <c r="A168" s="267">
        <v>34903</v>
      </c>
      <c r="B168" s="269" t="s">
        <v>328</v>
      </c>
      <c r="C168" s="272">
        <v>538544</v>
      </c>
      <c r="D168" s="280">
        <v>5930</v>
      </c>
      <c r="E168" s="280">
        <v>4302</v>
      </c>
      <c r="F168" s="280">
        <v>58341</v>
      </c>
      <c r="G168" s="280">
        <v>340637</v>
      </c>
      <c r="H168" s="280">
        <v>528</v>
      </c>
      <c r="J168" s="280">
        <v>143679</v>
      </c>
      <c r="K168" s="280">
        <v>16287</v>
      </c>
      <c r="L168" s="280">
        <v>-9878</v>
      </c>
      <c r="M168" s="280">
        <v>74661</v>
      </c>
      <c r="N168" s="280">
        <v>64783</v>
      </c>
    </row>
    <row r="169" spans="1:14" ht="13.8">
      <c r="A169" s="267">
        <v>34905</v>
      </c>
      <c r="B169" s="269" t="s">
        <v>80</v>
      </c>
      <c r="C169" s="272">
        <v>15818669</v>
      </c>
      <c r="D169" s="280">
        <v>174195</v>
      </c>
      <c r="E169" s="280">
        <v>126368</v>
      </c>
      <c r="F169" s="280">
        <v>1713643</v>
      </c>
      <c r="G169" s="280">
        <v>692058</v>
      </c>
      <c r="H169" s="280">
        <v>15499</v>
      </c>
      <c r="J169" s="280">
        <v>4220293</v>
      </c>
      <c r="K169" s="280">
        <v>514022</v>
      </c>
      <c r="L169" s="280">
        <v>-290126</v>
      </c>
      <c r="M169" s="280">
        <v>18750</v>
      </c>
      <c r="N169" s="280">
        <v>-271376</v>
      </c>
    </row>
    <row r="170" spans="1:14" ht="13.8">
      <c r="A170" s="267">
        <v>34910</v>
      </c>
      <c r="B170" s="269" t="s">
        <v>329</v>
      </c>
      <c r="C170" s="272">
        <v>52453316</v>
      </c>
      <c r="D170" s="280">
        <v>577614</v>
      </c>
      <c r="E170" s="280">
        <v>419024</v>
      </c>
      <c r="F170" s="280">
        <v>5682291</v>
      </c>
      <c r="G170" s="280">
        <v>1984656</v>
      </c>
      <c r="H170" s="280">
        <v>51394</v>
      </c>
      <c r="J170" s="280">
        <v>13994121</v>
      </c>
      <c r="K170" s="280">
        <v>3657957</v>
      </c>
      <c r="L170" s="280">
        <v>-962036</v>
      </c>
      <c r="M170" s="280">
        <v>-797543</v>
      </c>
      <c r="N170" s="280">
        <v>-1759579</v>
      </c>
    </row>
    <row r="171" spans="1:14" ht="13.8">
      <c r="A171" s="267">
        <v>35000</v>
      </c>
      <c r="B171" s="269" t="s">
        <v>330</v>
      </c>
      <c r="C171" s="272">
        <v>38177088</v>
      </c>
      <c r="D171" s="280">
        <v>420404</v>
      </c>
      <c r="E171" s="280">
        <v>304978</v>
      </c>
      <c r="F171" s="280">
        <v>4135741</v>
      </c>
      <c r="G171" s="280">
        <v>3253321</v>
      </c>
      <c r="H171" s="280">
        <v>37406</v>
      </c>
      <c r="J171" s="280">
        <v>10185339</v>
      </c>
      <c r="K171" s="280">
        <v>838463</v>
      </c>
      <c r="L171" s="280">
        <v>-700198</v>
      </c>
      <c r="M171" s="280">
        <v>346762</v>
      </c>
      <c r="N171" s="280">
        <v>-353436</v>
      </c>
    </row>
    <row r="172" spans="1:14" ht="13.8">
      <c r="A172" s="266">
        <v>35005</v>
      </c>
      <c r="B172" s="268" t="s">
        <v>81</v>
      </c>
      <c r="C172" s="271">
        <v>13528952</v>
      </c>
      <c r="D172" s="271">
        <v>148980</v>
      </c>
      <c r="E172" s="271">
        <v>108076</v>
      </c>
      <c r="F172" s="271">
        <v>1465597</v>
      </c>
      <c r="G172" s="271">
        <v>49770</v>
      </c>
      <c r="H172" s="271">
        <v>13256</v>
      </c>
      <c r="J172" s="271">
        <v>3609415</v>
      </c>
      <c r="K172" s="271">
        <v>1329116</v>
      </c>
      <c r="L172" s="271">
        <v>-248132</v>
      </c>
      <c r="M172" s="271">
        <v>-484126</v>
      </c>
      <c r="N172" s="271">
        <v>-732258</v>
      </c>
    </row>
    <row r="173" spans="1:14" ht="13.8">
      <c r="A173" s="266">
        <v>35100</v>
      </c>
      <c r="B173" s="268" t="s">
        <v>331</v>
      </c>
      <c r="C173" s="271">
        <v>318203512</v>
      </c>
      <c r="D173" s="271">
        <v>3504043</v>
      </c>
      <c r="E173" s="271">
        <v>2541973</v>
      </c>
      <c r="F173" s="271">
        <v>34471127</v>
      </c>
      <c r="G173" s="271">
        <v>9274984</v>
      </c>
      <c r="H173" s="271">
        <v>311775</v>
      </c>
      <c r="J173" s="271">
        <v>84894129</v>
      </c>
      <c r="K173" s="271">
        <v>13580574</v>
      </c>
      <c r="L173" s="271">
        <v>-5836097</v>
      </c>
      <c r="M173" s="271">
        <v>-1700535</v>
      </c>
      <c r="N173" s="271">
        <v>-7536632</v>
      </c>
    </row>
    <row r="174" spans="1:14" ht="13.8">
      <c r="A174" s="266">
        <v>35105</v>
      </c>
      <c r="B174" s="268" t="s">
        <v>82</v>
      </c>
      <c r="C174" s="271">
        <v>25604593</v>
      </c>
      <c r="D174" s="271">
        <v>281957</v>
      </c>
      <c r="E174" s="271">
        <v>204543</v>
      </c>
      <c r="F174" s="271">
        <v>2773757</v>
      </c>
      <c r="G174" s="271">
        <v>284718</v>
      </c>
      <c r="H174" s="271">
        <v>25087</v>
      </c>
      <c r="J174" s="271">
        <v>6831099</v>
      </c>
      <c r="K174" s="271">
        <v>1330754</v>
      </c>
      <c r="L174" s="271">
        <v>-469607</v>
      </c>
      <c r="M174" s="271">
        <v>-202904</v>
      </c>
      <c r="N174" s="271">
        <v>-672511</v>
      </c>
    </row>
    <row r="175" spans="1:14" ht="13.8">
      <c r="A175" s="266">
        <v>35106</v>
      </c>
      <c r="B175" s="268" t="s">
        <v>332</v>
      </c>
      <c r="C175" s="271">
        <v>5756995</v>
      </c>
      <c r="D175" s="271">
        <v>63396</v>
      </c>
      <c r="E175" s="271">
        <v>45990</v>
      </c>
      <c r="F175" s="271">
        <v>623658</v>
      </c>
      <c r="G175" s="271">
        <v>70398</v>
      </c>
      <c r="H175" s="271">
        <v>5641</v>
      </c>
      <c r="J175" s="271">
        <v>1535920</v>
      </c>
      <c r="K175" s="271">
        <v>1169393</v>
      </c>
      <c r="L175" s="271">
        <v>-105588</v>
      </c>
      <c r="M175" s="271">
        <v>-407922</v>
      </c>
      <c r="N175" s="271">
        <v>-513510</v>
      </c>
    </row>
    <row r="176" spans="1:14" ht="13.8">
      <c r="A176" s="266">
        <v>35200</v>
      </c>
      <c r="B176" s="268" t="s">
        <v>333</v>
      </c>
      <c r="C176" s="271">
        <v>12181338</v>
      </c>
      <c r="D176" s="271">
        <v>134140</v>
      </c>
      <c r="E176" s="271">
        <v>97311</v>
      </c>
      <c r="F176" s="271">
        <v>1319610</v>
      </c>
      <c r="G176" s="271">
        <v>796779</v>
      </c>
      <c r="H176" s="271">
        <v>11935</v>
      </c>
      <c r="J176" s="271">
        <v>3249883</v>
      </c>
      <c r="K176" s="271">
        <v>907377</v>
      </c>
      <c r="L176" s="271">
        <v>-223415</v>
      </c>
      <c r="M176" s="271">
        <v>-268784</v>
      </c>
      <c r="N176" s="271">
        <v>-492199</v>
      </c>
    </row>
    <row r="177" spans="1:14" ht="13.8">
      <c r="A177" s="266">
        <v>35300</v>
      </c>
      <c r="B177" s="268" t="s">
        <v>463</v>
      </c>
      <c r="C177" s="271">
        <v>88408422</v>
      </c>
      <c r="D177" s="271">
        <v>973550</v>
      </c>
      <c r="E177" s="271">
        <v>706252</v>
      </c>
      <c r="F177" s="271">
        <v>9577323</v>
      </c>
      <c r="G177" s="271">
        <v>4963089</v>
      </c>
      <c r="H177" s="271">
        <v>86622</v>
      </c>
      <c r="J177" s="271">
        <v>23586653</v>
      </c>
      <c r="K177" s="271">
        <v>10690965</v>
      </c>
      <c r="L177" s="271">
        <v>-1621478</v>
      </c>
      <c r="M177" s="271">
        <v>-2349302</v>
      </c>
      <c r="N177" s="271">
        <v>-3970780</v>
      </c>
    </row>
    <row r="178" spans="1:14" ht="13.8">
      <c r="A178" s="267">
        <v>35305</v>
      </c>
      <c r="B178" s="269" t="s">
        <v>83</v>
      </c>
      <c r="C178" s="272">
        <v>36898723</v>
      </c>
      <c r="D178" s="280">
        <v>406327</v>
      </c>
      <c r="E178" s="280">
        <v>294766</v>
      </c>
      <c r="F178" s="280">
        <v>3997255</v>
      </c>
      <c r="G178" s="280">
        <v>3489860</v>
      </c>
      <c r="H178" s="280">
        <v>36153</v>
      </c>
      <c r="J178" s="280">
        <v>9844282</v>
      </c>
      <c r="K178" s="280">
        <v>389421</v>
      </c>
      <c r="L178" s="280">
        <v>-676752</v>
      </c>
      <c r="M178" s="280">
        <v>1098190</v>
      </c>
      <c r="N178" s="280">
        <v>421438</v>
      </c>
    </row>
    <row r="179" spans="1:14" ht="13.8">
      <c r="A179" s="267">
        <v>35400</v>
      </c>
      <c r="B179" s="269" t="s">
        <v>334</v>
      </c>
      <c r="C179" s="272">
        <v>78549516</v>
      </c>
      <c r="D179" s="280">
        <v>864984</v>
      </c>
      <c r="E179" s="280">
        <v>627494</v>
      </c>
      <c r="F179" s="280">
        <v>8509304</v>
      </c>
      <c r="G179" s="280">
        <v>10568775</v>
      </c>
      <c r="H179" s="280">
        <v>76963</v>
      </c>
      <c r="J179" s="280">
        <v>20956377</v>
      </c>
      <c r="K179" s="280">
        <v>1987610</v>
      </c>
      <c r="L179" s="280">
        <v>-1440659</v>
      </c>
      <c r="M179" s="280">
        <v>1520319</v>
      </c>
      <c r="N179" s="280">
        <v>79660</v>
      </c>
    </row>
    <row r="180" spans="1:14" ht="13.8">
      <c r="A180" s="267">
        <v>35401</v>
      </c>
      <c r="B180" s="269" t="s">
        <v>335</v>
      </c>
      <c r="C180" s="272">
        <v>952691</v>
      </c>
      <c r="D180" s="280">
        <v>10491</v>
      </c>
      <c r="E180" s="280">
        <v>7611</v>
      </c>
      <c r="F180" s="280">
        <v>103205</v>
      </c>
      <c r="G180" s="280">
        <v>277518</v>
      </c>
      <c r="H180" s="280">
        <v>933</v>
      </c>
      <c r="J180" s="280">
        <v>254170</v>
      </c>
      <c r="K180" s="280">
        <v>110010</v>
      </c>
      <c r="L180" s="280">
        <v>-17474</v>
      </c>
      <c r="M180" s="280">
        <v>15974</v>
      </c>
      <c r="N180" s="280">
        <v>-1500</v>
      </c>
    </row>
    <row r="181" spans="1:14" ht="13.8">
      <c r="A181" s="267">
        <v>35405</v>
      </c>
      <c r="B181" s="269" t="s">
        <v>84</v>
      </c>
      <c r="C181" s="272">
        <v>19371061</v>
      </c>
      <c r="D181" s="280">
        <v>213313</v>
      </c>
      <c r="E181" s="280">
        <v>154746</v>
      </c>
      <c r="F181" s="280">
        <v>2098476</v>
      </c>
      <c r="G181" s="280">
        <v>208533</v>
      </c>
      <c r="H181" s="280">
        <v>18980</v>
      </c>
      <c r="J181" s="280">
        <v>5168043</v>
      </c>
      <c r="K181" s="280">
        <v>2660850</v>
      </c>
      <c r="L181" s="280">
        <v>-355281</v>
      </c>
      <c r="M181" s="280">
        <v>-1075299</v>
      </c>
      <c r="N181" s="280">
        <v>-1430580</v>
      </c>
    </row>
    <row r="182" spans="1:14" ht="13.8">
      <c r="A182" s="267">
        <v>35500</v>
      </c>
      <c r="B182" s="269" t="s">
        <v>336</v>
      </c>
      <c r="C182" s="272">
        <v>98629010</v>
      </c>
      <c r="D182" s="280">
        <v>1086098</v>
      </c>
      <c r="E182" s="280">
        <v>787899</v>
      </c>
      <c r="F182" s="280">
        <v>10684524</v>
      </c>
      <c r="G182" s="280">
        <v>7107122</v>
      </c>
      <c r="H182" s="280">
        <v>96637</v>
      </c>
      <c r="J182" s="280">
        <v>26313424</v>
      </c>
      <c r="K182" s="280">
        <v>3789277</v>
      </c>
      <c r="L182" s="280">
        <v>-1808931</v>
      </c>
      <c r="M182" s="280">
        <v>-657355</v>
      </c>
      <c r="N182" s="280">
        <v>-2466286</v>
      </c>
    </row>
    <row r="183" spans="1:14" ht="13.8">
      <c r="A183" s="267">
        <v>35600</v>
      </c>
      <c r="B183" s="269" t="s">
        <v>337</v>
      </c>
      <c r="C183" s="272">
        <v>41863333</v>
      </c>
      <c r="D183" s="280">
        <v>460997</v>
      </c>
      <c r="E183" s="280">
        <v>334426</v>
      </c>
      <c r="F183" s="280">
        <v>4535073</v>
      </c>
      <c r="G183" s="280">
        <v>2632105</v>
      </c>
      <c r="H183" s="280">
        <v>41018</v>
      </c>
      <c r="J183" s="280">
        <v>11168799</v>
      </c>
      <c r="K183" s="280">
        <v>1147410</v>
      </c>
      <c r="L183" s="280">
        <v>-767805</v>
      </c>
      <c r="M183" s="280">
        <v>136926</v>
      </c>
      <c r="N183" s="280">
        <v>-630879</v>
      </c>
    </row>
    <row r="184" spans="1:14" ht="13.8">
      <c r="A184" s="266">
        <v>35700</v>
      </c>
      <c r="B184" s="268" t="s">
        <v>338</v>
      </c>
      <c r="C184" s="271">
        <v>22899269</v>
      </c>
      <c r="D184" s="271">
        <v>252166</v>
      </c>
      <c r="E184" s="271">
        <v>182931</v>
      </c>
      <c r="F184" s="271">
        <v>2480688</v>
      </c>
      <c r="G184" s="271">
        <v>2124239</v>
      </c>
      <c r="H184" s="271">
        <v>22437</v>
      </c>
      <c r="J184" s="271">
        <v>6109340</v>
      </c>
      <c r="K184" s="271">
        <v>663188</v>
      </c>
      <c r="L184" s="271">
        <v>-419990</v>
      </c>
      <c r="M184" s="271">
        <v>-62852</v>
      </c>
      <c r="N184" s="271">
        <v>-482842</v>
      </c>
    </row>
    <row r="185" spans="1:14" ht="13.8">
      <c r="A185" s="266">
        <v>35800</v>
      </c>
      <c r="B185" s="268" t="s">
        <v>339</v>
      </c>
      <c r="C185" s="271">
        <v>26711431</v>
      </c>
      <c r="D185" s="271">
        <v>294145</v>
      </c>
      <c r="E185" s="271">
        <v>213385</v>
      </c>
      <c r="F185" s="271">
        <v>2893661</v>
      </c>
      <c r="G185" s="271">
        <v>424625</v>
      </c>
      <c r="H185" s="271">
        <v>26172</v>
      </c>
      <c r="J185" s="271">
        <v>7126394</v>
      </c>
      <c r="K185" s="271">
        <v>1953129</v>
      </c>
      <c r="L185" s="271">
        <v>-489909</v>
      </c>
      <c r="M185" s="271">
        <v>-1278402</v>
      </c>
      <c r="N185" s="271">
        <v>-1768311</v>
      </c>
    </row>
    <row r="186" spans="1:14" ht="13.8">
      <c r="A186" s="266">
        <v>35805</v>
      </c>
      <c r="B186" s="268" t="s">
        <v>85</v>
      </c>
      <c r="C186" s="271">
        <v>5238708</v>
      </c>
      <c r="D186" s="271">
        <v>57688</v>
      </c>
      <c r="E186" s="271">
        <v>41849</v>
      </c>
      <c r="F186" s="271">
        <v>567512</v>
      </c>
      <c r="G186" s="271">
        <v>86709</v>
      </c>
      <c r="H186" s="271">
        <v>5133</v>
      </c>
      <c r="J186" s="271">
        <v>1397645</v>
      </c>
      <c r="K186" s="271">
        <v>496451</v>
      </c>
      <c r="L186" s="271">
        <v>-96082</v>
      </c>
      <c r="M186" s="271">
        <v>102142</v>
      </c>
      <c r="N186" s="271">
        <v>6060</v>
      </c>
    </row>
    <row r="187" spans="1:14" ht="13.8">
      <c r="A187" s="266">
        <v>35900</v>
      </c>
      <c r="B187" s="268" t="s">
        <v>340</v>
      </c>
      <c r="C187" s="271">
        <v>52965629</v>
      </c>
      <c r="D187" s="271">
        <v>583255</v>
      </c>
      <c r="E187" s="271">
        <v>423117</v>
      </c>
      <c r="F187" s="271">
        <v>5737790</v>
      </c>
      <c r="G187" s="271">
        <v>1092807</v>
      </c>
      <c r="H187" s="271">
        <v>51896</v>
      </c>
      <c r="J187" s="271">
        <v>14130802</v>
      </c>
      <c r="K187" s="271">
        <v>3595405</v>
      </c>
      <c r="L187" s="271">
        <v>-971430</v>
      </c>
      <c r="M187" s="271">
        <v>-1698742</v>
      </c>
      <c r="N187" s="271">
        <v>-2670172</v>
      </c>
    </row>
    <row r="188" spans="1:14" ht="13.8">
      <c r="A188" s="266">
        <v>35905</v>
      </c>
      <c r="B188" s="268" t="s">
        <v>86</v>
      </c>
      <c r="C188" s="271">
        <v>8162197</v>
      </c>
      <c r="D188" s="271">
        <v>89882</v>
      </c>
      <c r="E188" s="271">
        <v>65204</v>
      </c>
      <c r="F188" s="271">
        <v>884214</v>
      </c>
      <c r="G188" s="271">
        <v>2274944</v>
      </c>
      <c r="H188" s="271">
        <v>7997</v>
      </c>
      <c r="J188" s="271">
        <v>2177608</v>
      </c>
      <c r="K188" s="271">
        <v>488828</v>
      </c>
      <c r="L188" s="271">
        <v>-149700</v>
      </c>
      <c r="M188" s="271">
        <v>145459</v>
      </c>
      <c r="N188" s="271">
        <v>-4241</v>
      </c>
    </row>
    <row r="189" spans="1:14" ht="13.8">
      <c r="A189" s="266">
        <v>36000</v>
      </c>
      <c r="B189" s="268" t="s">
        <v>341</v>
      </c>
      <c r="C189" s="271">
        <v>1360158199</v>
      </c>
      <c r="D189" s="271">
        <v>14978004</v>
      </c>
      <c r="E189" s="271">
        <v>10865642</v>
      </c>
      <c r="F189" s="271">
        <v>147346538</v>
      </c>
      <c r="G189" s="271">
        <v>9621854</v>
      </c>
      <c r="H189" s="271">
        <v>1332682</v>
      </c>
      <c r="J189" s="271">
        <v>362879231</v>
      </c>
      <c r="K189" s="271">
        <v>99407997</v>
      </c>
      <c r="L189" s="271">
        <v>-24946349</v>
      </c>
      <c r="M189" s="271">
        <v>-30600337</v>
      </c>
      <c r="N189" s="271">
        <v>-55546686</v>
      </c>
    </row>
    <row r="190" spans="1:14" ht="13.8">
      <c r="A190" s="267">
        <v>36001</v>
      </c>
      <c r="B190" s="269" t="s">
        <v>464</v>
      </c>
      <c r="C190" s="273">
        <v>0</v>
      </c>
      <c r="D190" s="273">
        <v>0</v>
      </c>
      <c r="E190" s="273">
        <v>0</v>
      </c>
      <c r="F190" s="273">
        <v>0</v>
      </c>
      <c r="G190" s="273">
        <v>0</v>
      </c>
      <c r="H190" s="273">
        <v>0</v>
      </c>
      <c r="J190" s="273">
        <v>0</v>
      </c>
      <c r="K190" s="273">
        <v>0</v>
      </c>
      <c r="L190" s="273">
        <v>0</v>
      </c>
      <c r="M190" s="280">
        <v>-218360</v>
      </c>
      <c r="N190" s="280">
        <v>-218360</v>
      </c>
    </row>
    <row r="191" spans="1:14" ht="13.8">
      <c r="A191" s="267">
        <v>36002</v>
      </c>
      <c r="B191" s="269" t="s">
        <v>465</v>
      </c>
      <c r="C191" s="273">
        <v>0</v>
      </c>
      <c r="D191" s="273">
        <v>0</v>
      </c>
      <c r="E191" s="273">
        <v>0</v>
      </c>
      <c r="F191" s="273">
        <v>0</v>
      </c>
      <c r="G191" s="273">
        <v>0</v>
      </c>
      <c r="H191" s="273">
        <v>0</v>
      </c>
      <c r="J191" s="273">
        <v>0</v>
      </c>
      <c r="K191" s="273">
        <v>0</v>
      </c>
      <c r="L191" s="273">
        <v>0</v>
      </c>
      <c r="M191" s="280">
        <v>-161620</v>
      </c>
      <c r="N191" s="280">
        <v>-161620</v>
      </c>
    </row>
    <row r="192" spans="1:14" ht="13.8">
      <c r="A192" s="267">
        <v>36003</v>
      </c>
      <c r="B192" s="269" t="s">
        <v>342</v>
      </c>
      <c r="C192" s="272">
        <v>10299222</v>
      </c>
      <c r="D192" s="280">
        <v>113415</v>
      </c>
      <c r="E192" s="280">
        <v>82275</v>
      </c>
      <c r="F192" s="280">
        <v>1115719</v>
      </c>
      <c r="G192" s="280">
        <v>1043236</v>
      </c>
      <c r="H192" s="280">
        <v>10091</v>
      </c>
      <c r="J192" s="280">
        <v>2747749</v>
      </c>
      <c r="K192" s="280">
        <v>525828</v>
      </c>
      <c r="L192" s="280">
        <v>-188896</v>
      </c>
      <c r="M192" s="280">
        <v>-113891</v>
      </c>
      <c r="N192" s="280">
        <v>-302787</v>
      </c>
    </row>
    <row r="193" spans="1:14" ht="13.8">
      <c r="A193" s="267">
        <v>36004</v>
      </c>
      <c r="B193" s="269" t="s">
        <v>466</v>
      </c>
      <c r="C193" s="272">
        <v>7651044</v>
      </c>
      <c r="D193" s="280">
        <v>84253</v>
      </c>
      <c r="E193" s="280">
        <v>61120</v>
      </c>
      <c r="F193" s="280">
        <v>828841</v>
      </c>
      <c r="G193" s="280">
        <v>1077975</v>
      </c>
      <c r="H193" s="280">
        <v>7496</v>
      </c>
      <c r="J193" s="280">
        <v>2041237</v>
      </c>
      <c r="K193" s="280">
        <v>534476</v>
      </c>
      <c r="L193" s="280">
        <v>-140326</v>
      </c>
      <c r="M193" s="280">
        <v>435065</v>
      </c>
      <c r="N193" s="280">
        <v>294739</v>
      </c>
    </row>
    <row r="194" spans="1:14" ht="13.8">
      <c r="A194" s="267">
        <v>36005</v>
      </c>
      <c r="B194" s="269" t="s">
        <v>87</v>
      </c>
      <c r="C194" s="272">
        <v>97754959</v>
      </c>
      <c r="D194" s="280">
        <v>1076473</v>
      </c>
      <c r="E194" s="280">
        <v>780917</v>
      </c>
      <c r="F194" s="280">
        <v>10589838</v>
      </c>
      <c r="G194" s="273">
        <v>0</v>
      </c>
      <c r="H194" s="280">
        <v>95780</v>
      </c>
      <c r="J194" s="280">
        <v>26080234</v>
      </c>
      <c r="K194" s="280">
        <v>10503545</v>
      </c>
      <c r="L194" s="280">
        <v>-1792900</v>
      </c>
      <c r="M194" s="280">
        <v>-3380279</v>
      </c>
      <c r="N194" s="280">
        <v>-5173179</v>
      </c>
    </row>
    <row r="195" spans="1:14" ht="13.8">
      <c r="A195" s="267">
        <v>36006</v>
      </c>
      <c r="B195" s="269" t="s">
        <v>343</v>
      </c>
      <c r="C195" s="272">
        <v>18276934</v>
      </c>
      <c r="D195" s="280">
        <v>201265</v>
      </c>
      <c r="E195" s="280">
        <v>146006</v>
      </c>
      <c r="F195" s="280">
        <v>1979948</v>
      </c>
      <c r="G195" s="280">
        <v>1487172</v>
      </c>
      <c r="H195" s="280">
        <v>17908</v>
      </c>
      <c r="J195" s="280">
        <v>4876139</v>
      </c>
      <c r="K195" s="273">
        <v>0</v>
      </c>
      <c r="L195" s="280">
        <v>-335213</v>
      </c>
      <c r="M195" s="280">
        <v>1004438</v>
      </c>
      <c r="N195" s="280">
        <v>669225</v>
      </c>
    </row>
    <row r="196" spans="1:14" ht="13.8">
      <c r="A196" s="266">
        <v>36007</v>
      </c>
      <c r="B196" s="268" t="s">
        <v>344</v>
      </c>
      <c r="C196" s="271">
        <v>6067265</v>
      </c>
      <c r="D196" s="271">
        <v>66812</v>
      </c>
      <c r="E196" s="271">
        <v>48468</v>
      </c>
      <c r="F196" s="271">
        <v>657269</v>
      </c>
      <c r="G196" s="271">
        <v>1125467</v>
      </c>
      <c r="H196" s="271">
        <v>5945</v>
      </c>
      <c r="J196" s="271">
        <v>1618697</v>
      </c>
      <c r="K196" s="271">
        <v>416483</v>
      </c>
      <c r="L196" s="271">
        <v>-111280</v>
      </c>
      <c r="M196" s="271">
        <v>380635</v>
      </c>
      <c r="N196" s="271">
        <v>269355</v>
      </c>
    </row>
    <row r="197" spans="1:14" ht="13.8">
      <c r="A197" s="266">
        <v>36008</v>
      </c>
      <c r="B197" s="268" t="s">
        <v>345</v>
      </c>
      <c r="C197" s="271">
        <v>15512344</v>
      </c>
      <c r="D197" s="271">
        <v>170821</v>
      </c>
      <c r="E197" s="271">
        <v>123921</v>
      </c>
      <c r="F197" s="271">
        <v>1680459</v>
      </c>
      <c r="G197" s="271">
        <v>1017612</v>
      </c>
      <c r="H197" s="271">
        <v>15199</v>
      </c>
      <c r="J197" s="271">
        <v>4138568</v>
      </c>
      <c r="K197" s="271">
        <v>245803</v>
      </c>
      <c r="L197" s="271">
        <v>-284508</v>
      </c>
      <c r="M197" s="271">
        <v>-102057</v>
      </c>
      <c r="N197" s="271">
        <v>-386565</v>
      </c>
    </row>
    <row r="198" spans="1:14" ht="13.8">
      <c r="A198" s="266">
        <v>36009</v>
      </c>
      <c r="B198" s="268" t="s">
        <v>346</v>
      </c>
      <c r="C198" s="271">
        <v>1807503</v>
      </c>
      <c r="D198" s="271">
        <v>19904</v>
      </c>
      <c r="E198" s="271">
        <v>14439</v>
      </c>
      <c r="F198" s="271">
        <v>195808</v>
      </c>
      <c r="G198" s="271">
        <v>45066</v>
      </c>
      <c r="H198" s="271">
        <v>1771</v>
      </c>
      <c r="J198" s="271">
        <v>482227</v>
      </c>
      <c r="K198" s="271">
        <v>940745</v>
      </c>
      <c r="L198" s="271">
        <v>-33151</v>
      </c>
      <c r="M198" s="271">
        <v>-703542</v>
      </c>
      <c r="N198" s="271">
        <v>-736693</v>
      </c>
    </row>
    <row r="199" spans="1:14" ht="13.8">
      <c r="A199" s="266">
        <v>36100</v>
      </c>
      <c r="B199" s="268" t="s">
        <v>347</v>
      </c>
      <c r="C199" s="271">
        <v>17341879</v>
      </c>
      <c r="D199" s="271">
        <v>190968</v>
      </c>
      <c r="E199" s="271">
        <v>138536</v>
      </c>
      <c r="F199" s="271">
        <v>1878653</v>
      </c>
      <c r="G199" s="271">
        <v>1605925</v>
      </c>
      <c r="H199" s="271">
        <v>16992</v>
      </c>
      <c r="J199" s="271">
        <v>4626673</v>
      </c>
      <c r="K199" s="271">
        <v>1061323</v>
      </c>
      <c r="L199" s="271">
        <v>-318063</v>
      </c>
      <c r="M199" s="271">
        <v>-148671</v>
      </c>
      <c r="N199" s="271">
        <v>-466734</v>
      </c>
    </row>
    <row r="200" spans="1:14" ht="13.8">
      <c r="A200" s="266">
        <v>36102</v>
      </c>
      <c r="B200" s="268" t="s">
        <v>348</v>
      </c>
      <c r="C200" s="271">
        <v>0</v>
      </c>
      <c r="D200" s="271">
        <v>0</v>
      </c>
      <c r="E200" s="271">
        <v>0</v>
      </c>
      <c r="F200" s="271">
        <v>0</v>
      </c>
      <c r="G200" s="271">
        <v>569805</v>
      </c>
      <c r="H200" s="271">
        <v>0</v>
      </c>
      <c r="J200" s="271">
        <v>0</v>
      </c>
      <c r="K200" s="271">
        <v>5592117</v>
      </c>
      <c r="L200" s="271">
        <v>0</v>
      </c>
      <c r="M200" s="271">
        <v>-1163596</v>
      </c>
      <c r="N200" s="271">
        <v>-1163596</v>
      </c>
    </row>
    <row r="201" spans="1:14" ht="13.8">
      <c r="A201" s="266">
        <v>36105</v>
      </c>
      <c r="B201" s="268" t="s">
        <v>88</v>
      </c>
      <c r="C201" s="271">
        <v>7676508</v>
      </c>
      <c r="D201" s="271">
        <v>84533</v>
      </c>
      <c r="E201" s="271">
        <v>61324</v>
      </c>
      <c r="F201" s="271">
        <v>831599</v>
      </c>
      <c r="G201" s="271">
        <v>390618</v>
      </c>
      <c r="H201" s="271">
        <v>7521</v>
      </c>
      <c r="J201" s="271">
        <v>2048030</v>
      </c>
      <c r="K201" s="271">
        <v>1043131</v>
      </c>
      <c r="L201" s="271">
        <v>-140792</v>
      </c>
      <c r="M201" s="271">
        <v>-343489</v>
      </c>
      <c r="N201" s="271">
        <v>-484281</v>
      </c>
    </row>
    <row r="202" spans="1:14" ht="13.8">
      <c r="A202" s="267">
        <v>36200</v>
      </c>
      <c r="B202" s="269" t="s">
        <v>349</v>
      </c>
      <c r="C202" s="272">
        <v>30370911</v>
      </c>
      <c r="D202" s="280">
        <v>334443</v>
      </c>
      <c r="E202" s="280">
        <v>242618</v>
      </c>
      <c r="F202" s="280">
        <v>3290094</v>
      </c>
      <c r="G202" s="280">
        <v>691496</v>
      </c>
      <c r="H202" s="280">
        <v>29757</v>
      </c>
      <c r="J202" s="280">
        <v>8102714</v>
      </c>
      <c r="K202" s="280">
        <v>3279889</v>
      </c>
      <c r="L202" s="280">
        <v>-557026</v>
      </c>
      <c r="M202" s="280">
        <v>-1967305</v>
      </c>
      <c r="N202" s="280">
        <v>-2524331</v>
      </c>
    </row>
    <row r="203" spans="1:14" ht="13.8">
      <c r="A203" s="267">
        <v>36205</v>
      </c>
      <c r="B203" s="269" t="s">
        <v>89</v>
      </c>
      <c r="C203" s="272">
        <v>6416309</v>
      </c>
      <c r="D203" s="280">
        <v>70656</v>
      </c>
      <c r="E203" s="280">
        <v>51257</v>
      </c>
      <c r="F203" s="280">
        <v>695082</v>
      </c>
      <c r="G203" s="280">
        <v>170607</v>
      </c>
      <c r="H203" s="280">
        <v>6287</v>
      </c>
      <c r="J203" s="280">
        <v>1711819</v>
      </c>
      <c r="K203" s="280">
        <v>613046</v>
      </c>
      <c r="L203" s="280">
        <v>-117680</v>
      </c>
      <c r="M203" s="280">
        <v>94392</v>
      </c>
      <c r="N203" s="280">
        <v>-23288</v>
      </c>
    </row>
    <row r="204" spans="1:14" ht="13.8">
      <c r="A204" s="267">
        <v>36300</v>
      </c>
      <c r="B204" s="269" t="s">
        <v>350</v>
      </c>
      <c r="C204" s="272">
        <v>112439519</v>
      </c>
      <c r="D204" s="280">
        <v>1238179</v>
      </c>
      <c r="E204" s="280">
        <v>898225</v>
      </c>
      <c r="F204" s="280">
        <v>12180623</v>
      </c>
      <c r="G204" s="280">
        <v>2549484</v>
      </c>
      <c r="H204" s="280">
        <v>110168</v>
      </c>
      <c r="J204" s="280">
        <v>29997956</v>
      </c>
      <c r="K204" s="280">
        <v>5782310</v>
      </c>
      <c r="L204" s="280">
        <v>-2062227</v>
      </c>
      <c r="M204" s="280">
        <v>-2985821</v>
      </c>
      <c r="N204" s="280">
        <v>-5048048</v>
      </c>
    </row>
    <row r="205" spans="1:14" ht="13.8">
      <c r="A205" s="267">
        <v>36301</v>
      </c>
      <c r="B205" s="269" t="s">
        <v>351</v>
      </c>
      <c r="C205" s="272">
        <v>3011468</v>
      </c>
      <c r="D205" s="280">
        <v>33162</v>
      </c>
      <c r="E205" s="280">
        <v>24057</v>
      </c>
      <c r="F205" s="280">
        <v>326234</v>
      </c>
      <c r="G205" s="280">
        <v>609199</v>
      </c>
      <c r="H205" s="280">
        <v>2951</v>
      </c>
      <c r="J205" s="280">
        <v>803435</v>
      </c>
      <c r="K205" s="280">
        <v>120680</v>
      </c>
      <c r="L205" s="280">
        <v>-55233</v>
      </c>
      <c r="M205" s="280">
        <v>284142</v>
      </c>
      <c r="N205" s="280">
        <v>228909</v>
      </c>
    </row>
    <row r="206" spans="1:14" ht="13.8">
      <c r="A206" s="267">
        <v>36302</v>
      </c>
      <c r="B206" s="269" t="s">
        <v>352</v>
      </c>
      <c r="C206" s="272">
        <v>5396011</v>
      </c>
      <c r="D206" s="280">
        <v>59421</v>
      </c>
      <c r="E206" s="280">
        <v>43106</v>
      </c>
      <c r="F206" s="280">
        <v>584552</v>
      </c>
      <c r="G206" s="280">
        <v>1607642</v>
      </c>
      <c r="H206" s="280">
        <v>5287</v>
      </c>
      <c r="J206" s="280">
        <v>1439612</v>
      </c>
      <c r="K206" s="273">
        <v>0</v>
      </c>
      <c r="L206" s="280">
        <v>-98968</v>
      </c>
      <c r="M206" s="280">
        <v>561458</v>
      </c>
      <c r="N206" s="280">
        <v>462490</v>
      </c>
    </row>
    <row r="207" spans="1:14" ht="13.8">
      <c r="A207" s="267">
        <v>36303</v>
      </c>
      <c r="B207" s="270" t="s">
        <v>242</v>
      </c>
      <c r="C207" s="272">
        <v>6854632</v>
      </c>
      <c r="D207" s="280">
        <v>75483</v>
      </c>
      <c r="E207" s="280">
        <v>54758</v>
      </c>
      <c r="F207" s="280">
        <v>742565</v>
      </c>
      <c r="G207" s="280">
        <v>1568150</v>
      </c>
      <c r="H207" s="280">
        <v>6716</v>
      </c>
      <c r="J207" s="280">
        <v>1828761</v>
      </c>
      <c r="K207" s="273">
        <v>0</v>
      </c>
      <c r="L207" s="280">
        <v>-125720</v>
      </c>
      <c r="M207" s="280">
        <v>1786164</v>
      </c>
      <c r="N207" s="280">
        <v>1660444</v>
      </c>
    </row>
    <row r="208" spans="1:14" ht="13.8">
      <c r="A208" s="266">
        <v>36305</v>
      </c>
      <c r="B208" s="268" t="s">
        <v>90</v>
      </c>
      <c r="C208" s="271">
        <v>23017018</v>
      </c>
      <c r="D208" s="271">
        <v>253462</v>
      </c>
      <c r="E208" s="271">
        <v>183872</v>
      </c>
      <c r="F208" s="271">
        <v>2493444</v>
      </c>
      <c r="G208" s="271">
        <v>2037016</v>
      </c>
      <c r="H208" s="271">
        <v>22552</v>
      </c>
      <c r="J208" s="271">
        <v>6140755</v>
      </c>
      <c r="K208" s="271">
        <v>110343</v>
      </c>
      <c r="L208" s="271">
        <v>-422151</v>
      </c>
      <c r="M208" s="271">
        <v>467432</v>
      </c>
      <c r="N208" s="271">
        <v>45281</v>
      </c>
    </row>
    <row r="209" spans="1:14" ht="13.8">
      <c r="A209" s="266">
        <v>36310</v>
      </c>
      <c r="B209" s="268" t="s">
        <v>492</v>
      </c>
      <c r="C209" s="271">
        <v>0</v>
      </c>
      <c r="D209" s="271">
        <v>0</v>
      </c>
      <c r="E209" s="271">
        <v>0</v>
      </c>
      <c r="F209" s="271">
        <v>0</v>
      </c>
      <c r="G209" s="271">
        <v>0</v>
      </c>
      <c r="H209" s="271">
        <v>0</v>
      </c>
      <c r="J209" s="271">
        <v>0</v>
      </c>
      <c r="K209" s="271">
        <v>0</v>
      </c>
      <c r="L209" s="271">
        <v>0</v>
      </c>
      <c r="M209" s="271">
        <v>-179981</v>
      </c>
      <c r="N209" s="271">
        <v>-179981</v>
      </c>
    </row>
    <row r="210" spans="1:14" ht="13.8">
      <c r="A210" s="266">
        <v>36400</v>
      </c>
      <c r="B210" s="268" t="s">
        <v>353</v>
      </c>
      <c r="C210" s="271">
        <v>117655057</v>
      </c>
      <c r="D210" s="271">
        <v>1295612</v>
      </c>
      <c r="E210" s="271">
        <v>939889</v>
      </c>
      <c r="F210" s="271">
        <v>12745624</v>
      </c>
      <c r="G210" s="271">
        <v>6325683</v>
      </c>
      <c r="H210" s="271">
        <v>115278</v>
      </c>
      <c r="J210" s="271">
        <v>31389420</v>
      </c>
      <c r="K210" s="271">
        <v>9873110</v>
      </c>
      <c r="L210" s="271">
        <v>-2157884</v>
      </c>
      <c r="M210" s="271">
        <v>-4457635</v>
      </c>
      <c r="N210" s="271">
        <v>-6615519</v>
      </c>
    </row>
    <row r="211" spans="1:14" ht="13.8">
      <c r="A211" s="266">
        <v>36405</v>
      </c>
      <c r="B211" s="268" t="s">
        <v>91</v>
      </c>
      <c r="C211" s="271">
        <v>17080976</v>
      </c>
      <c r="D211" s="271">
        <v>188095</v>
      </c>
      <c r="E211" s="271">
        <v>136452</v>
      </c>
      <c r="F211" s="271">
        <v>1850390</v>
      </c>
      <c r="G211" s="271">
        <v>0</v>
      </c>
      <c r="H211" s="271">
        <v>16736</v>
      </c>
      <c r="J211" s="271">
        <v>4557067</v>
      </c>
      <c r="K211" s="271">
        <v>2494267</v>
      </c>
      <c r="L211" s="271">
        <v>-313278</v>
      </c>
      <c r="M211" s="271">
        <v>-1007060</v>
      </c>
      <c r="N211" s="271">
        <v>-1320338</v>
      </c>
    </row>
    <row r="212" spans="1:14" ht="13.8">
      <c r="A212" s="266">
        <v>36500</v>
      </c>
      <c r="B212" s="268" t="s">
        <v>354</v>
      </c>
      <c r="C212" s="271">
        <v>269229057</v>
      </c>
      <c r="D212" s="271">
        <v>2964739</v>
      </c>
      <c r="E212" s="271">
        <v>2150740</v>
      </c>
      <c r="F212" s="271">
        <v>29165703</v>
      </c>
      <c r="G212" s="271">
        <v>18397654</v>
      </c>
      <c r="H212" s="271">
        <v>263790</v>
      </c>
      <c r="J212" s="271">
        <v>71828140</v>
      </c>
      <c r="K212" s="271">
        <v>4987638</v>
      </c>
      <c r="L212" s="271">
        <v>-4937870</v>
      </c>
      <c r="M212" s="271">
        <v>869650</v>
      </c>
      <c r="N212" s="271">
        <v>-4068220</v>
      </c>
    </row>
    <row r="213" spans="1:14" ht="13.8">
      <c r="A213" s="266">
        <v>36501</v>
      </c>
      <c r="B213" s="268" t="s">
        <v>467</v>
      </c>
      <c r="C213" s="271">
        <v>3212243</v>
      </c>
      <c r="D213" s="271">
        <v>35373</v>
      </c>
      <c r="E213" s="271">
        <v>25661</v>
      </c>
      <c r="F213" s="271">
        <v>347984</v>
      </c>
      <c r="G213" s="271">
        <v>45420</v>
      </c>
      <c r="H213" s="271">
        <v>3147</v>
      </c>
      <c r="J213" s="271">
        <v>857001</v>
      </c>
      <c r="K213" s="271">
        <v>326139</v>
      </c>
      <c r="L213" s="271">
        <v>-58916</v>
      </c>
      <c r="M213" s="271">
        <v>-29490</v>
      </c>
      <c r="N213" s="271">
        <v>-88406</v>
      </c>
    </row>
    <row r="214" spans="1:14" ht="13.8">
      <c r="A214" s="267">
        <v>36502</v>
      </c>
      <c r="B214" s="270" t="s">
        <v>355</v>
      </c>
      <c r="C214" s="272">
        <v>662716</v>
      </c>
      <c r="D214" s="280">
        <v>7298</v>
      </c>
      <c r="E214" s="280">
        <v>5294</v>
      </c>
      <c r="F214" s="280">
        <v>71792</v>
      </c>
      <c r="G214" s="273">
        <v>0</v>
      </c>
      <c r="H214" s="280">
        <v>649</v>
      </c>
      <c r="J214" s="280">
        <v>176807</v>
      </c>
      <c r="K214" s="280">
        <v>490144</v>
      </c>
      <c r="L214" s="280">
        <v>-12155</v>
      </c>
      <c r="M214" s="280">
        <v>-147710</v>
      </c>
      <c r="N214" s="280">
        <v>-159865</v>
      </c>
    </row>
    <row r="215" spans="1:14" ht="13.8">
      <c r="A215" s="267">
        <v>36505</v>
      </c>
      <c r="B215" s="269" t="s">
        <v>92</v>
      </c>
      <c r="C215" s="272">
        <v>48599192</v>
      </c>
      <c r="D215" s="280">
        <v>535172</v>
      </c>
      <c r="E215" s="280">
        <v>388235</v>
      </c>
      <c r="F215" s="280">
        <v>5264772</v>
      </c>
      <c r="G215" s="280">
        <v>3509529</v>
      </c>
      <c r="H215" s="280">
        <v>47617</v>
      </c>
      <c r="J215" s="280">
        <v>12965872</v>
      </c>
      <c r="K215" s="280">
        <v>2070070</v>
      </c>
      <c r="L215" s="280">
        <v>-891348</v>
      </c>
      <c r="M215" s="280">
        <v>-204639</v>
      </c>
      <c r="N215" s="280">
        <v>-1095987</v>
      </c>
    </row>
    <row r="216" spans="1:14" ht="13.8">
      <c r="A216" s="267">
        <v>36600</v>
      </c>
      <c r="B216" s="269" t="s">
        <v>356</v>
      </c>
      <c r="C216" s="272">
        <v>12416432</v>
      </c>
      <c r="D216" s="280">
        <v>136729</v>
      </c>
      <c r="E216" s="280">
        <v>99189</v>
      </c>
      <c r="F216" s="280">
        <v>1345078</v>
      </c>
      <c r="G216" s="280">
        <v>435078</v>
      </c>
      <c r="H216" s="280">
        <v>12166</v>
      </c>
      <c r="J216" s="280">
        <v>3312604</v>
      </c>
      <c r="K216" s="280">
        <v>4020312</v>
      </c>
      <c r="L216" s="280">
        <v>-227727</v>
      </c>
      <c r="M216" s="280">
        <v>-1408414</v>
      </c>
      <c r="N216" s="280">
        <v>-1636141</v>
      </c>
    </row>
    <row r="217" spans="1:14" ht="13.8">
      <c r="A217" s="267">
        <v>36601</v>
      </c>
      <c r="B217" s="269" t="s">
        <v>357</v>
      </c>
      <c r="C217" s="273">
        <v>0</v>
      </c>
      <c r="D217" s="273">
        <v>0</v>
      </c>
      <c r="E217" s="273">
        <v>0</v>
      </c>
      <c r="F217" s="273">
        <v>0</v>
      </c>
      <c r="G217" s="273">
        <v>0</v>
      </c>
      <c r="H217" s="273">
        <v>0</v>
      </c>
      <c r="J217" s="273">
        <v>0</v>
      </c>
      <c r="K217" s="273">
        <v>7871898</v>
      </c>
      <c r="L217" s="273">
        <v>0</v>
      </c>
      <c r="M217" s="280">
        <v>-2758969</v>
      </c>
      <c r="N217" s="280">
        <v>-2758969</v>
      </c>
    </row>
    <row r="218" spans="1:14" ht="13.8">
      <c r="A218" s="267">
        <v>36700</v>
      </c>
      <c r="B218" s="269" t="s">
        <v>358</v>
      </c>
      <c r="C218" s="272">
        <v>205187916</v>
      </c>
      <c r="D218" s="280">
        <v>2259521</v>
      </c>
      <c r="E218" s="280">
        <v>1639146</v>
      </c>
      <c r="F218" s="280">
        <v>22228097</v>
      </c>
      <c r="G218" s="280">
        <v>158383</v>
      </c>
      <c r="H218" s="280">
        <v>201043</v>
      </c>
      <c r="J218" s="280">
        <v>54742480</v>
      </c>
      <c r="K218" s="280">
        <v>14743554</v>
      </c>
      <c r="L218" s="280">
        <v>-3763304</v>
      </c>
      <c r="M218" s="280">
        <v>-4479183</v>
      </c>
      <c r="N218" s="280">
        <v>-8242487</v>
      </c>
    </row>
    <row r="219" spans="1:14" ht="13.8">
      <c r="A219" s="267">
        <v>36701</v>
      </c>
      <c r="B219" s="269" t="s">
        <v>359</v>
      </c>
      <c r="C219" s="272">
        <v>497049</v>
      </c>
      <c r="D219" s="280">
        <v>5473</v>
      </c>
      <c r="E219" s="280">
        <v>3971</v>
      </c>
      <c r="F219" s="280">
        <v>53846</v>
      </c>
      <c r="G219" s="280">
        <v>124761</v>
      </c>
      <c r="H219" s="280">
        <v>487</v>
      </c>
      <c r="J219" s="280">
        <v>132609</v>
      </c>
      <c r="K219" s="280">
        <v>585916</v>
      </c>
      <c r="L219" s="280">
        <v>-9115</v>
      </c>
      <c r="M219" s="280">
        <v>-91643</v>
      </c>
      <c r="N219" s="280">
        <v>-100758</v>
      </c>
    </row>
    <row r="220" spans="1:14" ht="13.8">
      <c r="A220" s="266">
        <v>36705</v>
      </c>
      <c r="B220" s="268" t="s">
        <v>93</v>
      </c>
      <c r="C220" s="271">
        <v>20945474</v>
      </c>
      <c r="D220" s="271">
        <v>230651</v>
      </c>
      <c r="E220" s="271">
        <v>167323</v>
      </c>
      <c r="F220" s="271">
        <v>2269032</v>
      </c>
      <c r="G220" s="271">
        <v>1619973</v>
      </c>
      <c r="H220" s="271">
        <v>20522</v>
      </c>
      <c r="J220" s="271">
        <v>5588083</v>
      </c>
      <c r="K220" s="271">
        <v>5427879</v>
      </c>
      <c r="L220" s="271">
        <v>-384156</v>
      </c>
      <c r="M220" s="271">
        <v>-590985</v>
      </c>
      <c r="N220" s="271">
        <v>-975141</v>
      </c>
    </row>
    <row r="221" spans="1:14" ht="13.8">
      <c r="A221" s="266">
        <v>36800</v>
      </c>
      <c r="B221" s="268" t="s">
        <v>360</v>
      </c>
      <c r="C221" s="271">
        <v>79858515</v>
      </c>
      <c r="D221" s="271">
        <v>879399</v>
      </c>
      <c r="E221" s="271">
        <v>637951</v>
      </c>
      <c r="F221" s="271">
        <v>8651108</v>
      </c>
      <c r="G221" s="271">
        <v>3116164</v>
      </c>
      <c r="H221" s="271">
        <v>78245</v>
      </c>
      <c r="J221" s="271">
        <v>21305607</v>
      </c>
      <c r="K221" s="271">
        <v>3832834</v>
      </c>
      <c r="L221" s="271">
        <v>-1464666</v>
      </c>
      <c r="M221" s="271">
        <v>-1544755</v>
      </c>
      <c r="N221" s="271">
        <v>-3009421</v>
      </c>
    </row>
    <row r="222" spans="1:14" ht="13.8">
      <c r="A222" s="266">
        <v>36802</v>
      </c>
      <c r="B222" s="268" t="s">
        <v>361</v>
      </c>
      <c r="C222" s="271">
        <v>6770831</v>
      </c>
      <c r="D222" s="271">
        <v>74560</v>
      </c>
      <c r="E222" s="271">
        <v>54089</v>
      </c>
      <c r="F222" s="271">
        <v>733487</v>
      </c>
      <c r="G222" s="271">
        <v>1125916</v>
      </c>
      <c r="H222" s="271">
        <v>6634</v>
      </c>
      <c r="J222" s="271">
        <v>1806403</v>
      </c>
      <c r="K222" s="271">
        <v>83253</v>
      </c>
      <c r="L222" s="271">
        <v>-124184</v>
      </c>
      <c r="M222" s="271">
        <v>950370</v>
      </c>
      <c r="N222" s="271">
        <v>826186</v>
      </c>
    </row>
    <row r="223" spans="1:14" ht="13.8">
      <c r="A223" s="266">
        <v>36810</v>
      </c>
      <c r="B223" s="268" t="s">
        <v>468</v>
      </c>
      <c r="C223" s="271">
        <v>160113168</v>
      </c>
      <c r="D223" s="271">
        <v>1763159</v>
      </c>
      <c r="E223" s="271">
        <v>1279066</v>
      </c>
      <c r="F223" s="271">
        <v>17345130</v>
      </c>
      <c r="G223" s="271">
        <v>3329180</v>
      </c>
      <c r="H223" s="271">
        <v>156879</v>
      </c>
      <c r="J223" s="271">
        <v>42716901</v>
      </c>
      <c r="K223" s="271">
        <v>2867098</v>
      </c>
      <c r="L223" s="271">
        <v>-2936600</v>
      </c>
      <c r="M223" s="271">
        <v>-846197</v>
      </c>
      <c r="N223" s="271">
        <v>-3782797</v>
      </c>
    </row>
    <row r="224" spans="1:14" ht="13.8">
      <c r="A224" s="266">
        <v>36900</v>
      </c>
      <c r="B224" s="268" t="s">
        <v>362</v>
      </c>
      <c r="C224" s="271">
        <v>17319766</v>
      </c>
      <c r="D224" s="271">
        <v>190725</v>
      </c>
      <c r="E224" s="271">
        <v>138359</v>
      </c>
      <c r="F224" s="271">
        <v>1876258</v>
      </c>
      <c r="G224" s="271">
        <v>3382080</v>
      </c>
      <c r="H224" s="271">
        <v>16970</v>
      </c>
      <c r="J224" s="271">
        <v>4620774</v>
      </c>
      <c r="K224" s="271">
        <v>1053836</v>
      </c>
      <c r="L224" s="271">
        <v>-317656</v>
      </c>
      <c r="M224" s="271">
        <v>393763</v>
      </c>
      <c r="N224" s="271">
        <v>76107</v>
      </c>
    </row>
    <row r="225" spans="1:14" ht="13.8">
      <c r="A225" s="266">
        <v>36901</v>
      </c>
      <c r="B225" s="268" t="s">
        <v>363</v>
      </c>
      <c r="C225" s="271">
        <v>5342193</v>
      </c>
      <c r="D225" s="271">
        <v>58828</v>
      </c>
      <c r="E225" s="271">
        <v>42676</v>
      </c>
      <c r="F225" s="271">
        <v>578722</v>
      </c>
      <c r="G225" s="271">
        <v>513194</v>
      </c>
      <c r="H225" s="271">
        <v>5234</v>
      </c>
      <c r="J225" s="271">
        <v>1425254</v>
      </c>
      <c r="K225" s="271">
        <v>680778</v>
      </c>
      <c r="L225" s="271">
        <v>-97979</v>
      </c>
      <c r="M225" s="271">
        <v>21575</v>
      </c>
      <c r="N225" s="271">
        <v>-76404</v>
      </c>
    </row>
    <row r="226" spans="1:14" ht="13.8">
      <c r="A226" s="267">
        <v>36905</v>
      </c>
      <c r="B226" s="269" t="s">
        <v>94</v>
      </c>
      <c r="C226" s="272">
        <v>4886949</v>
      </c>
      <c r="D226" s="280">
        <v>53815</v>
      </c>
      <c r="E226" s="280">
        <v>39039</v>
      </c>
      <c r="F226" s="280">
        <v>529405</v>
      </c>
      <c r="G226" s="280">
        <v>107441</v>
      </c>
      <c r="H226" s="280">
        <v>4788</v>
      </c>
      <c r="J226" s="280">
        <v>1303798</v>
      </c>
      <c r="K226" s="280">
        <v>386135</v>
      </c>
      <c r="L226" s="280">
        <v>-89629</v>
      </c>
      <c r="M226" s="280">
        <v>26035</v>
      </c>
      <c r="N226" s="280">
        <v>-63594</v>
      </c>
    </row>
    <row r="227" spans="1:14" ht="13.8">
      <c r="A227" s="267">
        <v>37000</v>
      </c>
      <c r="B227" s="269" t="s">
        <v>364</v>
      </c>
      <c r="C227" s="272">
        <v>41476743</v>
      </c>
      <c r="D227" s="280">
        <v>456740</v>
      </c>
      <c r="E227" s="280">
        <v>331338</v>
      </c>
      <c r="F227" s="280">
        <v>4493194</v>
      </c>
      <c r="G227" s="280">
        <v>83042</v>
      </c>
      <c r="H227" s="280">
        <v>40639</v>
      </c>
      <c r="J227" s="280">
        <v>11065660</v>
      </c>
      <c r="K227" s="280">
        <v>5482581</v>
      </c>
      <c r="L227" s="280">
        <v>-760714</v>
      </c>
      <c r="M227" s="280">
        <v>-2825462</v>
      </c>
      <c r="N227" s="280">
        <v>-3586176</v>
      </c>
    </row>
    <row r="228" spans="1:14" ht="13.8">
      <c r="A228" s="267">
        <v>37001</v>
      </c>
      <c r="B228" s="270" t="s">
        <v>469</v>
      </c>
      <c r="C228" s="272">
        <v>5234421</v>
      </c>
      <c r="D228" s="280">
        <v>57641</v>
      </c>
      <c r="E228" s="280">
        <v>41815</v>
      </c>
      <c r="F228" s="280">
        <v>567047</v>
      </c>
      <c r="G228" s="280">
        <v>1552536</v>
      </c>
      <c r="H228" s="280">
        <v>5129</v>
      </c>
      <c r="J228" s="280">
        <v>1396501</v>
      </c>
      <c r="K228" s="273">
        <v>0</v>
      </c>
      <c r="L228" s="280">
        <v>-96002</v>
      </c>
      <c r="M228" s="280">
        <v>818275</v>
      </c>
      <c r="N228" s="280">
        <v>722273</v>
      </c>
    </row>
    <row r="229" spans="1:14" ht="13.8">
      <c r="A229" s="267">
        <v>37005</v>
      </c>
      <c r="B229" s="269" t="s">
        <v>95</v>
      </c>
      <c r="C229" s="272">
        <v>13217981</v>
      </c>
      <c r="D229" s="280">
        <v>145556</v>
      </c>
      <c r="E229" s="280">
        <v>105592</v>
      </c>
      <c r="F229" s="280">
        <v>1431910</v>
      </c>
      <c r="G229" s="280">
        <v>1485144</v>
      </c>
      <c r="H229" s="280">
        <v>12951</v>
      </c>
      <c r="J229" s="280">
        <v>3526451</v>
      </c>
      <c r="K229" s="280">
        <v>112768</v>
      </c>
      <c r="L229" s="280">
        <v>-242428</v>
      </c>
      <c r="M229" s="280">
        <v>407808</v>
      </c>
      <c r="N229" s="280">
        <v>165380</v>
      </c>
    </row>
    <row r="230" spans="1:14" ht="13.8">
      <c r="A230" s="267">
        <v>37100</v>
      </c>
      <c r="B230" s="269" t="s">
        <v>365</v>
      </c>
      <c r="C230" s="272">
        <v>85610442</v>
      </c>
      <c r="D230" s="280">
        <v>942739</v>
      </c>
      <c r="E230" s="280">
        <v>683900</v>
      </c>
      <c r="F230" s="280">
        <v>9274217</v>
      </c>
      <c r="G230" s="280">
        <v>6634859</v>
      </c>
      <c r="H230" s="280">
        <v>83881</v>
      </c>
      <c r="J230" s="280">
        <v>22840175</v>
      </c>
      <c r="K230" s="280">
        <v>521739</v>
      </c>
      <c r="L230" s="280">
        <v>-1570162</v>
      </c>
      <c r="M230" s="280">
        <v>1703124</v>
      </c>
      <c r="N230" s="280">
        <v>132962</v>
      </c>
    </row>
    <row r="231" spans="1:14" ht="13.8">
      <c r="A231" s="267">
        <v>37200</v>
      </c>
      <c r="B231" s="269" t="s">
        <v>366</v>
      </c>
      <c r="C231" s="272">
        <v>17623758</v>
      </c>
      <c r="D231" s="280">
        <v>194072</v>
      </c>
      <c r="E231" s="280">
        <v>140788</v>
      </c>
      <c r="F231" s="280">
        <v>1909189</v>
      </c>
      <c r="G231" s="280">
        <v>2475701</v>
      </c>
      <c r="H231" s="280">
        <v>17268</v>
      </c>
      <c r="J231" s="280">
        <v>4701876</v>
      </c>
      <c r="K231" s="280">
        <v>1238482</v>
      </c>
      <c r="L231" s="280">
        <v>-323233</v>
      </c>
      <c r="M231" s="280">
        <v>17877</v>
      </c>
      <c r="N231" s="280">
        <v>-305356</v>
      </c>
    </row>
    <row r="232" spans="1:14" ht="13.8">
      <c r="A232" s="266">
        <v>37300</v>
      </c>
      <c r="B232" s="268" t="s">
        <v>367</v>
      </c>
      <c r="C232" s="271">
        <v>42219303</v>
      </c>
      <c r="D232" s="271">
        <v>464917</v>
      </c>
      <c r="E232" s="271">
        <v>337269</v>
      </c>
      <c r="F232" s="271">
        <v>4573636</v>
      </c>
      <c r="G232" s="271">
        <v>1983602</v>
      </c>
      <c r="H232" s="271">
        <v>41366</v>
      </c>
      <c r="J232" s="271">
        <v>11263769</v>
      </c>
      <c r="K232" s="271">
        <v>3252359</v>
      </c>
      <c r="L232" s="271">
        <v>-774333</v>
      </c>
      <c r="M232" s="271">
        <v>-1135647</v>
      </c>
      <c r="N232" s="271">
        <v>-1909980</v>
      </c>
    </row>
    <row r="233" spans="1:14" ht="13.8">
      <c r="A233" s="266">
        <v>37301</v>
      </c>
      <c r="B233" s="268" t="s">
        <v>368</v>
      </c>
      <c r="C233" s="271">
        <v>4323545</v>
      </c>
      <c r="D233" s="271">
        <v>47611</v>
      </c>
      <c r="E233" s="271">
        <v>34539</v>
      </c>
      <c r="F233" s="271">
        <v>468372</v>
      </c>
      <c r="G233" s="271">
        <v>9598</v>
      </c>
      <c r="H233" s="271">
        <v>4236</v>
      </c>
      <c r="J233" s="271">
        <v>1153487</v>
      </c>
      <c r="K233" s="271">
        <v>680225</v>
      </c>
      <c r="L233" s="271">
        <v>-79296</v>
      </c>
      <c r="M233" s="271">
        <v>-249022</v>
      </c>
      <c r="N233" s="271">
        <v>-328318</v>
      </c>
    </row>
    <row r="234" spans="1:14" ht="13.8">
      <c r="A234" s="266">
        <v>37305</v>
      </c>
      <c r="B234" s="268" t="s">
        <v>96</v>
      </c>
      <c r="C234" s="271">
        <v>9939890</v>
      </c>
      <c r="D234" s="271">
        <v>109458</v>
      </c>
      <c r="E234" s="271">
        <v>79405</v>
      </c>
      <c r="F234" s="271">
        <v>1076793</v>
      </c>
      <c r="G234" s="271">
        <v>401273</v>
      </c>
      <c r="H234" s="271">
        <v>9739</v>
      </c>
      <c r="J234" s="271">
        <v>2651882</v>
      </c>
      <c r="K234" s="271">
        <v>560774</v>
      </c>
      <c r="L234" s="271">
        <v>-182306</v>
      </c>
      <c r="M234" s="271">
        <v>-224684</v>
      </c>
      <c r="N234" s="271">
        <v>-406990</v>
      </c>
    </row>
    <row r="235" spans="1:14" ht="13.8">
      <c r="A235" s="266">
        <v>37400</v>
      </c>
      <c r="B235" s="268" t="s">
        <v>369</v>
      </c>
      <c r="C235" s="271">
        <v>217008269</v>
      </c>
      <c r="D235" s="271">
        <v>2389686</v>
      </c>
      <c r="E235" s="271">
        <v>1733574</v>
      </c>
      <c r="F235" s="271">
        <v>23508602</v>
      </c>
      <c r="G235" s="271">
        <v>9171759</v>
      </c>
      <c r="H235" s="271">
        <v>212624</v>
      </c>
      <c r="J235" s="271">
        <v>57896055</v>
      </c>
      <c r="K235" s="271">
        <v>9471984</v>
      </c>
      <c r="L235" s="271">
        <v>-3980098</v>
      </c>
      <c r="M235" s="271">
        <v>-1360844</v>
      </c>
      <c r="N235" s="271">
        <v>-5340942</v>
      </c>
    </row>
    <row r="236" spans="1:14" ht="13.8">
      <c r="A236" s="266">
        <v>37405</v>
      </c>
      <c r="B236" s="268" t="s">
        <v>97</v>
      </c>
      <c r="C236" s="271">
        <v>42261315</v>
      </c>
      <c r="D236" s="271">
        <v>465380</v>
      </c>
      <c r="E236" s="271">
        <v>337605</v>
      </c>
      <c r="F236" s="271">
        <v>4578187</v>
      </c>
      <c r="G236" s="271">
        <v>1251421</v>
      </c>
      <c r="H236" s="271">
        <v>41408</v>
      </c>
      <c r="J236" s="271">
        <v>11274978</v>
      </c>
      <c r="K236" s="271">
        <v>2690286</v>
      </c>
      <c r="L236" s="271">
        <v>-775105</v>
      </c>
      <c r="M236" s="271">
        <v>-1024035</v>
      </c>
      <c r="N236" s="271">
        <v>-1799140</v>
      </c>
    </row>
    <row r="237" spans="1:14" ht="13.8">
      <c r="A237" s="266">
        <v>37500</v>
      </c>
      <c r="B237" s="268" t="s">
        <v>370</v>
      </c>
      <c r="C237" s="271">
        <v>23169444</v>
      </c>
      <c r="D237" s="271">
        <v>255141</v>
      </c>
      <c r="E237" s="271">
        <v>185089</v>
      </c>
      <c r="F237" s="271">
        <v>2509956</v>
      </c>
      <c r="G237" s="271">
        <v>1468550</v>
      </c>
      <c r="H237" s="271">
        <v>22701</v>
      </c>
      <c r="J237" s="271">
        <v>6181421</v>
      </c>
      <c r="K237" s="271">
        <v>1009549</v>
      </c>
      <c r="L237" s="271">
        <v>-424947</v>
      </c>
      <c r="M237" s="271">
        <v>-317534</v>
      </c>
      <c r="N237" s="271">
        <v>-742481</v>
      </c>
    </row>
    <row r="238" spans="1:14" ht="13.8">
      <c r="A238" s="266">
        <v>37600</v>
      </c>
      <c r="B238" s="268" t="s">
        <v>371</v>
      </c>
      <c r="C238" s="271">
        <v>133070817</v>
      </c>
      <c r="D238" s="271">
        <v>1465370</v>
      </c>
      <c r="E238" s="271">
        <v>1063038</v>
      </c>
      <c r="F238" s="271">
        <v>14415620</v>
      </c>
      <c r="G238" s="271">
        <v>4342431</v>
      </c>
      <c r="H238" s="271">
        <v>130383</v>
      </c>
      <c r="J238" s="271">
        <v>35502220</v>
      </c>
      <c r="K238" s="271">
        <v>10036211</v>
      </c>
      <c r="L238" s="271">
        <v>-2440622</v>
      </c>
      <c r="M238" s="271">
        <v>-5666246</v>
      </c>
      <c r="N238" s="271">
        <v>-8106868</v>
      </c>
    </row>
    <row r="239" spans="1:14" ht="13.8">
      <c r="A239" s="266">
        <v>37601</v>
      </c>
      <c r="B239" s="268" t="s">
        <v>372</v>
      </c>
      <c r="C239" s="271">
        <v>14441669</v>
      </c>
      <c r="D239" s="271">
        <v>159031</v>
      </c>
      <c r="E239" s="271">
        <v>115367</v>
      </c>
      <c r="F239" s="271">
        <v>1564472</v>
      </c>
      <c r="G239" s="271">
        <v>2924107</v>
      </c>
      <c r="H239" s="271">
        <v>14150</v>
      </c>
      <c r="J239" s="271">
        <v>3852921</v>
      </c>
      <c r="K239" s="271">
        <v>0</v>
      </c>
      <c r="L239" s="271">
        <v>-264871</v>
      </c>
      <c r="M239" s="271">
        <v>2045397</v>
      </c>
      <c r="N239" s="271">
        <v>1780526</v>
      </c>
    </row>
    <row r="240" spans="1:14" ht="13.8">
      <c r="A240" s="266">
        <v>37605</v>
      </c>
      <c r="B240" s="268" t="s">
        <v>98</v>
      </c>
      <c r="C240" s="271">
        <v>17127452</v>
      </c>
      <c r="D240" s="271">
        <v>188607</v>
      </c>
      <c r="E240" s="271">
        <v>136823</v>
      </c>
      <c r="F240" s="271">
        <v>1855424</v>
      </c>
      <c r="G240" s="271">
        <v>674804</v>
      </c>
      <c r="H240" s="271">
        <v>16781</v>
      </c>
      <c r="J240" s="271">
        <v>4569466</v>
      </c>
      <c r="K240" s="271">
        <v>769798</v>
      </c>
      <c r="L240" s="271">
        <v>-314131</v>
      </c>
      <c r="M240" s="271">
        <v>-113479</v>
      </c>
      <c r="N240" s="271">
        <v>-427610</v>
      </c>
    </row>
    <row r="241" spans="1:14" ht="13.8">
      <c r="A241" s="266">
        <v>37610</v>
      </c>
      <c r="B241" s="268" t="s">
        <v>373</v>
      </c>
      <c r="C241" s="271">
        <v>41447961</v>
      </c>
      <c r="D241" s="271">
        <v>456423</v>
      </c>
      <c r="E241" s="271">
        <v>331108</v>
      </c>
      <c r="F241" s="271">
        <v>4490076</v>
      </c>
      <c r="G241" s="271">
        <v>21837</v>
      </c>
      <c r="H241" s="271">
        <v>40611</v>
      </c>
      <c r="J241" s="271">
        <v>11057982</v>
      </c>
      <c r="K241" s="271">
        <v>2584843</v>
      </c>
      <c r="L241" s="271">
        <v>-760188</v>
      </c>
      <c r="M241" s="271">
        <v>-1945290</v>
      </c>
      <c r="N241" s="271">
        <v>-2705478</v>
      </c>
    </row>
    <row r="242" spans="1:14" ht="13.8">
      <c r="A242" s="266">
        <v>37700</v>
      </c>
      <c r="B242" s="268" t="s">
        <v>374</v>
      </c>
      <c r="C242" s="271">
        <v>60634036</v>
      </c>
      <c r="D242" s="271">
        <v>667699</v>
      </c>
      <c r="E242" s="271">
        <v>484376</v>
      </c>
      <c r="F242" s="271">
        <v>6568512</v>
      </c>
      <c r="G242" s="271">
        <v>4733333</v>
      </c>
      <c r="H242" s="271">
        <v>59409</v>
      </c>
      <c r="J242" s="271">
        <v>16176671</v>
      </c>
      <c r="K242" s="271">
        <v>3859732</v>
      </c>
      <c r="L242" s="271">
        <v>-1112075</v>
      </c>
      <c r="M242" s="271">
        <v>-1026323</v>
      </c>
      <c r="N242" s="271">
        <v>-2138398</v>
      </c>
    </row>
    <row r="243" spans="1:14" ht="13.8">
      <c r="A243" s="266">
        <v>37705</v>
      </c>
      <c r="B243" s="268" t="s">
        <v>99</v>
      </c>
      <c r="C243" s="271">
        <v>17073723</v>
      </c>
      <c r="D243" s="271">
        <v>188015</v>
      </c>
      <c r="E243" s="271">
        <v>136394</v>
      </c>
      <c r="F243" s="271">
        <v>1849604</v>
      </c>
      <c r="G243" s="271">
        <v>805340</v>
      </c>
      <c r="H243" s="271">
        <v>16729</v>
      </c>
      <c r="J243" s="271">
        <v>4555131</v>
      </c>
      <c r="K243" s="271">
        <v>1440572</v>
      </c>
      <c r="L243" s="271">
        <v>-313146</v>
      </c>
      <c r="M243" s="271">
        <v>-166247</v>
      </c>
      <c r="N243" s="271">
        <v>-479393</v>
      </c>
    </row>
    <row r="244" spans="1:14" ht="13.8">
      <c r="A244" s="267">
        <v>37800</v>
      </c>
      <c r="B244" s="269" t="s">
        <v>375</v>
      </c>
      <c r="C244" s="272">
        <v>180337893</v>
      </c>
      <c r="D244" s="280">
        <v>1985873</v>
      </c>
      <c r="E244" s="280">
        <v>1440632</v>
      </c>
      <c r="F244" s="280">
        <v>19536084</v>
      </c>
      <c r="G244" s="280">
        <v>12172041</v>
      </c>
      <c r="H244" s="280">
        <v>176695</v>
      </c>
      <c r="J244" s="280">
        <v>48112695</v>
      </c>
      <c r="K244" s="280">
        <v>16427053</v>
      </c>
      <c r="L244" s="280">
        <v>-3307536</v>
      </c>
      <c r="M244" s="280">
        <v>-4058163</v>
      </c>
      <c r="N244" s="280">
        <v>-7365699</v>
      </c>
    </row>
    <row r="245" spans="1:14" ht="13.8">
      <c r="A245" s="267">
        <v>37801</v>
      </c>
      <c r="B245" s="269" t="s">
        <v>376</v>
      </c>
      <c r="C245" s="272">
        <v>1827163</v>
      </c>
      <c r="D245" s="280">
        <v>20121</v>
      </c>
      <c r="E245" s="280">
        <v>14596</v>
      </c>
      <c r="F245" s="280">
        <v>197937</v>
      </c>
      <c r="G245" s="280">
        <v>222290</v>
      </c>
      <c r="H245" s="280">
        <v>1790</v>
      </c>
      <c r="J245" s="280">
        <v>487472</v>
      </c>
      <c r="K245" s="280">
        <v>115184</v>
      </c>
      <c r="L245" s="280">
        <v>-33511</v>
      </c>
      <c r="M245" s="280">
        <v>43856</v>
      </c>
      <c r="N245" s="280">
        <v>10345</v>
      </c>
    </row>
    <row r="246" spans="1:14" ht="13.8">
      <c r="A246" s="267">
        <v>37805</v>
      </c>
      <c r="B246" s="269" t="s">
        <v>100</v>
      </c>
      <c r="C246" s="272">
        <v>14660204</v>
      </c>
      <c r="D246" s="280">
        <v>161438</v>
      </c>
      <c r="E246" s="280">
        <v>117113</v>
      </c>
      <c r="F246" s="280">
        <v>1588146</v>
      </c>
      <c r="G246" s="280">
        <v>1430283</v>
      </c>
      <c r="H246" s="280">
        <v>14364</v>
      </c>
      <c r="J246" s="280">
        <v>3911224</v>
      </c>
      <c r="K246" s="280">
        <v>401217</v>
      </c>
      <c r="L246" s="280">
        <v>-268881</v>
      </c>
      <c r="M246" s="280">
        <v>152061</v>
      </c>
      <c r="N246" s="280">
        <v>-116820</v>
      </c>
    </row>
    <row r="247" spans="1:14" ht="13.8">
      <c r="A247" s="267">
        <v>37900</v>
      </c>
      <c r="B247" s="269" t="s">
        <v>377</v>
      </c>
      <c r="C247" s="272">
        <v>94698566</v>
      </c>
      <c r="D247" s="280">
        <v>1042817</v>
      </c>
      <c r="E247" s="280">
        <v>756501</v>
      </c>
      <c r="F247" s="280">
        <v>10258737</v>
      </c>
      <c r="G247" s="280">
        <v>2690084</v>
      </c>
      <c r="H247" s="280">
        <v>92786</v>
      </c>
      <c r="J247" s="280">
        <v>25264813</v>
      </c>
      <c r="K247" s="280">
        <v>3461512</v>
      </c>
      <c r="L247" s="280">
        <v>-1736844</v>
      </c>
      <c r="M247" s="280">
        <v>-2914439</v>
      </c>
      <c r="N247" s="280">
        <v>-4651283</v>
      </c>
    </row>
    <row r="248" spans="1:14" ht="13.8">
      <c r="A248" s="267">
        <v>37901</v>
      </c>
      <c r="B248" s="269" t="s">
        <v>378</v>
      </c>
      <c r="C248" s="272">
        <v>3359065</v>
      </c>
      <c r="D248" s="280">
        <v>36990</v>
      </c>
      <c r="E248" s="280">
        <v>26834</v>
      </c>
      <c r="F248" s="280">
        <v>363889</v>
      </c>
      <c r="G248" s="280">
        <v>907629</v>
      </c>
      <c r="H248" s="280">
        <v>3291</v>
      </c>
      <c r="J248" s="280">
        <v>896172</v>
      </c>
      <c r="K248" s="273">
        <v>0</v>
      </c>
      <c r="L248" s="280">
        <v>-61607</v>
      </c>
      <c r="M248" s="280">
        <v>498846</v>
      </c>
      <c r="N248" s="280">
        <v>437239</v>
      </c>
    </row>
    <row r="249" spans="1:14" ht="13.8">
      <c r="A249" s="267">
        <v>37905</v>
      </c>
      <c r="B249" s="269" t="s">
        <v>101</v>
      </c>
      <c r="C249" s="272">
        <v>10804274</v>
      </c>
      <c r="D249" s="280">
        <v>118976</v>
      </c>
      <c r="E249" s="280">
        <v>86310</v>
      </c>
      <c r="F249" s="280">
        <v>1170432</v>
      </c>
      <c r="G249" s="280">
        <v>391892</v>
      </c>
      <c r="H249" s="280">
        <v>10586</v>
      </c>
      <c r="J249" s="280">
        <v>2882493</v>
      </c>
      <c r="K249" s="280">
        <v>161449</v>
      </c>
      <c r="L249" s="280">
        <v>-198158</v>
      </c>
      <c r="M249" s="280">
        <v>-218676</v>
      </c>
      <c r="N249" s="280">
        <v>-416834</v>
      </c>
    </row>
    <row r="250" spans="1:14" ht="13.8">
      <c r="A250" s="266">
        <v>38000</v>
      </c>
      <c r="B250" s="268" t="s">
        <v>379</v>
      </c>
      <c r="C250" s="271">
        <v>149848471</v>
      </c>
      <c r="D250" s="271">
        <v>1650125</v>
      </c>
      <c r="E250" s="271">
        <v>1197067</v>
      </c>
      <c r="F250" s="271">
        <v>16233151</v>
      </c>
      <c r="G250" s="271">
        <v>1946454</v>
      </c>
      <c r="H250" s="271">
        <v>146821</v>
      </c>
      <c r="J250" s="271">
        <v>39978363</v>
      </c>
      <c r="K250" s="271">
        <v>18112549</v>
      </c>
      <c r="L250" s="271">
        <v>-2748337</v>
      </c>
      <c r="M250" s="271">
        <v>-6277013</v>
      </c>
      <c r="N250" s="271">
        <v>-9025350</v>
      </c>
    </row>
    <row r="251" spans="1:14" ht="13.8">
      <c r="A251" s="266">
        <v>38005</v>
      </c>
      <c r="B251" s="268" t="s">
        <v>102</v>
      </c>
      <c r="C251" s="271">
        <v>35758573</v>
      </c>
      <c r="D251" s="271">
        <v>393772</v>
      </c>
      <c r="E251" s="271">
        <v>285658</v>
      </c>
      <c r="F251" s="271">
        <v>3873742</v>
      </c>
      <c r="G251" s="271">
        <v>3889616</v>
      </c>
      <c r="H251" s="271">
        <v>35036</v>
      </c>
      <c r="J251" s="271">
        <v>9540099</v>
      </c>
      <c r="K251" s="271">
        <v>0</v>
      </c>
      <c r="L251" s="271">
        <v>-655841</v>
      </c>
      <c r="M251" s="271">
        <v>1177882</v>
      </c>
      <c r="N251" s="271">
        <v>522041</v>
      </c>
    </row>
    <row r="252" spans="1:14" ht="13.8">
      <c r="A252" s="266">
        <v>38100</v>
      </c>
      <c r="B252" s="268" t="s">
        <v>380</v>
      </c>
      <c r="C252" s="271">
        <v>75471803</v>
      </c>
      <c r="D252" s="271">
        <v>831092</v>
      </c>
      <c r="E252" s="271">
        <v>602908</v>
      </c>
      <c r="F252" s="271">
        <v>8175894</v>
      </c>
      <c r="G252" s="271">
        <v>7130424</v>
      </c>
      <c r="H252" s="271">
        <v>73947</v>
      </c>
      <c r="J252" s="271">
        <v>20135268</v>
      </c>
      <c r="K252" s="271">
        <v>5313352</v>
      </c>
      <c r="L252" s="271">
        <v>-1384212</v>
      </c>
      <c r="M252" s="271">
        <v>-233231</v>
      </c>
      <c r="N252" s="271">
        <v>-1617443</v>
      </c>
    </row>
    <row r="253" spans="1:14" ht="13.8">
      <c r="A253" s="266">
        <v>38105</v>
      </c>
      <c r="B253" s="268" t="s">
        <v>103</v>
      </c>
      <c r="C253" s="271">
        <v>14399051</v>
      </c>
      <c r="D253" s="271">
        <v>158562</v>
      </c>
      <c r="E253" s="271">
        <v>115027</v>
      </c>
      <c r="F253" s="271">
        <v>1559856</v>
      </c>
      <c r="G253" s="271">
        <v>1030272</v>
      </c>
      <c r="H253" s="271">
        <v>14108</v>
      </c>
      <c r="J253" s="271">
        <v>3841551</v>
      </c>
      <c r="K253" s="271">
        <v>560222</v>
      </c>
      <c r="L253" s="271">
        <v>-264088</v>
      </c>
      <c r="M253" s="271">
        <v>-64401</v>
      </c>
      <c r="N253" s="271">
        <v>-328489</v>
      </c>
    </row>
    <row r="254" spans="1:14" ht="13.8">
      <c r="A254" s="266">
        <v>38200</v>
      </c>
      <c r="B254" s="268" t="s">
        <v>381</v>
      </c>
      <c r="C254" s="271">
        <v>68892841</v>
      </c>
      <c r="D254" s="271">
        <v>758645</v>
      </c>
      <c r="E254" s="271">
        <v>550351</v>
      </c>
      <c r="F254" s="271">
        <v>7463192</v>
      </c>
      <c r="G254" s="271">
        <v>4629427</v>
      </c>
      <c r="H254" s="271">
        <v>67501</v>
      </c>
      <c r="J254" s="271">
        <v>18380054</v>
      </c>
      <c r="K254" s="271">
        <v>4466552</v>
      </c>
      <c r="L254" s="271">
        <v>-1263549</v>
      </c>
      <c r="M254" s="271">
        <v>-1478546</v>
      </c>
      <c r="N254" s="271">
        <v>-2742095</v>
      </c>
    </row>
    <row r="255" spans="1:14" ht="13.8">
      <c r="A255" s="266">
        <v>38205</v>
      </c>
      <c r="B255" s="268" t="s">
        <v>104</v>
      </c>
      <c r="C255" s="271">
        <v>10324636</v>
      </c>
      <c r="D255" s="271">
        <v>113694</v>
      </c>
      <c r="E255" s="271">
        <v>82478</v>
      </c>
      <c r="F255" s="271">
        <v>1118472</v>
      </c>
      <c r="G255" s="271">
        <v>619344</v>
      </c>
      <c r="H255" s="271">
        <v>10116</v>
      </c>
      <c r="J255" s="271">
        <v>2754530</v>
      </c>
      <c r="K255" s="271">
        <v>311280</v>
      </c>
      <c r="L255" s="271">
        <v>-189362</v>
      </c>
      <c r="M255" s="271">
        <v>120626</v>
      </c>
      <c r="N255" s="271">
        <v>-68736</v>
      </c>
    </row>
    <row r="256" spans="1:14" ht="13.8">
      <c r="A256" s="267">
        <v>38210</v>
      </c>
      <c r="B256" s="269" t="s">
        <v>382</v>
      </c>
      <c r="C256" s="272">
        <v>27173177</v>
      </c>
      <c r="D256" s="280">
        <v>299230</v>
      </c>
      <c r="E256" s="280">
        <v>217073</v>
      </c>
      <c r="F256" s="280">
        <v>2943682</v>
      </c>
      <c r="G256" s="280">
        <v>2014976</v>
      </c>
      <c r="H256" s="280">
        <v>26624</v>
      </c>
      <c r="J256" s="280">
        <v>7249584</v>
      </c>
      <c r="K256" s="280">
        <v>1584000</v>
      </c>
      <c r="L256" s="280">
        <v>-498376</v>
      </c>
      <c r="M256" s="280">
        <v>-290801</v>
      </c>
      <c r="N256" s="280">
        <v>-789177</v>
      </c>
    </row>
    <row r="257" spans="1:14" ht="13.8">
      <c r="A257" s="267">
        <v>38300</v>
      </c>
      <c r="B257" s="269" t="s">
        <v>383</v>
      </c>
      <c r="C257" s="272">
        <v>52087721</v>
      </c>
      <c r="D257" s="280">
        <v>573588</v>
      </c>
      <c r="E257" s="280">
        <v>416103</v>
      </c>
      <c r="F257" s="280">
        <v>5642686</v>
      </c>
      <c r="G257" s="280">
        <v>3042375</v>
      </c>
      <c r="H257" s="280">
        <v>51035</v>
      </c>
      <c r="J257" s="280">
        <v>13896584</v>
      </c>
      <c r="K257" s="280">
        <v>5157327</v>
      </c>
      <c r="L257" s="280">
        <v>-955328</v>
      </c>
      <c r="M257" s="280">
        <v>-1730867</v>
      </c>
      <c r="N257" s="280">
        <v>-2686195</v>
      </c>
    </row>
    <row r="258" spans="1:14" ht="13.8">
      <c r="A258" s="267">
        <v>38400</v>
      </c>
      <c r="B258" s="269" t="s">
        <v>384</v>
      </c>
      <c r="C258" s="272">
        <v>69698025</v>
      </c>
      <c r="D258" s="280">
        <v>767512</v>
      </c>
      <c r="E258" s="280">
        <v>556784</v>
      </c>
      <c r="F258" s="280">
        <v>7550418</v>
      </c>
      <c r="G258" s="280">
        <v>5280479</v>
      </c>
      <c r="H258" s="280">
        <v>68290</v>
      </c>
      <c r="J258" s="280">
        <v>18594871</v>
      </c>
      <c r="K258" s="280">
        <v>4219459</v>
      </c>
      <c r="L258" s="280">
        <v>-1278316</v>
      </c>
      <c r="M258" s="280">
        <v>-861009</v>
      </c>
      <c r="N258" s="280">
        <v>-2139325</v>
      </c>
    </row>
    <row r="259" spans="1:14" ht="13.8">
      <c r="A259" s="267">
        <v>38402</v>
      </c>
      <c r="B259" s="269" t="s">
        <v>385</v>
      </c>
      <c r="C259" s="272">
        <v>5021875</v>
      </c>
      <c r="D259" s="280">
        <v>55301</v>
      </c>
      <c r="E259" s="280">
        <v>40117</v>
      </c>
      <c r="F259" s="280">
        <v>544022</v>
      </c>
      <c r="G259" s="280">
        <v>130325</v>
      </c>
      <c r="H259" s="280">
        <v>4920</v>
      </c>
      <c r="J259" s="280">
        <v>1339796</v>
      </c>
      <c r="K259" s="280">
        <v>314313</v>
      </c>
      <c r="L259" s="280">
        <v>-92105</v>
      </c>
      <c r="M259" s="280">
        <v>534534</v>
      </c>
      <c r="N259" s="280">
        <v>442429</v>
      </c>
    </row>
    <row r="260" spans="1:14" ht="13.8">
      <c r="A260" s="267">
        <v>38405</v>
      </c>
      <c r="B260" s="269" t="s">
        <v>105</v>
      </c>
      <c r="C260" s="272">
        <v>16613508</v>
      </c>
      <c r="D260" s="280">
        <v>182947</v>
      </c>
      <c r="E260" s="280">
        <v>132717</v>
      </c>
      <c r="F260" s="280">
        <v>1799749</v>
      </c>
      <c r="G260" s="280">
        <v>528913</v>
      </c>
      <c r="H260" s="280">
        <v>16278</v>
      </c>
      <c r="J260" s="280">
        <v>4432350</v>
      </c>
      <c r="K260" s="280">
        <v>1136644</v>
      </c>
      <c r="L260" s="280">
        <v>-304705</v>
      </c>
      <c r="M260" s="280">
        <v>-235766</v>
      </c>
      <c r="N260" s="280">
        <v>-540471</v>
      </c>
    </row>
    <row r="261" spans="1:14" ht="13.8">
      <c r="A261" s="267">
        <v>38500</v>
      </c>
      <c r="B261" s="269" t="s">
        <v>386</v>
      </c>
      <c r="C261" s="272">
        <v>52269036</v>
      </c>
      <c r="D261" s="280">
        <v>575584</v>
      </c>
      <c r="E261" s="280">
        <v>417552</v>
      </c>
      <c r="F261" s="280">
        <v>5662328</v>
      </c>
      <c r="G261" s="280">
        <v>3400602</v>
      </c>
      <c r="H261" s="280">
        <v>51213</v>
      </c>
      <c r="J261" s="280">
        <v>13944957</v>
      </c>
      <c r="K261" s="280">
        <v>3546604</v>
      </c>
      <c r="L261" s="280">
        <v>-958655</v>
      </c>
      <c r="M261" s="280">
        <v>-1164970</v>
      </c>
      <c r="N261" s="280">
        <v>-2123625</v>
      </c>
    </row>
    <row r="262" spans="1:14" ht="13.8">
      <c r="A262" s="266">
        <v>38600</v>
      </c>
      <c r="B262" s="268" t="s">
        <v>387</v>
      </c>
      <c r="C262" s="271">
        <v>65598968</v>
      </c>
      <c r="D262" s="271">
        <v>722373</v>
      </c>
      <c r="E262" s="271">
        <v>524038</v>
      </c>
      <c r="F262" s="271">
        <v>7106365</v>
      </c>
      <c r="G262" s="271">
        <v>3665835</v>
      </c>
      <c r="H262" s="271">
        <v>64274</v>
      </c>
      <c r="J262" s="271">
        <v>17501275</v>
      </c>
      <c r="K262" s="271">
        <v>4913171</v>
      </c>
      <c r="L262" s="271">
        <v>-1203136</v>
      </c>
      <c r="M262" s="271">
        <v>-1943973</v>
      </c>
      <c r="N262" s="271">
        <v>-3147109</v>
      </c>
    </row>
    <row r="263" spans="1:14" ht="13.8">
      <c r="A263" s="266">
        <v>38601</v>
      </c>
      <c r="B263" s="268" t="s">
        <v>388</v>
      </c>
      <c r="C263" s="271">
        <v>0</v>
      </c>
      <c r="D263" s="271">
        <v>0</v>
      </c>
      <c r="E263" s="271">
        <v>0</v>
      </c>
      <c r="F263" s="271">
        <v>0</v>
      </c>
      <c r="G263" s="271">
        <v>23824</v>
      </c>
      <c r="H263" s="271">
        <v>0</v>
      </c>
      <c r="J263" s="271">
        <v>0</v>
      </c>
      <c r="K263" s="271">
        <v>812991</v>
      </c>
      <c r="L263" s="271">
        <v>0</v>
      </c>
      <c r="M263" s="271">
        <v>-235274</v>
      </c>
      <c r="N263" s="271">
        <v>-235274</v>
      </c>
    </row>
    <row r="264" spans="1:14" ht="13.8">
      <c r="A264" s="266">
        <v>38602</v>
      </c>
      <c r="B264" s="268" t="s">
        <v>389</v>
      </c>
      <c r="C264" s="271">
        <v>5470892</v>
      </c>
      <c r="D264" s="271">
        <v>60245</v>
      </c>
      <c r="E264" s="271">
        <v>43704</v>
      </c>
      <c r="F264" s="271">
        <v>592664</v>
      </c>
      <c r="G264" s="271">
        <v>113226</v>
      </c>
      <c r="H264" s="271">
        <v>5360</v>
      </c>
      <c r="J264" s="271">
        <v>1459590</v>
      </c>
      <c r="K264" s="271">
        <v>611283</v>
      </c>
      <c r="L264" s="271">
        <v>-100340</v>
      </c>
      <c r="M264" s="271">
        <v>31410</v>
      </c>
      <c r="N264" s="271">
        <v>-68930</v>
      </c>
    </row>
    <row r="265" spans="1:14" ht="13.8">
      <c r="A265" s="266">
        <v>38605</v>
      </c>
      <c r="B265" s="268" t="s">
        <v>106</v>
      </c>
      <c r="C265" s="271">
        <v>15317921</v>
      </c>
      <c r="D265" s="271">
        <v>168680</v>
      </c>
      <c r="E265" s="271">
        <v>122367</v>
      </c>
      <c r="F265" s="271">
        <v>1659397</v>
      </c>
      <c r="G265" s="271">
        <v>725487</v>
      </c>
      <c r="H265" s="271">
        <v>15008</v>
      </c>
      <c r="J265" s="271">
        <v>4086698</v>
      </c>
      <c r="K265" s="271">
        <v>2508936</v>
      </c>
      <c r="L265" s="271">
        <v>-280943</v>
      </c>
      <c r="M265" s="271">
        <v>-863570</v>
      </c>
      <c r="N265" s="271">
        <v>-1144513</v>
      </c>
    </row>
    <row r="266" spans="1:14" ht="13.8">
      <c r="A266" s="266">
        <v>38610</v>
      </c>
      <c r="B266" s="268" t="s">
        <v>390</v>
      </c>
      <c r="C266" s="271">
        <v>16932465</v>
      </c>
      <c r="D266" s="271">
        <v>186460</v>
      </c>
      <c r="E266" s="271">
        <v>135265</v>
      </c>
      <c r="F266" s="271">
        <v>1834301</v>
      </c>
      <c r="G266" s="271">
        <v>2044761</v>
      </c>
      <c r="H266" s="271">
        <v>16590</v>
      </c>
      <c r="J266" s="271">
        <v>4517445</v>
      </c>
      <c r="K266" s="271">
        <v>186561</v>
      </c>
      <c r="L266" s="271">
        <v>-310553</v>
      </c>
      <c r="M266" s="271">
        <v>585642</v>
      </c>
      <c r="N266" s="271">
        <v>275089</v>
      </c>
    </row>
    <row r="267" spans="1:14" ht="13.8">
      <c r="A267" s="266">
        <v>38620</v>
      </c>
      <c r="B267" s="268" t="s">
        <v>391</v>
      </c>
      <c r="C267" s="271">
        <v>12191427</v>
      </c>
      <c r="D267" s="271">
        <v>134251</v>
      </c>
      <c r="E267" s="271">
        <v>97391</v>
      </c>
      <c r="F267" s="271">
        <v>1320703</v>
      </c>
      <c r="G267" s="271">
        <v>1542389</v>
      </c>
      <c r="H267" s="271">
        <v>11945</v>
      </c>
      <c r="J267" s="271">
        <v>3252574</v>
      </c>
      <c r="K267" s="271">
        <v>221584</v>
      </c>
      <c r="L267" s="271">
        <v>-223601</v>
      </c>
      <c r="M267" s="271">
        <v>104784</v>
      </c>
      <c r="N267" s="271">
        <v>-118817</v>
      </c>
    </row>
    <row r="268" spans="1:14" ht="13.8">
      <c r="A268" s="267">
        <v>38700</v>
      </c>
      <c r="B268" s="269" t="s">
        <v>392</v>
      </c>
      <c r="C268" s="272">
        <v>21925236</v>
      </c>
      <c r="D268" s="280">
        <v>241440</v>
      </c>
      <c r="E268" s="280">
        <v>175150</v>
      </c>
      <c r="F268" s="280">
        <v>2375170</v>
      </c>
      <c r="G268" s="280">
        <v>2177608</v>
      </c>
      <c r="H268" s="280">
        <v>21482</v>
      </c>
      <c r="J268" s="280">
        <v>5849476</v>
      </c>
      <c r="K268" s="280">
        <v>996286</v>
      </c>
      <c r="L268" s="280">
        <v>-402127</v>
      </c>
      <c r="M268" s="280">
        <v>-68945</v>
      </c>
      <c r="N268" s="280">
        <v>-471072</v>
      </c>
    </row>
    <row r="269" spans="1:14" ht="13.8">
      <c r="A269" s="267">
        <v>38701</v>
      </c>
      <c r="B269" s="269" t="s">
        <v>470</v>
      </c>
      <c r="C269" s="272">
        <v>1739541</v>
      </c>
      <c r="D269" s="280">
        <v>19156</v>
      </c>
      <c r="E269" s="280">
        <v>13896</v>
      </c>
      <c r="F269" s="280">
        <v>188445</v>
      </c>
      <c r="G269" s="280">
        <v>367022</v>
      </c>
      <c r="H269" s="280">
        <v>1704</v>
      </c>
      <c r="J269" s="280">
        <v>464096</v>
      </c>
      <c r="K269" s="273">
        <v>0</v>
      </c>
      <c r="L269" s="280">
        <v>-31904</v>
      </c>
      <c r="M269" s="280">
        <v>106462</v>
      </c>
      <c r="N269" s="280">
        <v>74558</v>
      </c>
    </row>
    <row r="270" spans="1:14" ht="13.8">
      <c r="A270" s="267">
        <v>38800</v>
      </c>
      <c r="B270" s="269" t="s">
        <v>393</v>
      </c>
      <c r="C270" s="272">
        <v>35916235</v>
      </c>
      <c r="D270" s="280">
        <v>395508</v>
      </c>
      <c r="E270" s="280">
        <v>286917</v>
      </c>
      <c r="F270" s="280">
        <v>3890822</v>
      </c>
      <c r="G270" s="280">
        <v>2253234</v>
      </c>
      <c r="H270" s="280">
        <v>35191</v>
      </c>
      <c r="J270" s="280">
        <v>9582162</v>
      </c>
      <c r="K270" s="280">
        <v>1807061</v>
      </c>
      <c r="L270" s="280">
        <v>-658731</v>
      </c>
      <c r="M270" s="280">
        <v>-357845</v>
      </c>
      <c r="N270" s="280">
        <v>-1016576</v>
      </c>
    </row>
    <row r="271" spans="1:14" ht="13.8">
      <c r="A271" s="267">
        <v>38801</v>
      </c>
      <c r="B271" s="269" t="s">
        <v>394</v>
      </c>
      <c r="C271" s="272">
        <v>3470571</v>
      </c>
      <c r="D271" s="280">
        <v>38218</v>
      </c>
      <c r="E271" s="280">
        <v>27725</v>
      </c>
      <c r="F271" s="280">
        <v>375969</v>
      </c>
      <c r="G271" s="280">
        <v>382474</v>
      </c>
      <c r="H271" s="280">
        <v>3400</v>
      </c>
      <c r="J271" s="280">
        <v>925920</v>
      </c>
      <c r="K271" s="280">
        <v>218807</v>
      </c>
      <c r="L271" s="280">
        <v>-63654</v>
      </c>
      <c r="M271" s="280">
        <v>78233</v>
      </c>
      <c r="N271" s="280">
        <v>14579</v>
      </c>
    </row>
    <row r="272" spans="1:14" ht="13.8">
      <c r="A272" s="267">
        <v>38900</v>
      </c>
      <c r="B272" s="269" t="s">
        <v>395</v>
      </c>
      <c r="C272" s="272">
        <v>7278361</v>
      </c>
      <c r="D272" s="280">
        <v>80149</v>
      </c>
      <c r="E272" s="280">
        <v>58143</v>
      </c>
      <c r="F272" s="280">
        <v>788468</v>
      </c>
      <c r="G272" s="280">
        <v>418358</v>
      </c>
      <c r="H272" s="280">
        <v>7131</v>
      </c>
      <c r="J272" s="280">
        <v>1941808</v>
      </c>
      <c r="K272" s="280">
        <v>882298</v>
      </c>
      <c r="L272" s="280">
        <v>-133491</v>
      </c>
      <c r="M272" s="280">
        <v>-118910</v>
      </c>
      <c r="N272" s="280">
        <v>-252401</v>
      </c>
    </row>
    <row r="273" spans="1:14" ht="13.8">
      <c r="A273" s="267">
        <v>39000</v>
      </c>
      <c r="B273" s="269" t="s">
        <v>396</v>
      </c>
      <c r="C273" s="272">
        <v>346004873</v>
      </c>
      <c r="D273" s="280">
        <v>3810191</v>
      </c>
      <c r="E273" s="280">
        <v>2764065</v>
      </c>
      <c r="F273" s="280">
        <v>37482861</v>
      </c>
      <c r="G273" s="280">
        <v>8960490</v>
      </c>
      <c r="H273" s="280">
        <v>339015</v>
      </c>
      <c r="J273" s="280">
        <v>92311308</v>
      </c>
      <c r="K273" s="280">
        <v>25813951</v>
      </c>
      <c r="L273" s="280">
        <v>-6345994</v>
      </c>
      <c r="M273" s="280">
        <v>-11213656</v>
      </c>
      <c r="N273" s="280">
        <v>-17559650</v>
      </c>
    </row>
    <row r="274" spans="1:14" ht="13.8">
      <c r="A274" s="266">
        <v>39100</v>
      </c>
      <c r="B274" s="268" t="s">
        <v>397</v>
      </c>
      <c r="C274" s="271">
        <v>39361593</v>
      </c>
      <c r="D274" s="271">
        <v>433448</v>
      </c>
      <c r="E274" s="271">
        <v>314441</v>
      </c>
      <c r="F274" s="271">
        <v>4264059</v>
      </c>
      <c r="G274" s="271">
        <v>1181776</v>
      </c>
      <c r="H274" s="271">
        <v>38566</v>
      </c>
      <c r="J274" s="271">
        <v>10501355</v>
      </c>
      <c r="K274" s="271">
        <v>6647083</v>
      </c>
      <c r="L274" s="271">
        <v>-721920</v>
      </c>
      <c r="M274" s="271">
        <v>-4183361</v>
      </c>
      <c r="N274" s="271">
        <v>-4905281</v>
      </c>
    </row>
    <row r="275" spans="1:14" ht="13.8">
      <c r="A275" s="266">
        <v>39101</v>
      </c>
      <c r="B275" s="268" t="s">
        <v>398</v>
      </c>
      <c r="C275" s="271">
        <v>7041454</v>
      </c>
      <c r="D275" s="271">
        <v>77540</v>
      </c>
      <c r="E275" s="271">
        <v>56251</v>
      </c>
      <c r="F275" s="271">
        <v>762804</v>
      </c>
      <c r="G275" s="271">
        <v>964024</v>
      </c>
      <c r="H275" s="271">
        <v>6899</v>
      </c>
      <c r="J275" s="271">
        <v>1878603</v>
      </c>
      <c r="K275" s="271">
        <v>0</v>
      </c>
      <c r="L275" s="271">
        <v>-129146</v>
      </c>
      <c r="M275" s="271">
        <v>603883</v>
      </c>
      <c r="N275" s="271">
        <v>474737</v>
      </c>
    </row>
    <row r="276" spans="1:14" ht="13.8">
      <c r="A276" s="266">
        <v>39105</v>
      </c>
      <c r="B276" s="268" t="s">
        <v>107</v>
      </c>
      <c r="C276" s="271">
        <v>15829640</v>
      </c>
      <c r="D276" s="271">
        <v>174315</v>
      </c>
      <c r="E276" s="271">
        <v>126455</v>
      </c>
      <c r="F276" s="271">
        <v>1714832</v>
      </c>
      <c r="G276" s="271">
        <v>787471</v>
      </c>
      <c r="H276" s="271">
        <v>15510</v>
      </c>
      <c r="J276" s="271">
        <v>4223220</v>
      </c>
      <c r="K276" s="271">
        <v>2488081</v>
      </c>
      <c r="L276" s="271">
        <v>-290327</v>
      </c>
      <c r="M276" s="271">
        <v>-1574343</v>
      </c>
      <c r="N276" s="271">
        <v>-1864670</v>
      </c>
    </row>
    <row r="277" spans="1:14" ht="13.8">
      <c r="A277" s="266">
        <v>39200</v>
      </c>
      <c r="B277" s="268" t="s">
        <v>471</v>
      </c>
      <c r="C277" s="271">
        <v>1576750052</v>
      </c>
      <c r="D277" s="271">
        <v>17363104</v>
      </c>
      <c r="E277" s="271">
        <v>12595889</v>
      </c>
      <c r="F277" s="271">
        <v>170810029</v>
      </c>
      <c r="G277" s="271">
        <v>48776964</v>
      </c>
      <c r="H277" s="271">
        <v>1544898</v>
      </c>
      <c r="J277" s="271">
        <v>420664189</v>
      </c>
      <c r="K277" s="271">
        <v>44724101</v>
      </c>
      <c r="L277" s="271">
        <v>-28918809</v>
      </c>
      <c r="M277" s="271">
        <v>-13117737</v>
      </c>
      <c r="N277" s="271">
        <v>-42036546</v>
      </c>
    </row>
    <row r="278" spans="1:14" ht="13.8">
      <c r="A278" s="266">
        <v>39201</v>
      </c>
      <c r="B278" s="268" t="s">
        <v>399</v>
      </c>
      <c r="C278" s="271">
        <v>6449535</v>
      </c>
      <c r="D278" s="271">
        <v>71022</v>
      </c>
      <c r="E278" s="271">
        <v>51522</v>
      </c>
      <c r="F278" s="271">
        <v>698681</v>
      </c>
      <c r="G278" s="271">
        <v>1815720</v>
      </c>
      <c r="H278" s="271">
        <v>6319</v>
      </c>
      <c r="J278" s="271">
        <v>1720684</v>
      </c>
      <c r="K278" s="271">
        <v>194003</v>
      </c>
      <c r="L278" s="271">
        <v>-118288</v>
      </c>
      <c r="M278" s="271">
        <v>347880</v>
      </c>
      <c r="N278" s="271">
        <v>229592</v>
      </c>
    </row>
    <row r="279" spans="1:14" ht="13.8">
      <c r="A279" s="266">
        <v>39204</v>
      </c>
      <c r="B279" s="268" t="s">
        <v>400</v>
      </c>
      <c r="C279" s="271">
        <v>6005043</v>
      </c>
      <c r="D279" s="271">
        <v>66127</v>
      </c>
      <c r="E279" s="271">
        <v>47971</v>
      </c>
      <c r="F279" s="271">
        <v>650529</v>
      </c>
      <c r="G279" s="271">
        <v>976543</v>
      </c>
      <c r="H279" s="271">
        <v>5884</v>
      </c>
      <c r="J279" s="271">
        <v>1602097</v>
      </c>
      <c r="K279" s="271">
        <v>1393188</v>
      </c>
      <c r="L279" s="271">
        <v>-110137</v>
      </c>
      <c r="M279" s="271">
        <v>484471</v>
      </c>
      <c r="N279" s="271">
        <v>374334</v>
      </c>
    </row>
    <row r="280" spans="1:14" ht="13.8">
      <c r="A280" s="267">
        <v>39205</v>
      </c>
      <c r="B280" s="269" t="s">
        <v>108</v>
      </c>
      <c r="C280" s="272">
        <v>134713039</v>
      </c>
      <c r="D280" s="280">
        <v>1483454</v>
      </c>
      <c r="E280" s="280">
        <v>1076157</v>
      </c>
      <c r="F280" s="280">
        <v>14593523</v>
      </c>
      <c r="G280" s="280">
        <v>10851509</v>
      </c>
      <c r="H280" s="280">
        <v>131992</v>
      </c>
      <c r="J280" s="280">
        <v>35940352</v>
      </c>
      <c r="K280" s="280">
        <v>2458432</v>
      </c>
      <c r="L280" s="280">
        <v>-2470740</v>
      </c>
      <c r="M280" s="280">
        <v>4117464</v>
      </c>
      <c r="N280" s="280">
        <v>1646724</v>
      </c>
    </row>
    <row r="281" spans="1:14" ht="13.8">
      <c r="A281" s="267">
        <v>39208</v>
      </c>
      <c r="B281" s="269" t="s">
        <v>472</v>
      </c>
      <c r="C281" s="272">
        <v>9257718</v>
      </c>
      <c r="D281" s="280">
        <v>101946</v>
      </c>
      <c r="E281" s="280">
        <v>73955</v>
      </c>
      <c r="F281" s="280">
        <v>1002893</v>
      </c>
      <c r="G281" s="280">
        <v>364448</v>
      </c>
      <c r="H281" s="280">
        <v>9071</v>
      </c>
      <c r="J281" s="280">
        <v>2469885</v>
      </c>
      <c r="K281" s="280">
        <v>837962</v>
      </c>
      <c r="L281" s="280">
        <v>-169794</v>
      </c>
      <c r="M281" s="280">
        <v>-162984</v>
      </c>
      <c r="N281" s="280">
        <v>-332778</v>
      </c>
    </row>
    <row r="282" spans="1:14" ht="13.8">
      <c r="A282" s="267">
        <v>39209</v>
      </c>
      <c r="B282" s="269" t="s">
        <v>401</v>
      </c>
      <c r="C282" s="273">
        <v>0</v>
      </c>
      <c r="D282" s="273">
        <v>0</v>
      </c>
      <c r="E282" s="273">
        <v>0</v>
      </c>
      <c r="F282" s="273">
        <v>0</v>
      </c>
      <c r="G282" s="273">
        <v>29382</v>
      </c>
      <c r="H282" s="273">
        <v>0</v>
      </c>
      <c r="J282" s="273">
        <v>0</v>
      </c>
      <c r="K282" s="273">
        <v>3818687</v>
      </c>
      <c r="L282" s="273">
        <v>0</v>
      </c>
      <c r="M282" s="280">
        <v>-1372398</v>
      </c>
      <c r="N282" s="280">
        <v>-1372398</v>
      </c>
    </row>
    <row r="283" spans="1:14" ht="13.8">
      <c r="A283" s="267">
        <v>39220</v>
      </c>
      <c r="B283" s="269" t="s">
        <v>425</v>
      </c>
      <c r="C283" s="273">
        <v>0</v>
      </c>
      <c r="D283" s="273">
        <v>0</v>
      </c>
      <c r="E283" s="273">
        <v>0</v>
      </c>
      <c r="F283" s="273">
        <v>0</v>
      </c>
      <c r="G283" s="273">
        <v>680900</v>
      </c>
      <c r="H283" s="273">
        <v>0</v>
      </c>
      <c r="J283" s="273">
        <v>0</v>
      </c>
      <c r="K283" s="273">
        <v>1612577</v>
      </c>
      <c r="L283" s="273">
        <v>0</v>
      </c>
      <c r="M283" s="280">
        <v>39485</v>
      </c>
      <c r="N283" s="280">
        <v>39485</v>
      </c>
    </row>
    <row r="284" spans="1:14" ht="13.8">
      <c r="A284" s="267">
        <v>39300</v>
      </c>
      <c r="B284" s="269" t="s">
        <v>402</v>
      </c>
      <c r="C284" s="272">
        <v>16486605</v>
      </c>
      <c r="D284" s="280">
        <v>181550</v>
      </c>
      <c r="E284" s="280">
        <v>131703</v>
      </c>
      <c r="F284" s="280">
        <v>1786001</v>
      </c>
      <c r="G284" s="280">
        <v>1710649</v>
      </c>
      <c r="H284" s="280">
        <v>16154</v>
      </c>
      <c r="J284" s="280">
        <v>4398493</v>
      </c>
      <c r="K284" s="280">
        <v>2369374</v>
      </c>
      <c r="L284" s="280">
        <v>-302376</v>
      </c>
      <c r="M284" s="280">
        <v>-1180629</v>
      </c>
      <c r="N284" s="280">
        <v>-1483005</v>
      </c>
    </row>
    <row r="285" spans="1:14" ht="13.8">
      <c r="A285" s="267">
        <v>39301</v>
      </c>
      <c r="B285" s="269" t="s">
        <v>403</v>
      </c>
      <c r="C285" s="272">
        <v>970763</v>
      </c>
      <c r="D285" s="280">
        <v>10690</v>
      </c>
      <c r="E285" s="280">
        <v>7755</v>
      </c>
      <c r="F285" s="280">
        <v>105163</v>
      </c>
      <c r="G285" s="280">
        <v>185201</v>
      </c>
      <c r="H285" s="280">
        <v>951</v>
      </c>
      <c r="J285" s="280">
        <v>258992</v>
      </c>
      <c r="K285" s="280">
        <v>90444</v>
      </c>
      <c r="L285" s="280">
        <v>-17805</v>
      </c>
      <c r="M285" s="280">
        <v>-150871</v>
      </c>
      <c r="N285" s="280">
        <v>-168676</v>
      </c>
    </row>
    <row r="286" spans="1:14" ht="13.8">
      <c r="A286" s="266">
        <v>39400</v>
      </c>
      <c r="B286" s="268" t="s">
        <v>404</v>
      </c>
      <c r="C286" s="271">
        <v>10184931</v>
      </c>
      <c r="D286" s="271">
        <v>112156</v>
      </c>
      <c r="E286" s="271">
        <v>81362</v>
      </c>
      <c r="F286" s="271">
        <v>1103338</v>
      </c>
      <c r="G286" s="271">
        <v>740672</v>
      </c>
      <c r="H286" s="271">
        <v>9979</v>
      </c>
      <c r="J286" s="271">
        <v>2717258</v>
      </c>
      <c r="K286" s="271">
        <v>2397615</v>
      </c>
      <c r="L286" s="271">
        <v>-186799</v>
      </c>
      <c r="M286" s="271">
        <v>-1059487</v>
      </c>
      <c r="N286" s="271">
        <v>-1246286</v>
      </c>
    </row>
    <row r="287" spans="1:14" ht="13.8">
      <c r="A287" s="266">
        <v>39401</v>
      </c>
      <c r="B287" s="268" t="s">
        <v>405</v>
      </c>
      <c r="C287" s="271">
        <v>10397426</v>
      </c>
      <c r="D287" s="271">
        <v>114496</v>
      </c>
      <c r="E287" s="271">
        <v>83060</v>
      </c>
      <c r="F287" s="271">
        <v>1126358</v>
      </c>
      <c r="G287" s="271">
        <v>1484314</v>
      </c>
      <c r="H287" s="271">
        <v>10187</v>
      </c>
      <c r="J287" s="271">
        <v>2773949</v>
      </c>
      <c r="K287" s="271">
        <v>2028844</v>
      </c>
      <c r="L287" s="271">
        <v>-190697</v>
      </c>
      <c r="M287" s="271">
        <v>645619</v>
      </c>
      <c r="N287" s="271">
        <v>454922</v>
      </c>
    </row>
    <row r="288" spans="1:14" ht="13.8">
      <c r="A288" s="266">
        <v>39500</v>
      </c>
      <c r="B288" s="268" t="s">
        <v>406</v>
      </c>
      <c r="C288" s="271">
        <v>51113651</v>
      </c>
      <c r="D288" s="271">
        <v>562861</v>
      </c>
      <c r="E288" s="271">
        <v>408322</v>
      </c>
      <c r="F288" s="271">
        <v>5537164</v>
      </c>
      <c r="G288" s="271">
        <v>5835814</v>
      </c>
      <c r="H288" s="271">
        <v>50081</v>
      </c>
      <c r="J288" s="271">
        <v>13636710</v>
      </c>
      <c r="K288" s="271">
        <v>3844961</v>
      </c>
      <c r="L288" s="271">
        <v>-937464</v>
      </c>
      <c r="M288" s="271">
        <v>875682</v>
      </c>
      <c r="N288" s="271">
        <v>-61782</v>
      </c>
    </row>
    <row r="289" spans="1:18" ht="13.8">
      <c r="A289" s="266">
        <v>39501</v>
      </c>
      <c r="B289" s="268" t="s">
        <v>473</v>
      </c>
      <c r="C289" s="271">
        <v>1284307</v>
      </c>
      <c r="D289" s="271">
        <v>14143</v>
      </c>
      <c r="E289" s="271">
        <v>10260</v>
      </c>
      <c r="F289" s="271">
        <v>139130</v>
      </c>
      <c r="G289" s="271">
        <v>62699</v>
      </c>
      <c r="H289" s="271">
        <v>1258</v>
      </c>
      <c r="J289" s="271">
        <v>342643</v>
      </c>
      <c r="K289" s="271">
        <v>121942</v>
      </c>
      <c r="L289" s="271">
        <v>-23554</v>
      </c>
      <c r="M289" s="271">
        <v>-72705</v>
      </c>
      <c r="N289" s="271">
        <v>-96259</v>
      </c>
    </row>
    <row r="290" spans="1:18" ht="13.8">
      <c r="A290" s="266">
        <v>39600</v>
      </c>
      <c r="B290" s="268" t="s">
        <v>407</v>
      </c>
      <c r="C290" s="271">
        <v>138520788</v>
      </c>
      <c r="D290" s="271">
        <v>1525385</v>
      </c>
      <c r="E290" s="271">
        <v>1106575</v>
      </c>
      <c r="F290" s="271">
        <v>15006018</v>
      </c>
      <c r="G290" s="271">
        <v>3282226</v>
      </c>
      <c r="H290" s="271">
        <v>135723</v>
      </c>
      <c r="J290" s="271">
        <v>36956228</v>
      </c>
      <c r="K290" s="271">
        <v>11237442</v>
      </c>
      <c r="L290" s="271">
        <v>-2540576</v>
      </c>
      <c r="M290" s="271">
        <v>-4291729</v>
      </c>
      <c r="N290" s="271">
        <v>-6832305</v>
      </c>
    </row>
    <row r="291" spans="1:18" ht="13.8">
      <c r="A291" s="266">
        <v>39605</v>
      </c>
      <c r="B291" s="268" t="s">
        <v>109</v>
      </c>
      <c r="C291" s="271">
        <v>20290062</v>
      </c>
      <c r="D291" s="271">
        <v>223433</v>
      </c>
      <c r="E291" s="271">
        <v>162087</v>
      </c>
      <c r="F291" s="271">
        <v>2198031</v>
      </c>
      <c r="G291" s="271">
        <v>486459</v>
      </c>
      <c r="H291" s="271">
        <v>19880</v>
      </c>
      <c r="J291" s="271">
        <v>5413225</v>
      </c>
      <c r="K291" s="271">
        <v>1984980</v>
      </c>
      <c r="L291" s="271">
        <v>-372136</v>
      </c>
      <c r="M291" s="271">
        <v>-138910</v>
      </c>
      <c r="N291" s="271">
        <v>-511046</v>
      </c>
    </row>
    <row r="292" spans="1:18" ht="13.8">
      <c r="A292" s="267">
        <v>39700</v>
      </c>
      <c r="B292" s="269" t="s">
        <v>408</v>
      </c>
      <c r="C292" s="272">
        <v>78322963</v>
      </c>
      <c r="D292" s="280">
        <v>862489</v>
      </c>
      <c r="E292" s="280">
        <v>625684</v>
      </c>
      <c r="F292" s="280">
        <v>8484761</v>
      </c>
      <c r="G292" s="280">
        <v>1190688</v>
      </c>
      <c r="H292" s="280">
        <v>76741</v>
      </c>
      <c r="J292" s="280">
        <v>20895934</v>
      </c>
      <c r="K292" s="280">
        <v>5977267</v>
      </c>
      <c r="L292" s="280">
        <v>-1436504</v>
      </c>
      <c r="M292" s="280">
        <v>-3533589</v>
      </c>
      <c r="N292" s="280">
        <v>-4970093</v>
      </c>
    </row>
    <row r="293" spans="1:18" ht="13.8">
      <c r="A293" s="267">
        <v>39703</v>
      </c>
      <c r="B293" s="269" t="s">
        <v>409</v>
      </c>
      <c r="C293" s="272">
        <v>6004744</v>
      </c>
      <c r="D293" s="280">
        <v>66124</v>
      </c>
      <c r="E293" s="280">
        <v>47969</v>
      </c>
      <c r="F293" s="280">
        <v>650497</v>
      </c>
      <c r="G293" s="280">
        <v>478533</v>
      </c>
      <c r="H293" s="280">
        <v>5883</v>
      </c>
      <c r="J293" s="280">
        <v>1602017</v>
      </c>
      <c r="K293" s="280">
        <v>362398</v>
      </c>
      <c r="L293" s="280">
        <v>-110132</v>
      </c>
      <c r="M293" s="280">
        <v>560714</v>
      </c>
      <c r="N293" s="280">
        <v>450582</v>
      </c>
    </row>
    <row r="294" spans="1:18" ht="13.8">
      <c r="A294" s="267">
        <v>39705</v>
      </c>
      <c r="B294" s="269" t="s">
        <v>110</v>
      </c>
      <c r="C294" s="272">
        <v>21548444</v>
      </c>
      <c r="D294" s="280">
        <v>237291</v>
      </c>
      <c r="E294" s="280">
        <v>172140</v>
      </c>
      <c r="F294" s="280">
        <v>2334352</v>
      </c>
      <c r="G294" s="280">
        <v>1394669</v>
      </c>
      <c r="H294" s="280">
        <v>21113</v>
      </c>
      <c r="J294" s="280">
        <v>5748951</v>
      </c>
      <c r="K294" s="280">
        <v>147312</v>
      </c>
      <c r="L294" s="280">
        <v>-395215</v>
      </c>
      <c r="M294" s="280">
        <v>460941</v>
      </c>
      <c r="N294" s="280">
        <v>65726</v>
      </c>
    </row>
    <row r="295" spans="1:18" ht="13.8">
      <c r="A295" s="267">
        <v>39800</v>
      </c>
      <c r="B295" s="269" t="s">
        <v>410</v>
      </c>
      <c r="C295" s="272">
        <v>87668548</v>
      </c>
      <c r="D295" s="280">
        <v>965402</v>
      </c>
      <c r="E295" s="280">
        <v>700341</v>
      </c>
      <c r="F295" s="280">
        <v>9497172</v>
      </c>
      <c r="G295" s="280">
        <v>1236024</v>
      </c>
      <c r="H295" s="280">
        <v>85898</v>
      </c>
      <c r="J295" s="280">
        <v>23389261</v>
      </c>
      <c r="K295" s="280">
        <v>6228014</v>
      </c>
      <c r="L295" s="280">
        <v>-1607908</v>
      </c>
      <c r="M295" s="280">
        <v>-3503754</v>
      </c>
      <c r="N295" s="280">
        <v>-5111662</v>
      </c>
    </row>
    <row r="296" spans="1:18" ht="13.8">
      <c r="A296" s="267">
        <v>39805</v>
      </c>
      <c r="B296" s="269" t="s">
        <v>111</v>
      </c>
      <c r="C296" s="272">
        <v>10460069</v>
      </c>
      <c r="D296" s="280">
        <v>115186</v>
      </c>
      <c r="E296" s="280">
        <v>83560</v>
      </c>
      <c r="F296" s="280">
        <v>1133144</v>
      </c>
      <c r="G296" s="280">
        <v>447461</v>
      </c>
      <c r="H296" s="280">
        <v>10249</v>
      </c>
      <c r="J296" s="280">
        <v>2790662</v>
      </c>
      <c r="K296" s="280">
        <v>598943</v>
      </c>
      <c r="L296" s="280">
        <v>-191846</v>
      </c>
      <c r="M296" s="280">
        <v>-116757</v>
      </c>
      <c r="N296" s="280">
        <v>-308603</v>
      </c>
    </row>
    <row r="297" spans="1:18" ht="13.8">
      <c r="A297" s="267">
        <v>39900</v>
      </c>
      <c r="B297" s="269" t="s">
        <v>411</v>
      </c>
      <c r="C297" s="272">
        <v>47608358</v>
      </c>
      <c r="D297" s="280">
        <v>524261</v>
      </c>
      <c r="E297" s="280">
        <v>380320</v>
      </c>
      <c r="F297" s="280">
        <v>5157434</v>
      </c>
      <c r="G297" s="280">
        <v>3378162</v>
      </c>
      <c r="H297" s="280">
        <v>46647</v>
      </c>
      <c r="J297" s="280">
        <v>12701526</v>
      </c>
      <c r="K297" s="280">
        <v>2864376</v>
      </c>
      <c r="L297" s="280">
        <v>-873175</v>
      </c>
      <c r="M297" s="280">
        <v>-945061</v>
      </c>
      <c r="N297" s="280">
        <v>-1818236</v>
      </c>
    </row>
    <row r="298" spans="1:18" ht="13.8">
      <c r="A298" s="266">
        <v>40000</v>
      </c>
      <c r="B298" s="268" t="s">
        <v>412</v>
      </c>
      <c r="C298" s="271">
        <v>88745610</v>
      </c>
      <c r="D298" s="271">
        <v>977263</v>
      </c>
      <c r="E298" s="271">
        <v>708946</v>
      </c>
      <c r="F298" s="271">
        <v>9613851</v>
      </c>
      <c r="G298" s="271">
        <v>19049470</v>
      </c>
      <c r="H298" s="271">
        <v>86953</v>
      </c>
      <c r="J298" s="271">
        <v>23676613</v>
      </c>
      <c r="K298" s="271">
        <v>0</v>
      </c>
      <c r="L298" s="271">
        <v>-1627662</v>
      </c>
      <c r="M298" s="271">
        <v>5880439</v>
      </c>
      <c r="N298" s="271">
        <v>4252777</v>
      </c>
    </row>
    <row r="299" spans="1:18" ht="13.8">
      <c r="A299" s="266">
        <v>51000</v>
      </c>
      <c r="B299" s="268" t="s">
        <v>474</v>
      </c>
      <c r="C299" s="271">
        <v>683084138</v>
      </c>
      <c r="D299" s="271">
        <v>7522093</v>
      </c>
      <c r="E299" s="271">
        <v>5456827</v>
      </c>
      <c r="F299" s="271">
        <v>73998806</v>
      </c>
      <c r="G299" s="271">
        <v>47153948</v>
      </c>
      <c r="H299" s="271">
        <v>669285</v>
      </c>
      <c r="J299" s="271">
        <v>182241335</v>
      </c>
      <c r="K299" s="271">
        <v>30431675</v>
      </c>
      <c r="L299" s="271">
        <v>-12528289</v>
      </c>
      <c r="M299" s="271">
        <v>-2042968</v>
      </c>
      <c r="N299" s="271">
        <v>-14571257</v>
      </c>
    </row>
    <row r="300" spans="1:18" ht="13.8">
      <c r="A300" s="138">
        <v>51000.2</v>
      </c>
      <c r="B300" s="268" t="s">
        <v>475</v>
      </c>
      <c r="C300" s="271">
        <v>843988</v>
      </c>
      <c r="D300" s="271">
        <v>9294</v>
      </c>
      <c r="E300" s="271">
        <v>6742</v>
      </c>
      <c r="F300" s="271">
        <v>91430</v>
      </c>
      <c r="G300" s="271">
        <v>477517</v>
      </c>
      <c r="H300" s="271">
        <v>827</v>
      </c>
      <c r="J300" s="271">
        <v>225169</v>
      </c>
      <c r="K300" s="271">
        <v>229690</v>
      </c>
      <c r="L300" s="271">
        <v>-15480</v>
      </c>
      <c r="M300" s="271">
        <v>164558</v>
      </c>
      <c r="N300" s="271">
        <v>149078</v>
      </c>
      <c r="R300" s="192"/>
    </row>
    <row r="301" spans="1:18" ht="13.8">
      <c r="A301" s="138">
        <v>51000.3</v>
      </c>
      <c r="B301" s="268" t="s">
        <v>858</v>
      </c>
      <c r="C301" s="271">
        <v>20562300</v>
      </c>
      <c r="D301" s="271">
        <v>226431</v>
      </c>
      <c r="E301" s="271">
        <v>164262</v>
      </c>
      <c r="F301" s="271">
        <v>2227523</v>
      </c>
      <c r="G301" s="271">
        <v>2244197</v>
      </c>
      <c r="H301" s="271">
        <v>20147</v>
      </c>
      <c r="J301" s="271">
        <v>5485856</v>
      </c>
      <c r="K301" s="271">
        <v>0</v>
      </c>
      <c r="L301" s="271">
        <v>-377127</v>
      </c>
      <c r="M301" s="271">
        <v>1251399</v>
      </c>
      <c r="N301" s="271">
        <v>874272</v>
      </c>
    </row>
    <row r="302" spans="1:18" ht="13.8">
      <c r="A302" s="266">
        <v>60000</v>
      </c>
      <c r="B302" s="268" t="s">
        <v>476</v>
      </c>
      <c r="C302" s="271">
        <v>3347103</v>
      </c>
      <c r="D302" s="271">
        <v>36858</v>
      </c>
      <c r="E302" s="271">
        <v>26738</v>
      </c>
      <c r="F302" s="271">
        <v>362593</v>
      </c>
      <c r="G302" s="271">
        <v>475268</v>
      </c>
      <c r="H302" s="271">
        <v>3279</v>
      </c>
      <c r="J302" s="271">
        <v>892980</v>
      </c>
      <c r="K302" s="271">
        <v>293450</v>
      </c>
      <c r="L302" s="271">
        <v>-61387</v>
      </c>
      <c r="M302" s="271">
        <v>162774</v>
      </c>
      <c r="N302" s="271">
        <v>101387</v>
      </c>
    </row>
    <row r="303" spans="1:18" ht="13.8">
      <c r="A303" s="266">
        <v>90901</v>
      </c>
      <c r="B303" s="268" t="s">
        <v>413</v>
      </c>
      <c r="C303" s="271">
        <v>21813231</v>
      </c>
      <c r="D303" s="271">
        <v>240206</v>
      </c>
      <c r="E303" s="271">
        <v>174255</v>
      </c>
      <c r="F303" s="271">
        <v>2363037</v>
      </c>
      <c r="G303" s="271">
        <v>637687</v>
      </c>
      <c r="H303" s="271">
        <v>21373</v>
      </c>
      <c r="J303" s="271">
        <v>5819594</v>
      </c>
      <c r="K303" s="271">
        <v>503360</v>
      </c>
      <c r="L303" s="271">
        <v>-400071</v>
      </c>
      <c r="M303" s="271">
        <v>56111</v>
      </c>
      <c r="N303" s="271">
        <v>-343960</v>
      </c>
    </row>
    <row r="304" spans="1:18" ht="13.8">
      <c r="A304" s="267">
        <v>91041</v>
      </c>
      <c r="B304" s="269" t="s">
        <v>414</v>
      </c>
      <c r="C304" s="272">
        <v>4903225</v>
      </c>
      <c r="D304" s="280">
        <v>53994</v>
      </c>
      <c r="E304" s="280">
        <v>39169</v>
      </c>
      <c r="F304" s="280">
        <v>531169</v>
      </c>
      <c r="G304" s="280">
        <v>683705</v>
      </c>
      <c r="H304" s="280">
        <v>4804</v>
      </c>
      <c r="J304" s="280">
        <v>1308141</v>
      </c>
      <c r="K304" s="280">
        <v>172257</v>
      </c>
      <c r="L304" s="280">
        <v>-89931</v>
      </c>
      <c r="M304" s="280">
        <v>232666</v>
      </c>
      <c r="N304" s="280">
        <v>142735</v>
      </c>
    </row>
    <row r="305" spans="1:14" ht="13.8">
      <c r="A305" s="267">
        <v>91111</v>
      </c>
      <c r="B305" s="269" t="s">
        <v>415</v>
      </c>
      <c r="C305" s="272">
        <v>2610286</v>
      </c>
      <c r="D305" s="280">
        <v>28744</v>
      </c>
      <c r="E305" s="280">
        <v>20852</v>
      </c>
      <c r="F305" s="280">
        <v>282773</v>
      </c>
      <c r="G305" s="280">
        <v>744273</v>
      </c>
      <c r="H305" s="280">
        <v>2558</v>
      </c>
      <c r="J305" s="280">
        <v>696403</v>
      </c>
      <c r="K305" s="280">
        <v>237123</v>
      </c>
      <c r="L305" s="280">
        <v>-47875</v>
      </c>
      <c r="M305" s="280">
        <v>73839</v>
      </c>
      <c r="N305" s="280">
        <v>25964</v>
      </c>
    </row>
    <row r="306" spans="1:14" ht="13.8">
      <c r="A306" s="267">
        <v>91151</v>
      </c>
      <c r="B306" s="269" t="s">
        <v>416</v>
      </c>
      <c r="C306" s="272">
        <v>6959743</v>
      </c>
      <c r="D306" s="280">
        <v>76640</v>
      </c>
      <c r="E306" s="280">
        <v>55598</v>
      </c>
      <c r="F306" s="280">
        <v>753952</v>
      </c>
      <c r="G306" s="280">
        <v>734835</v>
      </c>
      <c r="H306" s="280">
        <v>6819</v>
      </c>
      <c r="J306" s="280">
        <v>1856803</v>
      </c>
      <c r="K306" s="273">
        <v>0</v>
      </c>
      <c r="L306" s="280">
        <v>-127645</v>
      </c>
      <c r="M306" s="280">
        <v>176052</v>
      </c>
      <c r="N306" s="280">
        <v>48407</v>
      </c>
    </row>
    <row r="307" spans="1:14" ht="13.8">
      <c r="A307" s="267">
        <v>98101</v>
      </c>
      <c r="B307" s="269" t="s">
        <v>417</v>
      </c>
      <c r="C307" s="272">
        <v>29087782</v>
      </c>
      <c r="D307" s="280">
        <v>320313</v>
      </c>
      <c r="E307" s="280">
        <v>232368</v>
      </c>
      <c r="F307" s="280">
        <v>3151092</v>
      </c>
      <c r="G307" s="280">
        <v>1828119</v>
      </c>
      <c r="H307" s="280">
        <v>28500</v>
      </c>
      <c r="J307" s="280">
        <v>7760385</v>
      </c>
      <c r="K307" s="280">
        <v>356160</v>
      </c>
      <c r="L307" s="280">
        <v>-533492</v>
      </c>
      <c r="M307" s="280">
        <v>300993</v>
      </c>
      <c r="N307" s="280">
        <v>-232499</v>
      </c>
    </row>
    <row r="308" spans="1:14" ht="13.8">
      <c r="A308" s="267">
        <v>98103</v>
      </c>
      <c r="B308" s="270" t="s">
        <v>477</v>
      </c>
      <c r="C308" s="272">
        <v>4825572</v>
      </c>
      <c r="D308" s="280">
        <v>53139</v>
      </c>
      <c r="E308" s="280">
        <v>38549</v>
      </c>
      <c r="F308" s="280">
        <v>522756</v>
      </c>
      <c r="G308" s="280">
        <v>315141</v>
      </c>
      <c r="H308" s="280">
        <v>4728</v>
      </c>
      <c r="J308" s="280">
        <v>1287424</v>
      </c>
      <c r="K308" s="280">
        <v>521839</v>
      </c>
      <c r="L308" s="280">
        <v>-88505</v>
      </c>
      <c r="M308" s="280">
        <v>-57547</v>
      </c>
      <c r="N308" s="280">
        <v>-146052</v>
      </c>
    </row>
    <row r="309" spans="1:14" ht="13.8">
      <c r="A309" s="267">
        <v>98111</v>
      </c>
      <c r="B309" s="269" t="s">
        <v>418</v>
      </c>
      <c r="C309" s="272">
        <v>10718711</v>
      </c>
      <c r="D309" s="280">
        <v>118034</v>
      </c>
      <c r="E309" s="280">
        <v>85627</v>
      </c>
      <c r="F309" s="280">
        <v>1161163</v>
      </c>
      <c r="G309" s="280">
        <v>606802</v>
      </c>
      <c r="H309" s="280">
        <v>10502</v>
      </c>
      <c r="J309" s="280">
        <v>2859666</v>
      </c>
      <c r="K309" s="280">
        <v>113139</v>
      </c>
      <c r="L309" s="280">
        <v>-196589</v>
      </c>
      <c r="M309" s="280">
        <v>191427</v>
      </c>
      <c r="N309" s="280">
        <v>-5162</v>
      </c>
    </row>
    <row r="310" spans="1:14" ht="13.8">
      <c r="A310" s="266">
        <v>98131</v>
      </c>
      <c r="B310" s="268" t="s">
        <v>419</v>
      </c>
      <c r="C310" s="271">
        <v>2646921</v>
      </c>
      <c r="D310" s="271">
        <v>29148</v>
      </c>
      <c r="E310" s="271">
        <v>21145</v>
      </c>
      <c r="F310" s="271">
        <v>286742</v>
      </c>
      <c r="G310" s="271">
        <v>671086</v>
      </c>
      <c r="H310" s="271">
        <v>2593</v>
      </c>
      <c r="J310" s="271">
        <v>706177</v>
      </c>
      <c r="K310" s="271">
        <v>284322</v>
      </c>
      <c r="L310" s="271">
        <v>-48546</v>
      </c>
      <c r="M310" s="271">
        <v>63021</v>
      </c>
      <c r="N310" s="271">
        <v>14475</v>
      </c>
    </row>
    <row r="311" spans="1:14" ht="13.8">
      <c r="A311" s="266">
        <v>99401</v>
      </c>
      <c r="B311" s="268" t="s">
        <v>420</v>
      </c>
      <c r="C311" s="271">
        <v>7885474</v>
      </c>
      <c r="D311" s="271">
        <v>86835</v>
      </c>
      <c r="E311" s="271">
        <v>62993</v>
      </c>
      <c r="F311" s="271">
        <v>854237</v>
      </c>
      <c r="G311" s="271">
        <v>570115</v>
      </c>
      <c r="H311" s="271">
        <v>7726</v>
      </c>
      <c r="J311" s="271">
        <v>2103781</v>
      </c>
      <c r="K311" s="271">
        <v>715908</v>
      </c>
      <c r="L311" s="271">
        <v>-144624</v>
      </c>
      <c r="M311" s="271">
        <v>-245594</v>
      </c>
      <c r="N311" s="271">
        <v>-390218</v>
      </c>
    </row>
    <row r="312" spans="1:14" ht="13.8">
      <c r="A312" s="266">
        <v>99521</v>
      </c>
      <c r="B312" s="268" t="s">
        <v>421</v>
      </c>
      <c r="C312" s="271">
        <v>6592952</v>
      </c>
      <c r="D312" s="271">
        <v>72601</v>
      </c>
      <c r="E312" s="271">
        <v>52668</v>
      </c>
      <c r="F312" s="271">
        <v>714217</v>
      </c>
      <c r="G312" s="271">
        <v>1470787</v>
      </c>
      <c r="H312" s="271">
        <v>6460</v>
      </c>
      <c r="J312" s="271">
        <v>1758946</v>
      </c>
      <c r="K312" s="271">
        <v>0</v>
      </c>
      <c r="L312" s="271">
        <v>-120920</v>
      </c>
      <c r="M312" s="271">
        <v>589273</v>
      </c>
      <c r="N312" s="271">
        <v>468353</v>
      </c>
    </row>
    <row r="313" spans="1:14" ht="13.8">
      <c r="A313" s="266">
        <v>99831</v>
      </c>
      <c r="B313" s="268" t="s">
        <v>422</v>
      </c>
      <c r="C313" s="278">
        <v>438001</v>
      </c>
      <c r="D313" s="274">
        <v>4823</v>
      </c>
      <c r="E313" s="274">
        <v>3499</v>
      </c>
      <c r="F313" s="274">
        <v>47449</v>
      </c>
      <c r="G313" s="274">
        <v>151897</v>
      </c>
      <c r="H313" s="274">
        <v>429</v>
      </c>
      <c r="J313" s="274">
        <v>116855</v>
      </c>
      <c r="K313" s="274">
        <v>187335</v>
      </c>
      <c r="L313" s="274">
        <v>-8034</v>
      </c>
      <c r="M313" s="274">
        <v>-48045</v>
      </c>
      <c r="N313" s="274">
        <v>-56079</v>
      </c>
    </row>
    <row r="314" spans="1:14" s="277" customFormat="1" ht="13.8" thickBot="1">
      <c r="C314" s="279">
        <f>SUM(C4:C313)</f>
        <v>26647426243</v>
      </c>
      <c r="D314" s="279">
        <f t="shared" ref="D314:M314" si="0">SUM(D4:D313)</f>
        <v>293440315</v>
      </c>
      <c r="E314" s="279">
        <f t="shared" si="0"/>
        <v>212873326</v>
      </c>
      <c r="F314" s="279">
        <f t="shared" si="0"/>
        <v>2886727438</v>
      </c>
      <c r="G314" s="279">
        <f t="shared" si="0"/>
        <v>2508895715</v>
      </c>
      <c r="H314" s="279">
        <f t="shared" si="0"/>
        <v>26109117</v>
      </c>
      <c r="I314" s="279">
        <f t="shared" si="0"/>
        <v>0</v>
      </c>
      <c r="J314" s="279">
        <f t="shared" si="0"/>
        <v>7109318272</v>
      </c>
      <c r="K314" s="279">
        <f t="shared" si="0"/>
        <v>2508895802</v>
      </c>
      <c r="L314" s="279">
        <f t="shared" si="0"/>
        <v>-488734294</v>
      </c>
      <c r="M314" s="279">
        <f t="shared" si="0"/>
        <v>-25</v>
      </c>
      <c r="N314" s="279">
        <f>SUM(N4:N313)</f>
        <v>-488734319</v>
      </c>
    </row>
    <row r="315" spans="1:14" s="275" customFormat="1" ht="14.4" thickTop="1">
      <c r="B315" s="276" t="s">
        <v>889</v>
      </c>
      <c r="C315" s="275">
        <v>26647426243</v>
      </c>
      <c r="D315" s="275">
        <v>293440315</v>
      </c>
      <c r="E315" s="275">
        <v>212873326</v>
      </c>
      <c r="F315" s="275">
        <v>2886727438</v>
      </c>
    </row>
    <row r="316" spans="1:14" ht="13.8">
      <c r="B316" s="268" t="s">
        <v>890</v>
      </c>
      <c r="C316" s="281">
        <f>C314-C315</f>
        <v>0</v>
      </c>
      <c r="D316" s="281">
        <f t="shared" ref="D316:N316" si="1">D314-D315</f>
        <v>0</v>
      </c>
      <c r="E316" s="281">
        <f t="shared" si="1"/>
        <v>0</v>
      </c>
      <c r="F316" s="281">
        <f t="shared" si="1"/>
        <v>0</v>
      </c>
      <c r="G316" s="281">
        <f t="shared" si="1"/>
        <v>2508895715</v>
      </c>
      <c r="H316" s="281">
        <f t="shared" si="1"/>
        <v>26109117</v>
      </c>
      <c r="I316" s="281">
        <f t="shared" si="1"/>
        <v>0</v>
      </c>
      <c r="J316" s="281">
        <f t="shared" si="1"/>
        <v>7109318272</v>
      </c>
      <c r="K316" s="281">
        <f t="shared" si="1"/>
        <v>2508895802</v>
      </c>
      <c r="L316" s="281">
        <f t="shared" si="1"/>
        <v>-488734294</v>
      </c>
      <c r="M316" s="281">
        <f t="shared" si="1"/>
        <v>-25</v>
      </c>
      <c r="N316" s="281">
        <f t="shared" si="1"/>
        <v>-488734319</v>
      </c>
    </row>
  </sheetData>
  <sheetProtection algorithmName="SHA-512" hashValue="WvSmT2Ug8vF0okC7nV267fEUfrS5nifiGkxClj9GwwKpOKePNddFCTlJ5JD5wcZ+BeAiS2tXYM6fFhob9L+npA==" saltValue="ywdqGa8Ed6oEsIX/srY1XQ==" spinCount="100000" sheet="1" objects="1" scenario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17"/>
  <sheetViews>
    <sheetView workbookViewId="0">
      <pane ySplit="3" topLeftCell="A4" activePane="bottomLeft" state="frozen"/>
      <selection pane="bottomLeft" activeCell="E19" sqref="E19"/>
    </sheetView>
  </sheetViews>
  <sheetFormatPr defaultRowHeight="13.2"/>
  <cols>
    <col min="1" max="1" width="15.21875" customWidth="1"/>
    <col min="2" max="2" width="44.88671875" customWidth="1"/>
    <col min="3" max="7" width="19.21875" customWidth="1"/>
    <col min="8" max="8" width="9.21875" customWidth="1"/>
    <col min="9" max="9" width="18.44140625" bestFit="1" customWidth="1"/>
  </cols>
  <sheetData>
    <row r="1" spans="1:7">
      <c r="A1" s="5">
        <v>1</v>
      </c>
      <c r="B1" s="5">
        <v>2</v>
      </c>
      <c r="C1" s="5">
        <v>3</v>
      </c>
      <c r="D1" s="5">
        <v>4</v>
      </c>
      <c r="E1" s="5">
        <v>5</v>
      </c>
      <c r="F1" s="5">
        <v>6</v>
      </c>
      <c r="G1" s="5">
        <v>7</v>
      </c>
    </row>
    <row r="2" spans="1:7" ht="14.4">
      <c r="C2" s="49" t="s">
        <v>423</v>
      </c>
      <c r="D2" s="49" t="s">
        <v>478</v>
      </c>
      <c r="E2" s="49" t="s">
        <v>493</v>
      </c>
      <c r="F2" s="49" t="s">
        <v>502</v>
      </c>
      <c r="G2" s="49" t="s">
        <v>880</v>
      </c>
    </row>
    <row r="3" spans="1:7" ht="43.2">
      <c r="A3" s="49" t="s">
        <v>163</v>
      </c>
      <c r="B3" s="49" t="s">
        <v>164</v>
      </c>
      <c r="C3" s="49" t="s">
        <v>131</v>
      </c>
      <c r="D3" s="49" t="s">
        <v>131</v>
      </c>
      <c r="E3" s="49" t="s">
        <v>131</v>
      </c>
      <c r="F3" s="49" t="s">
        <v>131</v>
      </c>
      <c r="G3" s="49" t="s">
        <v>131</v>
      </c>
    </row>
    <row r="4" spans="1:7">
      <c r="A4" s="245">
        <v>10200</v>
      </c>
      <c r="B4" s="237" t="s">
        <v>546</v>
      </c>
      <c r="C4" s="249">
        <v>-478618</v>
      </c>
      <c r="D4" s="249">
        <v>-845741</v>
      </c>
      <c r="E4" s="249">
        <v>-76165</v>
      </c>
      <c r="F4" s="249">
        <v>383880</v>
      </c>
      <c r="G4" s="249">
        <v>0</v>
      </c>
    </row>
    <row r="5" spans="1:7">
      <c r="A5" s="246">
        <v>10400</v>
      </c>
      <c r="B5" s="229" t="s">
        <v>547</v>
      </c>
      <c r="C5" s="250">
        <v>-3012164</v>
      </c>
      <c r="D5" s="250">
        <v>-3944701</v>
      </c>
      <c r="E5" s="250">
        <v>-1598701</v>
      </c>
      <c r="F5" s="250">
        <v>1587635</v>
      </c>
      <c r="G5" s="250">
        <v>0</v>
      </c>
    </row>
    <row r="6" spans="1:7">
      <c r="A6" s="245">
        <v>10500</v>
      </c>
      <c r="B6" s="237" t="s">
        <v>548</v>
      </c>
      <c r="C6" s="249">
        <v>-1134529</v>
      </c>
      <c r="D6" s="249">
        <v>-1199316</v>
      </c>
      <c r="E6" s="249">
        <v>-688476</v>
      </c>
      <c r="F6" s="249">
        <v>-26655</v>
      </c>
      <c r="G6" s="249">
        <v>0</v>
      </c>
    </row>
    <row r="7" spans="1:7">
      <c r="A7" s="246">
        <v>10700</v>
      </c>
      <c r="B7" s="229" t="s">
        <v>549</v>
      </c>
      <c r="C7" s="250">
        <v>-4473494</v>
      </c>
      <c r="D7" s="250">
        <v>-7596834</v>
      </c>
      <c r="E7" s="250">
        <v>-3402439</v>
      </c>
      <c r="F7" s="250">
        <v>1676051</v>
      </c>
      <c r="G7" s="250">
        <v>0</v>
      </c>
    </row>
    <row r="8" spans="1:7">
      <c r="A8" s="245">
        <v>10800</v>
      </c>
      <c r="B8" s="237" t="s">
        <v>550</v>
      </c>
      <c r="C8" s="249">
        <v>-20151026</v>
      </c>
      <c r="D8" s="249">
        <v>-26043159</v>
      </c>
      <c r="E8" s="249">
        <v>-8394178</v>
      </c>
      <c r="F8" s="249">
        <v>11954068</v>
      </c>
      <c r="G8" s="249">
        <v>0</v>
      </c>
    </row>
    <row r="9" spans="1:7">
      <c r="A9" s="246">
        <v>10850</v>
      </c>
      <c r="B9" s="229" t="s">
        <v>551</v>
      </c>
      <c r="C9" s="250">
        <v>-200691</v>
      </c>
      <c r="D9" s="250">
        <v>-230154</v>
      </c>
      <c r="E9" s="250">
        <v>-80099</v>
      </c>
      <c r="F9" s="250">
        <v>204044</v>
      </c>
      <c r="G9" s="250">
        <v>0</v>
      </c>
    </row>
    <row r="10" spans="1:7">
      <c r="A10" s="245">
        <v>10900</v>
      </c>
      <c r="B10" s="237" t="s">
        <v>552</v>
      </c>
      <c r="C10" s="249">
        <v>-414233</v>
      </c>
      <c r="D10" s="249">
        <v>-1030212</v>
      </c>
      <c r="E10" s="249">
        <v>488061</v>
      </c>
      <c r="F10" s="249">
        <v>1016842</v>
      </c>
      <c r="G10" s="249">
        <v>0</v>
      </c>
    </row>
    <row r="11" spans="1:7">
      <c r="A11" s="246">
        <v>10910</v>
      </c>
      <c r="B11" s="229" t="s">
        <v>553</v>
      </c>
      <c r="C11" s="250">
        <v>720691</v>
      </c>
      <c r="D11" s="250">
        <v>417422</v>
      </c>
      <c r="E11" s="250">
        <v>661998</v>
      </c>
      <c r="F11" s="250">
        <v>579793</v>
      </c>
      <c r="G11" s="250">
        <v>0</v>
      </c>
    </row>
    <row r="12" spans="1:7">
      <c r="A12" s="245">
        <v>10930</v>
      </c>
      <c r="B12" s="237" t="s">
        <v>554</v>
      </c>
      <c r="C12" s="249">
        <v>13775199</v>
      </c>
      <c r="D12" s="249">
        <v>-1303713</v>
      </c>
      <c r="E12" s="249">
        <v>1425365</v>
      </c>
      <c r="F12" s="249">
        <v>4664370</v>
      </c>
      <c r="G12" s="249">
        <v>0</v>
      </c>
    </row>
    <row r="13" spans="1:7">
      <c r="A13" s="246">
        <v>10940</v>
      </c>
      <c r="B13" s="229" t="s">
        <v>555</v>
      </c>
      <c r="C13" s="250">
        <v>-282321</v>
      </c>
      <c r="D13" s="250">
        <v>-247775</v>
      </c>
      <c r="E13" s="250">
        <v>282568</v>
      </c>
      <c r="F13" s="250">
        <v>745547</v>
      </c>
      <c r="G13" s="250">
        <v>0</v>
      </c>
    </row>
    <row r="14" spans="1:7">
      <c r="A14" s="245">
        <v>10950</v>
      </c>
      <c r="B14" s="237" t="s">
        <v>556</v>
      </c>
      <c r="C14" s="249">
        <v>380338</v>
      </c>
      <c r="D14" s="249">
        <v>-345804</v>
      </c>
      <c r="E14" s="249">
        <v>532598</v>
      </c>
      <c r="F14" s="249">
        <v>1403927</v>
      </c>
      <c r="G14" s="249">
        <v>0</v>
      </c>
    </row>
    <row r="15" spans="1:7">
      <c r="A15" s="246">
        <v>11050</v>
      </c>
      <c r="B15" s="229" t="s">
        <v>557</v>
      </c>
      <c r="C15" s="250">
        <v>-202070</v>
      </c>
      <c r="D15" s="250">
        <v>-252241</v>
      </c>
      <c r="E15" s="250">
        <v>-182414</v>
      </c>
      <c r="F15" s="250">
        <v>82129</v>
      </c>
      <c r="G15" s="250">
        <v>0</v>
      </c>
    </row>
    <row r="16" spans="1:7">
      <c r="A16" s="245">
        <v>11300</v>
      </c>
      <c r="B16" s="237" t="s">
        <v>558</v>
      </c>
      <c r="C16" s="249">
        <v>-5166503</v>
      </c>
      <c r="D16" s="249">
        <v>-6953703</v>
      </c>
      <c r="E16" s="249">
        <v>-3031161</v>
      </c>
      <c r="F16" s="249">
        <v>1181914</v>
      </c>
      <c r="G16" s="249">
        <v>0</v>
      </c>
    </row>
    <row r="17" spans="1:7">
      <c r="A17" s="246">
        <v>11310</v>
      </c>
      <c r="B17" s="229" t="s">
        <v>559</v>
      </c>
      <c r="C17" s="250">
        <v>-488056</v>
      </c>
      <c r="D17" s="250">
        <v>-684814</v>
      </c>
      <c r="E17" s="250">
        <v>-270104</v>
      </c>
      <c r="F17" s="250">
        <v>153567</v>
      </c>
      <c r="G17" s="250">
        <v>0</v>
      </c>
    </row>
    <row r="18" spans="1:7">
      <c r="A18" s="245">
        <v>11600</v>
      </c>
      <c r="B18" s="237" t="s">
        <v>560</v>
      </c>
      <c r="C18" s="249">
        <v>-647336</v>
      </c>
      <c r="D18" s="249">
        <v>-2617393</v>
      </c>
      <c r="E18" s="249">
        <v>-1081543</v>
      </c>
      <c r="F18" s="249">
        <v>1431544</v>
      </c>
      <c r="G18" s="249">
        <v>0</v>
      </c>
    </row>
    <row r="19" spans="1:7">
      <c r="A19" s="246">
        <v>11900</v>
      </c>
      <c r="B19" s="229" t="s">
        <v>561</v>
      </c>
      <c r="C19" s="250">
        <v>545977</v>
      </c>
      <c r="D19" s="250">
        <v>200474</v>
      </c>
      <c r="E19" s="250">
        <v>408720</v>
      </c>
      <c r="F19" s="250">
        <v>-40004</v>
      </c>
      <c r="G19" s="250">
        <v>0</v>
      </c>
    </row>
    <row r="20" spans="1:7">
      <c r="A20" s="245">
        <v>12100</v>
      </c>
      <c r="B20" s="237" t="s">
        <v>562</v>
      </c>
      <c r="C20" s="249">
        <v>-62713</v>
      </c>
      <c r="D20" s="249">
        <v>-165667</v>
      </c>
      <c r="E20" s="249">
        <v>-58375</v>
      </c>
      <c r="F20" s="249">
        <v>204971</v>
      </c>
      <c r="G20" s="249">
        <v>0</v>
      </c>
    </row>
    <row r="21" spans="1:7">
      <c r="A21" s="246">
        <v>12150</v>
      </c>
      <c r="B21" s="229" t="s">
        <v>563</v>
      </c>
      <c r="C21" s="250">
        <v>-199456</v>
      </c>
      <c r="D21" s="250">
        <v>-221212</v>
      </c>
      <c r="E21" s="250">
        <v>-174254</v>
      </c>
      <c r="F21" s="250">
        <v>24704</v>
      </c>
      <c r="G21" s="250">
        <v>0</v>
      </c>
    </row>
    <row r="22" spans="1:7">
      <c r="A22" s="245">
        <v>12160</v>
      </c>
      <c r="B22" s="237" t="s">
        <v>564</v>
      </c>
      <c r="C22" s="249">
        <v>-2064909</v>
      </c>
      <c r="D22" s="249">
        <v>-2229724</v>
      </c>
      <c r="E22" s="249">
        <v>-1328726</v>
      </c>
      <c r="F22" s="249">
        <v>789511</v>
      </c>
      <c r="G22" s="249">
        <v>0</v>
      </c>
    </row>
    <row r="23" spans="1:7">
      <c r="A23" s="246">
        <v>12220</v>
      </c>
      <c r="B23" s="229" t="s">
        <v>565</v>
      </c>
      <c r="C23" s="250">
        <v>-68461088</v>
      </c>
      <c r="D23" s="250">
        <v>-81858897</v>
      </c>
      <c r="E23" s="250">
        <v>-46065952</v>
      </c>
      <c r="F23" s="250">
        <v>751146</v>
      </c>
      <c r="G23" s="250">
        <v>0</v>
      </c>
    </row>
    <row r="24" spans="1:7">
      <c r="A24" s="245">
        <v>12510</v>
      </c>
      <c r="B24" s="237" t="s">
        <v>566</v>
      </c>
      <c r="C24" s="249">
        <v>-4607187</v>
      </c>
      <c r="D24" s="249">
        <v>-5203811</v>
      </c>
      <c r="E24" s="249">
        <v>-939441</v>
      </c>
      <c r="F24" s="249">
        <v>-631325</v>
      </c>
      <c r="G24" s="249">
        <v>0</v>
      </c>
    </row>
    <row r="25" spans="1:7">
      <c r="A25" s="246">
        <v>12600</v>
      </c>
      <c r="B25" s="229" t="s">
        <v>567</v>
      </c>
      <c r="C25" s="250">
        <v>-2410130</v>
      </c>
      <c r="D25" s="250">
        <v>-3145028</v>
      </c>
      <c r="E25" s="250">
        <v>-1822253</v>
      </c>
      <c r="F25" s="250">
        <v>516678</v>
      </c>
      <c r="G25" s="250">
        <v>0</v>
      </c>
    </row>
    <row r="26" spans="1:7">
      <c r="A26" s="245">
        <v>12700</v>
      </c>
      <c r="B26" s="237" t="s">
        <v>568</v>
      </c>
      <c r="C26" s="249">
        <v>-1309438</v>
      </c>
      <c r="D26" s="249">
        <v>-1597437</v>
      </c>
      <c r="E26" s="249">
        <v>-448325</v>
      </c>
      <c r="F26" s="249">
        <v>745636</v>
      </c>
      <c r="G26" s="249">
        <v>0</v>
      </c>
    </row>
    <row r="27" spans="1:7">
      <c r="A27" s="246">
        <v>13500</v>
      </c>
      <c r="B27" s="229" t="s">
        <v>569</v>
      </c>
      <c r="C27" s="250">
        <v>-5548316</v>
      </c>
      <c r="D27" s="250">
        <v>-5925135</v>
      </c>
      <c r="E27" s="250">
        <v>-2435951</v>
      </c>
      <c r="F27" s="250">
        <v>1904885</v>
      </c>
      <c r="G27" s="250">
        <v>0</v>
      </c>
    </row>
    <row r="28" spans="1:7">
      <c r="A28" s="245">
        <v>13700</v>
      </c>
      <c r="B28" s="237" t="s">
        <v>570</v>
      </c>
      <c r="C28" s="249">
        <v>-447104</v>
      </c>
      <c r="D28" s="249">
        <v>-512866</v>
      </c>
      <c r="E28" s="249">
        <v>-189179</v>
      </c>
      <c r="F28" s="249">
        <v>339153</v>
      </c>
      <c r="G28" s="249">
        <v>0</v>
      </c>
    </row>
    <row r="29" spans="1:7">
      <c r="A29" s="246">
        <v>14300</v>
      </c>
      <c r="B29" s="229" t="s">
        <v>571</v>
      </c>
      <c r="C29" s="250">
        <v>-2310458</v>
      </c>
      <c r="D29" s="250">
        <v>-2297099</v>
      </c>
      <c r="E29" s="250">
        <v>-751842</v>
      </c>
      <c r="F29" s="250">
        <v>570278</v>
      </c>
      <c r="G29" s="250">
        <v>0</v>
      </c>
    </row>
    <row r="30" spans="1:7">
      <c r="A30" s="245">
        <v>14300.2</v>
      </c>
      <c r="B30" s="237" t="s">
        <v>572</v>
      </c>
      <c r="C30" s="249">
        <v>-14053</v>
      </c>
      <c r="D30" s="249">
        <v>-88280</v>
      </c>
      <c r="E30" s="249">
        <v>-278461</v>
      </c>
      <c r="F30" s="249">
        <v>107921</v>
      </c>
      <c r="G30" s="249">
        <v>0</v>
      </c>
    </row>
    <row r="31" spans="1:7">
      <c r="A31" s="246">
        <v>18400</v>
      </c>
      <c r="B31" s="229" t="s">
        <v>573</v>
      </c>
      <c r="C31" s="250">
        <v>-7649246</v>
      </c>
      <c r="D31" s="250">
        <v>-8798790</v>
      </c>
      <c r="E31" s="250">
        <v>-4298836</v>
      </c>
      <c r="F31" s="250">
        <v>1770881</v>
      </c>
      <c r="G31" s="250">
        <v>0</v>
      </c>
    </row>
    <row r="32" spans="1:7">
      <c r="A32" s="245">
        <v>18600</v>
      </c>
      <c r="B32" s="237" t="s">
        <v>574</v>
      </c>
      <c r="C32" s="249">
        <v>-37213</v>
      </c>
      <c r="D32" s="249">
        <v>-38952</v>
      </c>
      <c r="E32" s="249">
        <v>-20890</v>
      </c>
      <c r="F32" s="249">
        <v>-25929</v>
      </c>
      <c r="G32" s="249">
        <v>0</v>
      </c>
    </row>
    <row r="33" spans="1:7">
      <c r="A33" s="246">
        <v>18640</v>
      </c>
      <c r="B33" s="229" t="s">
        <v>575</v>
      </c>
      <c r="C33" s="250">
        <v>3981</v>
      </c>
      <c r="D33" s="250">
        <v>-59</v>
      </c>
      <c r="E33" s="250">
        <v>1926</v>
      </c>
      <c r="F33" s="250">
        <v>791</v>
      </c>
      <c r="G33" s="250">
        <v>0</v>
      </c>
    </row>
    <row r="34" spans="1:7">
      <c r="A34" s="245">
        <v>18690</v>
      </c>
      <c r="B34" s="237" t="s">
        <v>576</v>
      </c>
      <c r="C34" s="249">
        <v>0</v>
      </c>
      <c r="D34" s="249">
        <v>0</v>
      </c>
      <c r="E34" s="249">
        <v>0</v>
      </c>
      <c r="F34" s="249">
        <v>0</v>
      </c>
      <c r="G34" s="249">
        <v>0</v>
      </c>
    </row>
    <row r="35" spans="1:7">
      <c r="A35" s="246">
        <v>18740</v>
      </c>
      <c r="B35" s="229" t="s">
        <v>577</v>
      </c>
      <c r="C35" s="250">
        <v>-37821</v>
      </c>
      <c r="D35" s="250">
        <v>-37498</v>
      </c>
      <c r="E35" s="250">
        <v>5925</v>
      </c>
      <c r="F35" s="250">
        <v>2246</v>
      </c>
      <c r="G35" s="250">
        <v>0</v>
      </c>
    </row>
    <row r="36" spans="1:7">
      <c r="A36" s="245">
        <v>18780</v>
      </c>
      <c r="B36" s="237" t="s">
        <v>578</v>
      </c>
      <c r="C36" s="249">
        <v>7366</v>
      </c>
      <c r="D36" s="249">
        <v>-4192</v>
      </c>
      <c r="E36" s="249">
        <v>4271</v>
      </c>
      <c r="F36" s="249">
        <v>22333</v>
      </c>
      <c r="G36" s="249">
        <v>0</v>
      </c>
    </row>
    <row r="37" spans="1:7">
      <c r="A37" s="246">
        <v>19005</v>
      </c>
      <c r="B37" s="229" t="s">
        <v>579</v>
      </c>
      <c r="C37" s="250">
        <v>-211207</v>
      </c>
      <c r="D37" s="250">
        <v>-497741</v>
      </c>
      <c r="E37" s="250">
        <v>452508</v>
      </c>
      <c r="F37" s="250">
        <v>1273582</v>
      </c>
      <c r="G37" s="250">
        <v>0</v>
      </c>
    </row>
    <row r="38" spans="1:7">
      <c r="A38" s="245">
        <v>19100</v>
      </c>
      <c r="B38" s="237" t="s">
        <v>580</v>
      </c>
      <c r="C38" s="249">
        <v>-304282342</v>
      </c>
      <c r="D38" s="249">
        <v>-318656851</v>
      </c>
      <c r="E38" s="249">
        <v>-299343080</v>
      </c>
      <c r="F38" s="249">
        <v>-273828238</v>
      </c>
      <c r="G38" s="249">
        <v>0</v>
      </c>
    </row>
    <row r="39" spans="1:7">
      <c r="A39" s="246">
        <v>19120</v>
      </c>
      <c r="B39" s="229" t="s">
        <v>884</v>
      </c>
      <c r="C39" s="250">
        <v>217781122</v>
      </c>
      <c r="D39" s="250">
        <v>204886533</v>
      </c>
      <c r="E39" s="250">
        <v>246218954</v>
      </c>
      <c r="F39" s="250">
        <v>305505812</v>
      </c>
      <c r="G39" s="250">
        <v>0</v>
      </c>
    </row>
    <row r="40" spans="1:7">
      <c r="A40" s="245">
        <v>20100</v>
      </c>
      <c r="B40" s="237" t="s">
        <v>581</v>
      </c>
      <c r="C40" s="249">
        <v>-11457309</v>
      </c>
      <c r="D40" s="249">
        <v>-16869340</v>
      </c>
      <c r="E40" s="249">
        <v>-6938850</v>
      </c>
      <c r="F40" s="249">
        <v>7955929</v>
      </c>
      <c r="G40" s="249">
        <v>0</v>
      </c>
    </row>
    <row r="41" spans="1:7">
      <c r="A41" s="246">
        <v>20200</v>
      </c>
      <c r="B41" s="229" t="s">
        <v>582</v>
      </c>
      <c r="C41" s="250">
        <v>-1854050</v>
      </c>
      <c r="D41" s="250">
        <v>-2995720</v>
      </c>
      <c r="E41" s="250">
        <v>-1554810</v>
      </c>
      <c r="F41" s="250">
        <v>800777</v>
      </c>
      <c r="G41" s="250">
        <v>0</v>
      </c>
    </row>
    <row r="42" spans="1:7">
      <c r="A42" s="245">
        <v>20300</v>
      </c>
      <c r="B42" s="237" t="s">
        <v>583</v>
      </c>
      <c r="C42" s="249">
        <v>-46788490</v>
      </c>
      <c r="D42" s="249">
        <v>-54152945</v>
      </c>
      <c r="E42" s="249">
        <v>-32830643</v>
      </c>
      <c r="F42" s="249">
        <v>8851074</v>
      </c>
      <c r="G42" s="249">
        <v>0</v>
      </c>
    </row>
    <row r="43" spans="1:7">
      <c r="A43" s="246">
        <v>20400</v>
      </c>
      <c r="B43" s="229" t="s">
        <v>584</v>
      </c>
      <c r="C43" s="250">
        <v>-1114923</v>
      </c>
      <c r="D43" s="250">
        <v>-1483792</v>
      </c>
      <c r="E43" s="250">
        <v>-544061</v>
      </c>
      <c r="F43" s="250">
        <v>907614</v>
      </c>
      <c r="G43" s="250">
        <v>0</v>
      </c>
    </row>
    <row r="44" spans="1:7">
      <c r="A44" s="245">
        <v>20600</v>
      </c>
      <c r="B44" s="237" t="s">
        <v>585</v>
      </c>
      <c r="C44" s="249">
        <v>-5540877</v>
      </c>
      <c r="D44" s="249">
        <v>-6802767</v>
      </c>
      <c r="E44" s="249">
        <v>-2997478</v>
      </c>
      <c r="F44" s="249">
        <v>1449549</v>
      </c>
      <c r="G44" s="249">
        <v>0</v>
      </c>
    </row>
    <row r="45" spans="1:7">
      <c r="A45" s="246">
        <v>20700</v>
      </c>
      <c r="B45" s="229" t="s">
        <v>586</v>
      </c>
      <c r="C45" s="250">
        <v>-8524195</v>
      </c>
      <c r="D45" s="250">
        <v>-10801205</v>
      </c>
      <c r="E45" s="250">
        <v>-5957904</v>
      </c>
      <c r="F45" s="250">
        <v>1885883</v>
      </c>
      <c r="G45" s="250">
        <v>0</v>
      </c>
    </row>
    <row r="46" spans="1:7">
      <c r="A46" s="245">
        <v>20800</v>
      </c>
      <c r="B46" s="237" t="s">
        <v>587</v>
      </c>
      <c r="C46" s="249">
        <v>-9309071</v>
      </c>
      <c r="D46" s="249">
        <v>-10238603</v>
      </c>
      <c r="E46" s="249">
        <v>-5932600</v>
      </c>
      <c r="F46" s="249">
        <v>-209270</v>
      </c>
      <c r="G46" s="249">
        <v>0</v>
      </c>
    </row>
    <row r="47" spans="1:7">
      <c r="A47" s="246">
        <v>20900</v>
      </c>
      <c r="B47" s="229" t="s">
        <v>588</v>
      </c>
      <c r="C47" s="250">
        <v>-12760022</v>
      </c>
      <c r="D47" s="250">
        <v>-19670831</v>
      </c>
      <c r="E47" s="250">
        <v>-11965870</v>
      </c>
      <c r="F47" s="250">
        <v>2112683</v>
      </c>
      <c r="G47" s="250">
        <v>0</v>
      </c>
    </row>
    <row r="48" spans="1:7">
      <c r="A48" s="245">
        <v>21200</v>
      </c>
      <c r="B48" s="237" t="s">
        <v>589</v>
      </c>
      <c r="C48" s="249">
        <v>-4210551</v>
      </c>
      <c r="D48" s="249">
        <v>-5496041</v>
      </c>
      <c r="E48" s="249">
        <v>-3340092</v>
      </c>
      <c r="F48" s="249">
        <v>1781087</v>
      </c>
      <c r="G48" s="249">
        <v>0</v>
      </c>
    </row>
    <row r="49" spans="1:7">
      <c r="A49" s="246">
        <v>21300</v>
      </c>
      <c r="B49" s="229" t="s">
        <v>590</v>
      </c>
      <c r="C49" s="250">
        <v>-60262430</v>
      </c>
      <c r="D49" s="250">
        <v>-74417616</v>
      </c>
      <c r="E49" s="250">
        <v>-40392757</v>
      </c>
      <c r="F49" s="250">
        <v>22849502</v>
      </c>
      <c r="G49" s="250">
        <v>0</v>
      </c>
    </row>
    <row r="50" spans="1:7">
      <c r="A50" s="245">
        <v>21520</v>
      </c>
      <c r="B50" s="237" t="s">
        <v>47</v>
      </c>
      <c r="C50" s="249">
        <v>-75230973</v>
      </c>
      <c r="D50" s="249">
        <v>-106564491</v>
      </c>
      <c r="E50" s="249">
        <v>-42265037</v>
      </c>
      <c r="F50" s="249">
        <v>42108189</v>
      </c>
      <c r="G50" s="249">
        <v>0</v>
      </c>
    </row>
    <row r="51" spans="1:7" ht="16.05" customHeight="1">
      <c r="A51" s="246">
        <v>21525</v>
      </c>
      <c r="B51" s="229" t="s">
        <v>591</v>
      </c>
      <c r="C51" s="250">
        <v>-1038055</v>
      </c>
      <c r="D51" s="250">
        <v>-1722539</v>
      </c>
      <c r="E51" s="250">
        <v>-317579</v>
      </c>
      <c r="F51" s="250">
        <v>631907</v>
      </c>
      <c r="G51" s="250">
        <v>0</v>
      </c>
    </row>
    <row r="52" spans="1:7">
      <c r="A52" s="245">
        <v>21525.200000000001</v>
      </c>
      <c r="B52" s="237" t="s">
        <v>592</v>
      </c>
      <c r="C52" s="249">
        <v>206323</v>
      </c>
      <c r="D52" s="249">
        <v>168652</v>
      </c>
      <c r="E52" s="249">
        <v>223918</v>
      </c>
      <c r="F52" s="249">
        <v>242650</v>
      </c>
      <c r="G52" s="249">
        <v>0</v>
      </c>
    </row>
    <row r="53" spans="1:7">
      <c r="A53" s="246">
        <v>21550</v>
      </c>
      <c r="B53" s="229" t="s">
        <v>593</v>
      </c>
      <c r="C53" s="250">
        <v>-29859416</v>
      </c>
      <c r="D53" s="250">
        <v>-66055767</v>
      </c>
      <c r="E53" s="250">
        <v>-35555491</v>
      </c>
      <c r="F53" s="250">
        <v>8970166</v>
      </c>
      <c r="G53" s="250">
        <v>0</v>
      </c>
    </row>
    <row r="54" spans="1:7">
      <c r="A54" s="245">
        <v>21570</v>
      </c>
      <c r="B54" s="237" t="s">
        <v>594</v>
      </c>
      <c r="C54" s="249">
        <v>-104240</v>
      </c>
      <c r="D54" s="249">
        <v>-304011</v>
      </c>
      <c r="E54" s="249">
        <v>-160498</v>
      </c>
      <c r="F54" s="249">
        <v>-7852</v>
      </c>
      <c r="G54" s="249">
        <v>0</v>
      </c>
    </row>
    <row r="55" spans="1:7">
      <c r="A55" s="246">
        <v>21800</v>
      </c>
      <c r="B55" s="229" t="s">
        <v>595</v>
      </c>
      <c r="C55" s="250">
        <v>-8361368</v>
      </c>
      <c r="D55" s="250">
        <v>-11181458</v>
      </c>
      <c r="E55" s="250">
        <v>-6044274</v>
      </c>
      <c r="F55" s="250">
        <v>2089026</v>
      </c>
      <c r="G55" s="250">
        <v>0</v>
      </c>
    </row>
    <row r="56" spans="1:7">
      <c r="A56" s="245">
        <v>21900</v>
      </c>
      <c r="B56" s="237" t="s">
        <v>596</v>
      </c>
      <c r="C56" s="249">
        <v>-7935705</v>
      </c>
      <c r="D56" s="249">
        <v>-7628157</v>
      </c>
      <c r="E56" s="249">
        <v>-4031102</v>
      </c>
      <c r="F56" s="249">
        <v>938133</v>
      </c>
      <c r="G56" s="249">
        <v>0</v>
      </c>
    </row>
    <row r="57" spans="1:7">
      <c r="A57" s="246">
        <v>22000</v>
      </c>
      <c r="B57" s="229" t="s">
        <v>597</v>
      </c>
      <c r="C57" s="250">
        <v>-1861474</v>
      </c>
      <c r="D57" s="250">
        <v>-880283</v>
      </c>
      <c r="E57" s="250">
        <v>2388800</v>
      </c>
      <c r="F57" s="250">
        <v>3414332</v>
      </c>
      <c r="G57" s="250">
        <v>0</v>
      </c>
    </row>
    <row r="58" spans="1:7">
      <c r="A58" s="245">
        <v>23000</v>
      </c>
      <c r="B58" s="237" t="s">
        <v>598</v>
      </c>
      <c r="C58" s="249">
        <v>-5511454</v>
      </c>
      <c r="D58" s="249">
        <v>-5908020</v>
      </c>
      <c r="E58" s="249">
        <v>-3343392</v>
      </c>
      <c r="F58" s="249">
        <v>800793</v>
      </c>
      <c r="G58" s="249">
        <v>0</v>
      </c>
    </row>
    <row r="59" spans="1:7">
      <c r="A59" s="246">
        <v>23100</v>
      </c>
      <c r="B59" s="229" t="s">
        <v>599</v>
      </c>
      <c r="C59" s="250">
        <v>-20224180</v>
      </c>
      <c r="D59" s="250">
        <v>-30120690</v>
      </c>
      <c r="E59" s="250">
        <v>-16692834</v>
      </c>
      <c r="F59" s="250">
        <v>6784456</v>
      </c>
      <c r="G59" s="250">
        <v>0</v>
      </c>
    </row>
    <row r="60" spans="1:7">
      <c r="A60" s="245">
        <v>23200</v>
      </c>
      <c r="B60" s="237" t="s">
        <v>600</v>
      </c>
      <c r="C60" s="249">
        <v>-4377171</v>
      </c>
      <c r="D60" s="249">
        <v>-12359295</v>
      </c>
      <c r="E60" s="249">
        <v>-4284055</v>
      </c>
      <c r="F60" s="249">
        <v>5503008</v>
      </c>
      <c r="G60" s="249">
        <v>0</v>
      </c>
    </row>
    <row r="61" spans="1:7">
      <c r="A61" s="246">
        <v>30000</v>
      </c>
      <c r="B61" s="229" t="s">
        <v>601</v>
      </c>
      <c r="C61" s="250">
        <v>-1827139</v>
      </c>
      <c r="D61" s="250">
        <v>-1514151</v>
      </c>
      <c r="E61" s="250">
        <v>-642192</v>
      </c>
      <c r="F61" s="250">
        <v>669576</v>
      </c>
      <c r="G61" s="250">
        <v>0</v>
      </c>
    </row>
    <row r="62" spans="1:7">
      <c r="A62" s="245">
        <v>30100</v>
      </c>
      <c r="B62" s="237" t="s">
        <v>602</v>
      </c>
      <c r="C62" s="249">
        <v>-11716315</v>
      </c>
      <c r="D62" s="249">
        <v>-12469513</v>
      </c>
      <c r="E62" s="249">
        <v>-5586374</v>
      </c>
      <c r="F62" s="249">
        <v>1773117</v>
      </c>
      <c r="G62" s="249">
        <v>0</v>
      </c>
    </row>
    <row r="63" spans="1:7">
      <c r="A63" s="246">
        <v>30102</v>
      </c>
      <c r="B63" s="229" t="s">
        <v>603</v>
      </c>
      <c r="C63" s="250">
        <v>-13604</v>
      </c>
      <c r="D63" s="250">
        <v>-66869</v>
      </c>
      <c r="E63" s="250">
        <v>95761</v>
      </c>
      <c r="F63" s="250">
        <v>261516</v>
      </c>
      <c r="G63" s="250">
        <v>0</v>
      </c>
    </row>
    <row r="64" spans="1:7">
      <c r="A64" s="245">
        <v>30103</v>
      </c>
      <c r="B64" s="237" t="s">
        <v>604</v>
      </c>
      <c r="C64" s="249">
        <v>-126911</v>
      </c>
      <c r="D64" s="249">
        <v>-218919</v>
      </c>
      <c r="E64" s="249">
        <v>-175807</v>
      </c>
      <c r="F64" s="249">
        <v>179681</v>
      </c>
      <c r="G64" s="249">
        <v>0</v>
      </c>
    </row>
    <row r="65" spans="1:7">
      <c r="A65" s="246">
        <v>30104</v>
      </c>
      <c r="B65" s="229" t="s">
        <v>605</v>
      </c>
      <c r="C65" s="250">
        <v>-109251</v>
      </c>
      <c r="D65" s="250">
        <v>-57848</v>
      </c>
      <c r="E65" s="250">
        <v>148283</v>
      </c>
      <c r="F65" s="250">
        <v>67530</v>
      </c>
      <c r="G65" s="250">
        <v>0</v>
      </c>
    </row>
    <row r="66" spans="1:7">
      <c r="A66" s="245">
        <v>30105</v>
      </c>
      <c r="B66" s="237" t="s">
        <v>606</v>
      </c>
      <c r="C66" s="249">
        <v>-1572661</v>
      </c>
      <c r="D66" s="249">
        <v>-1619367</v>
      </c>
      <c r="E66" s="249">
        <v>-550449</v>
      </c>
      <c r="F66" s="249">
        <v>264889</v>
      </c>
      <c r="G66" s="249">
        <v>0</v>
      </c>
    </row>
    <row r="67" spans="1:7">
      <c r="A67" s="246">
        <v>30200</v>
      </c>
      <c r="B67" s="229" t="s">
        <v>607</v>
      </c>
      <c r="C67" s="250">
        <v>-2853944</v>
      </c>
      <c r="D67" s="250">
        <v>-3062124</v>
      </c>
      <c r="E67" s="250">
        <v>-1301141</v>
      </c>
      <c r="F67" s="250">
        <v>495187</v>
      </c>
      <c r="G67" s="250">
        <v>0</v>
      </c>
    </row>
    <row r="68" spans="1:7">
      <c r="A68" s="245">
        <v>30300</v>
      </c>
      <c r="B68" s="237" t="s">
        <v>608</v>
      </c>
      <c r="C68" s="249">
        <v>-710067</v>
      </c>
      <c r="D68" s="249">
        <v>-872888</v>
      </c>
      <c r="E68" s="249">
        <v>-283375</v>
      </c>
      <c r="F68" s="249">
        <v>524678</v>
      </c>
      <c r="G68" s="249">
        <v>0</v>
      </c>
    </row>
    <row r="69" spans="1:7">
      <c r="A69" s="246">
        <v>30400</v>
      </c>
      <c r="B69" s="229" t="s">
        <v>609</v>
      </c>
      <c r="C69" s="250">
        <v>-1385637</v>
      </c>
      <c r="D69" s="250">
        <v>-1502473</v>
      </c>
      <c r="E69" s="250">
        <v>-593307</v>
      </c>
      <c r="F69" s="250">
        <v>901903</v>
      </c>
      <c r="G69" s="250">
        <v>0</v>
      </c>
    </row>
    <row r="70" spans="1:7">
      <c r="A70" s="245">
        <v>30405</v>
      </c>
      <c r="B70" s="237" t="s">
        <v>610</v>
      </c>
      <c r="C70" s="249">
        <v>-1416939</v>
      </c>
      <c r="D70" s="249">
        <v>-1055316</v>
      </c>
      <c r="E70" s="249">
        <v>-406866</v>
      </c>
      <c r="F70" s="249">
        <v>223514</v>
      </c>
      <c r="G70" s="249">
        <v>0</v>
      </c>
    </row>
    <row r="71" spans="1:7">
      <c r="A71" s="246">
        <v>30500</v>
      </c>
      <c r="B71" s="229" t="s">
        <v>611</v>
      </c>
      <c r="C71" s="250">
        <v>-1911006</v>
      </c>
      <c r="D71" s="250">
        <v>-2027839</v>
      </c>
      <c r="E71" s="250">
        <v>-884092</v>
      </c>
      <c r="F71" s="250">
        <v>1034928</v>
      </c>
      <c r="G71" s="250">
        <v>0</v>
      </c>
    </row>
    <row r="72" spans="1:7">
      <c r="A72" s="245">
        <v>30600</v>
      </c>
      <c r="B72" s="237" t="s">
        <v>612</v>
      </c>
      <c r="C72" s="249">
        <v>-1437986</v>
      </c>
      <c r="D72" s="249">
        <v>-1287128</v>
      </c>
      <c r="E72" s="249">
        <v>-348978</v>
      </c>
      <c r="F72" s="249">
        <v>604475</v>
      </c>
      <c r="G72" s="249">
        <v>0</v>
      </c>
    </row>
    <row r="73" spans="1:7">
      <c r="A73" s="246">
        <v>30601</v>
      </c>
      <c r="B73" s="229" t="s">
        <v>613</v>
      </c>
      <c r="C73" s="250">
        <v>-147487</v>
      </c>
      <c r="D73" s="250">
        <v>-43359</v>
      </c>
      <c r="E73" s="250">
        <v>-101885</v>
      </c>
      <c r="F73" s="250">
        <v>0</v>
      </c>
      <c r="G73" s="250">
        <v>0</v>
      </c>
    </row>
    <row r="74" spans="1:7">
      <c r="A74" s="245">
        <v>30700</v>
      </c>
      <c r="B74" s="237" t="s">
        <v>614</v>
      </c>
      <c r="C74" s="249">
        <v>-3391320</v>
      </c>
      <c r="D74" s="249">
        <v>-3389267</v>
      </c>
      <c r="E74" s="249">
        <v>-1151358</v>
      </c>
      <c r="F74" s="249">
        <v>345883</v>
      </c>
      <c r="G74" s="249">
        <v>0</v>
      </c>
    </row>
    <row r="75" spans="1:7">
      <c r="A75" s="246">
        <v>30705</v>
      </c>
      <c r="B75" s="229" t="s">
        <v>615</v>
      </c>
      <c r="C75" s="250">
        <v>-544434</v>
      </c>
      <c r="D75" s="250">
        <v>-635341</v>
      </c>
      <c r="E75" s="250">
        <v>-197002</v>
      </c>
      <c r="F75" s="250">
        <v>309951</v>
      </c>
      <c r="G75" s="250">
        <v>0</v>
      </c>
    </row>
    <row r="76" spans="1:7">
      <c r="A76" s="245">
        <v>30800</v>
      </c>
      <c r="B76" s="237" t="s">
        <v>616</v>
      </c>
      <c r="C76" s="249">
        <v>-1739975</v>
      </c>
      <c r="D76" s="249">
        <v>-1733039</v>
      </c>
      <c r="E76" s="249">
        <v>-877347</v>
      </c>
      <c r="F76" s="249">
        <v>277488</v>
      </c>
      <c r="G76" s="249">
        <v>0</v>
      </c>
    </row>
    <row r="77" spans="1:7">
      <c r="A77" s="246">
        <v>30900</v>
      </c>
      <c r="B77" s="229" t="s">
        <v>617</v>
      </c>
      <c r="C77" s="250">
        <v>-1577112</v>
      </c>
      <c r="D77" s="250">
        <v>-1535091</v>
      </c>
      <c r="E77" s="250">
        <v>-26873</v>
      </c>
      <c r="F77" s="250">
        <v>2278329</v>
      </c>
      <c r="G77" s="250">
        <v>0</v>
      </c>
    </row>
    <row r="78" spans="1:7">
      <c r="A78" s="245">
        <v>30905</v>
      </c>
      <c r="B78" s="237" t="s">
        <v>618</v>
      </c>
      <c r="C78" s="249">
        <v>-516655</v>
      </c>
      <c r="D78" s="249">
        <v>-587251</v>
      </c>
      <c r="E78" s="249">
        <v>-370039</v>
      </c>
      <c r="F78" s="249">
        <v>54207</v>
      </c>
      <c r="G78" s="249">
        <v>0</v>
      </c>
    </row>
    <row r="79" spans="1:7">
      <c r="A79" s="246">
        <v>31000</v>
      </c>
      <c r="B79" s="229" t="s">
        <v>619</v>
      </c>
      <c r="C79" s="250">
        <v>-6515390</v>
      </c>
      <c r="D79" s="250">
        <v>-7064483</v>
      </c>
      <c r="E79" s="250">
        <v>-2982672</v>
      </c>
      <c r="F79" s="250">
        <v>2226826</v>
      </c>
      <c r="G79" s="250">
        <v>0</v>
      </c>
    </row>
    <row r="80" spans="1:7">
      <c r="A80" s="245">
        <v>31005</v>
      </c>
      <c r="B80" s="237" t="s">
        <v>620</v>
      </c>
      <c r="C80" s="249">
        <v>-446438</v>
      </c>
      <c r="D80" s="249">
        <v>-547195</v>
      </c>
      <c r="E80" s="249">
        <v>-77273</v>
      </c>
      <c r="F80" s="249">
        <v>271310</v>
      </c>
      <c r="G80" s="249">
        <v>0</v>
      </c>
    </row>
    <row r="81" spans="1:7">
      <c r="A81" s="246">
        <v>31100</v>
      </c>
      <c r="B81" s="229" t="s">
        <v>621</v>
      </c>
      <c r="C81" s="250">
        <v>-15780588</v>
      </c>
      <c r="D81" s="250">
        <v>-16912502</v>
      </c>
      <c r="E81" s="250">
        <v>-8079631</v>
      </c>
      <c r="F81" s="250">
        <v>5794765</v>
      </c>
      <c r="G81" s="250">
        <v>0</v>
      </c>
    </row>
    <row r="82" spans="1:7">
      <c r="A82" s="245">
        <v>31101</v>
      </c>
      <c r="B82" s="237" t="s">
        <v>622</v>
      </c>
      <c r="C82" s="249">
        <v>-77668</v>
      </c>
      <c r="D82" s="249">
        <v>-41780</v>
      </c>
      <c r="E82" s="249">
        <v>29146</v>
      </c>
      <c r="F82" s="249">
        <v>73003</v>
      </c>
      <c r="G82" s="249">
        <v>0</v>
      </c>
    </row>
    <row r="83" spans="1:7">
      <c r="A83" s="246">
        <v>31102</v>
      </c>
      <c r="B83" s="229" t="s">
        <v>623</v>
      </c>
      <c r="C83" s="250">
        <v>-281106</v>
      </c>
      <c r="D83" s="250">
        <v>-380584</v>
      </c>
      <c r="E83" s="250">
        <v>-152820</v>
      </c>
      <c r="F83" s="250">
        <v>101217</v>
      </c>
      <c r="G83" s="250">
        <v>0</v>
      </c>
    </row>
    <row r="84" spans="1:7">
      <c r="A84" s="245">
        <v>31105</v>
      </c>
      <c r="B84" s="237" t="s">
        <v>624</v>
      </c>
      <c r="C84" s="249">
        <v>-2614762</v>
      </c>
      <c r="D84" s="249">
        <v>-2751970</v>
      </c>
      <c r="E84" s="249">
        <v>-1122945</v>
      </c>
      <c r="F84" s="249">
        <v>595103</v>
      </c>
      <c r="G84" s="249">
        <v>0</v>
      </c>
    </row>
    <row r="85" spans="1:7">
      <c r="A85" s="246">
        <v>31110</v>
      </c>
      <c r="B85" s="229" t="s">
        <v>625</v>
      </c>
      <c r="C85" s="250">
        <v>-3855463</v>
      </c>
      <c r="D85" s="250">
        <v>-4697837</v>
      </c>
      <c r="E85" s="250">
        <v>-2731935</v>
      </c>
      <c r="F85" s="250">
        <v>696741</v>
      </c>
      <c r="G85" s="250">
        <v>0</v>
      </c>
    </row>
    <row r="86" spans="1:7">
      <c r="A86" s="245">
        <v>31200</v>
      </c>
      <c r="B86" s="237" t="s">
        <v>626</v>
      </c>
      <c r="C86" s="249">
        <v>-6334552</v>
      </c>
      <c r="D86" s="249">
        <v>-6431906</v>
      </c>
      <c r="E86" s="249">
        <v>-2969248</v>
      </c>
      <c r="F86" s="249">
        <v>2232489</v>
      </c>
      <c r="G86" s="249">
        <v>0</v>
      </c>
    </row>
    <row r="87" spans="1:7">
      <c r="A87" s="246">
        <v>31205</v>
      </c>
      <c r="B87" s="229" t="s">
        <v>627</v>
      </c>
      <c r="C87" s="250">
        <v>-856057</v>
      </c>
      <c r="D87" s="250">
        <v>-794325</v>
      </c>
      <c r="E87" s="250">
        <v>-230276</v>
      </c>
      <c r="F87" s="250">
        <v>216872</v>
      </c>
      <c r="G87" s="250">
        <v>0</v>
      </c>
    </row>
    <row r="88" spans="1:7">
      <c r="A88" s="245">
        <v>31300</v>
      </c>
      <c r="B88" s="237" t="s">
        <v>628</v>
      </c>
      <c r="C88" s="249">
        <v>-15649754</v>
      </c>
      <c r="D88" s="249">
        <v>-18015742</v>
      </c>
      <c r="E88" s="249">
        <v>-8278650</v>
      </c>
      <c r="F88" s="249">
        <v>6749172</v>
      </c>
      <c r="G88" s="249">
        <v>0</v>
      </c>
    </row>
    <row r="89" spans="1:7">
      <c r="A89" s="246">
        <v>31301</v>
      </c>
      <c r="B89" s="229" t="s">
        <v>629</v>
      </c>
      <c r="C89" s="250">
        <v>-807808</v>
      </c>
      <c r="D89" s="250">
        <v>-743844</v>
      </c>
      <c r="E89" s="250">
        <v>-540237</v>
      </c>
      <c r="F89" s="250">
        <v>-165676</v>
      </c>
      <c r="G89" s="250">
        <v>0</v>
      </c>
    </row>
    <row r="90" spans="1:7">
      <c r="A90" s="245">
        <v>31320</v>
      </c>
      <c r="B90" s="237" t="s">
        <v>630</v>
      </c>
      <c r="C90" s="249">
        <v>-3159041</v>
      </c>
      <c r="D90" s="249">
        <v>-3680677</v>
      </c>
      <c r="E90" s="249">
        <v>-1560362</v>
      </c>
      <c r="F90" s="249">
        <v>1286103</v>
      </c>
      <c r="G90" s="249">
        <v>0</v>
      </c>
    </row>
    <row r="91" spans="1:7">
      <c r="A91" s="246">
        <v>31400</v>
      </c>
      <c r="B91" s="229" t="s">
        <v>631</v>
      </c>
      <c r="C91" s="250">
        <v>-8243931</v>
      </c>
      <c r="D91" s="250">
        <v>-7961689</v>
      </c>
      <c r="E91" s="250">
        <v>-3348500</v>
      </c>
      <c r="F91" s="250">
        <v>1719686</v>
      </c>
      <c r="G91" s="250">
        <v>0</v>
      </c>
    </row>
    <row r="92" spans="1:7">
      <c r="A92" s="245">
        <v>31405</v>
      </c>
      <c r="B92" s="237" t="s">
        <v>632</v>
      </c>
      <c r="C92" s="249">
        <v>-1272933</v>
      </c>
      <c r="D92" s="249">
        <v>-1203437</v>
      </c>
      <c r="E92" s="249">
        <v>-216582</v>
      </c>
      <c r="F92" s="249">
        <v>496140</v>
      </c>
      <c r="G92" s="249">
        <v>0</v>
      </c>
    </row>
    <row r="93" spans="1:7">
      <c r="A93" s="246">
        <v>31500</v>
      </c>
      <c r="B93" s="229" t="s">
        <v>633</v>
      </c>
      <c r="C93" s="250">
        <v>-359200</v>
      </c>
      <c r="D93" s="250">
        <v>-652911</v>
      </c>
      <c r="E93" s="250">
        <v>189179</v>
      </c>
      <c r="F93" s="250">
        <v>539786</v>
      </c>
      <c r="G93" s="250">
        <v>0</v>
      </c>
    </row>
    <row r="94" spans="1:7">
      <c r="A94" s="245">
        <v>31600</v>
      </c>
      <c r="B94" s="237" t="s">
        <v>634</v>
      </c>
      <c r="C94" s="249">
        <v>-4070046</v>
      </c>
      <c r="D94" s="249">
        <v>-4606651</v>
      </c>
      <c r="E94" s="249">
        <v>-1802848</v>
      </c>
      <c r="F94" s="249">
        <v>959374</v>
      </c>
      <c r="G94" s="249">
        <v>0</v>
      </c>
    </row>
    <row r="95" spans="1:7">
      <c r="A95" s="246">
        <v>31605</v>
      </c>
      <c r="B95" s="229" t="s">
        <v>635</v>
      </c>
      <c r="C95" s="250">
        <v>-444180</v>
      </c>
      <c r="D95" s="250">
        <v>-539463</v>
      </c>
      <c r="E95" s="250">
        <v>-212278</v>
      </c>
      <c r="F95" s="250">
        <v>251537</v>
      </c>
      <c r="G95" s="250">
        <v>0</v>
      </c>
    </row>
    <row r="96" spans="1:7">
      <c r="A96" s="245">
        <v>31700</v>
      </c>
      <c r="B96" s="237" t="s">
        <v>636</v>
      </c>
      <c r="C96" s="249">
        <v>-1994515</v>
      </c>
      <c r="D96" s="249">
        <v>-1849321</v>
      </c>
      <c r="E96" s="249">
        <v>-811704</v>
      </c>
      <c r="F96" s="249">
        <v>597158</v>
      </c>
      <c r="G96" s="249">
        <v>0</v>
      </c>
    </row>
    <row r="97" spans="1:7">
      <c r="A97" s="246">
        <v>31800</v>
      </c>
      <c r="B97" s="229" t="s">
        <v>637</v>
      </c>
      <c r="C97" s="250">
        <v>-6731553</v>
      </c>
      <c r="D97" s="250">
        <v>-7047909</v>
      </c>
      <c r="E97" s="250">
        <v>-2366026</v>
      </c>
      <c r="F97" s="250">
        <v>3107043</v>
      </c>
      <c r="G97" s="250">
        <v>0</v>
      </c>
    </row>
    <row r="98" spans="1:7">
      <c r="A98" s="245">
        <v>31805</v>
      </c>
      <c r="B98" s="237" t="s">
        <v>638</v>
      </c>
      <c r="C98" s="249">
        <v>-718684</v>
      </c>
      <c r="D98" s="249">
        <v>-1131718</v>
      </c>
      <c r="E98" s="249">
        <v>-71714</v>
      </c>
      <c r="F98" s="249">
        <v>693097</v>
      </c>
      <c r="G98" s="249">
        <v>0</v>
      </c>
    </row>
    <row r="99" spans="1:7">
      <c r="A99" s="246">
        <v>31810</v>
      </c>
      <c r="B99" s="229" t="s">
        <v>639</v>
      </c>
      <c r="C99" s="250">
        <v>-3127248</v>
      </c>
      <c r="D99" s="250">
        <v>-2733906</v>
      </c>
      <c r="E99" s="250">
        <v>-1403163</v>
      </c>
      <c r="F99" s="250">
        <v>181527</v>
      </c>
      <c r="G99" s="250">
        <v>0</v>
      </c>
    </row>
    <row r="100" spans="1:7">
      <c r="A100" s="245">
        <v>31820</v>
      </c>
      <c r="B100" s="237" t="s">
        <v>640</v>
      </c>
      <c r="C100" s="249">
        <v>-2671487</v>
      </c>
      <c r="D100" s="249">
        <v>-2486286</v>
      </c>
      <c r="E100" s="249">
        <v>-1297524</v>
      </c>
      <c r="F100" s="249">
        <v>286762</v>
      </c>
      <c r="G100" s="249">
        <v>0</v>
      </c>
    </row>
    <row r="101" spans="1:7">
      <c r="A101" s="246">
        <v>31900</v>
      </c>
      <c r="B101" s="229" t="s">
        <v>641</v>
      </c>
      <c r="C101" s="250">
        <v>-4883655</v>
      </c>
      <c r="D101" s="250">
        <v>-5588007</v>
      </c>
      <c r="E101" s="250">
        <v>-3035495</v>
      </c>
      <c r="F101" s="250">
        <v>1509245</v>
      </c>
      <c r="G101" s="250">
        <v>0</v>
      </c>
    </row>
    <row r="102" spans="1:7">
      <c r="A102" s="245">
        <v>32000</v>
      </c>
      <c r="B102" s="237" t="s">
        <v>642</v>
      </c>
      <c r="C102" s="249">
        <v>-2418761</v>
      </c>
      <c r="D102" s="249">
        <v>-2615662</v>
      </c>
      <c r="E102" s="249">
        <v>-1446883</v>
      </c>
      <c r="F102" s="249">
        <v>561099</v>
      </c>
      <c r="G102" s="249">
        <v>0</v>
      </c>
    </row>
    <row r="103" spans="1:7">
      <c r="A103" s="246">
        <v>32005</v>
      </c>
      <c r="B103" s="229" t="s">
        <v>643</v>
      </c>
      <c r="C103" s="250">
        <v>-250533</v>
      </c>
      <c r="D103" s="250">
        <v>-195638</v>
      </c>
      <c r="E103" s="250">
        <v>81900</v>
      </c>
      <c r="F103" s="250">
        <v>115353</v>
      </c>
      <c r="G103" s="250">
        <v>0</v>
      </c>
    </row>
    <row r="104" spans="1:7">
      <c r="A104" s="245">
        <v>32100</v>
      </c>
      <c r="B104" s="237" t="s">
        <v>644</v>
      </c>
      <c r="C104" s="249">
        <v>-1129249</v>
      </c>
      <c r="D104" s="249">
        <v>-1183908</v>
      </c>
      <c r="E104" s="249">
        <v>-493443</v>
      </c>
      <c r="F104" s="249">
        <v>679805</v>
      </c>
      <c r="G104" s="249">
        <v>0</v>
      </c>
    </row>
    <row r="105" spans="1:7">
      <c r="A105" s="246">
        <v>32200</v>
      </c>
      <c r="B105" s="229" t="s">
        <v>645</v>
      </c>
      <c r="C105" s="250">
        <v>-583000</v>
      </c>
      <c r="D105" s="250">
        <v>-664126</v>
      </c>
      <c r="E105" s="250">
        <v>-157918</v>
      </c>
      <c r="F105" s="250">
        <v>454501</v>
      </c>
      <c r="G105" s="250">
        <v>0</v>
      </c>
    </row>
    <row r="106" spans="1:7">
      <c r="A106" s="245">
        <v>32300</v>
      </c>
      <c r="B106" s="237" t="s">
        <v>646</v>
      </c>
      <c r="C106" s="249">
        <v>-10105760</v>
      </c>
      <c r="D106" s="249">
        <v>-8799517</v>
      </c>
      <c r="E106" s="249">
        <v>-3166450</v>
      </c>
      <c r="F106" s="249">
        <v>2710924</v>
      </c>
      <c r="G106" s="249">
        <v>0</v>
      </c>
    </row>
    <row r="107" spans="1:7">
      <c r="A107" s="246">
        <v>32305</v>
      </c>
      <c r="B107" s="229" t="s">
        <v>647</v>
      </c>
      <c r="C107" s="250">
        <v>-360287</v>
      </c>
      <c r="D107" s="250">
        <v>-680076</v>
      </c>
      <c r="E107" s="250">
        <v>71878</v>
      </c>
      <c r="F107" s="250">
        <v>706871</v>
      </c>
      <c r="G107" s="250">
        <v>0</v>
      </c>
    </row>
    <row r="108" spans="1:7">
      <c r="A108" s="245">
        <v>32400</v>
      </c>
      <c r="B108" s="237" t="s">
        <v>648</v>
      </c>
      <c r="C108" s="249">
        <v>-3463709</v>
      </c>
      <c r="D108" s="249">
        <v>-3184672</v>
      </c>
      <c r="E108" s="249">
        <v>-1297385</v>
      </c>
      <c r="F108" s="249">
        <v>1124589</v>
      </c>
      <c r="G108" s="249">
        <v>0</v>
      </c>
    </row>
    <row r="109" spans="1:7">
      <c r="A109" s="246">
        <v>32405</v>
      </c>
      <c r="B109" s="229" t="s">
        <v>649</v>
      </c>
      <c r="C109" s="250">
        <v>-1077518</v>
      </c>
      <c r="D109" s="250">
        <v>-1165382</v>
      </c>
      <c r="E109" s="250">
        <v>-560453</v>
      </c>
      <c r="F109" s="250">
        <v>250443</v>
      </c>
      <c r="G109" s="250">
        <v>0</v>
      </c>
    </row>
    <row r="110" spans="1:7">
      <c r="A110" s="245">
        <v>32410</v>
      </c>
      <c r="B110" s="237" t="s">
        <v>650</v>
      </c>
      <c r="C110" s="249">
        <v>-563452</v>
      </c>
      <c r="D110" s="249">
        <v>-781881</v>
      </c>
      <c r="E110" s="249">
        <v>-66594</v>
      </c>
      <c r="F110" s="249">
        <v>513586</v>
      </c>
      <c r="G110" s="249">
        <v>0</v>
      </c>
    </row>
    <row r="111" spans="1:7">
      <c r="A111" s="246">
        <v>32500</v>
      </c>
      <c r="B111" s="229" t="s">
        <v>651</v>
      </c>
      <c r="C111" s="250">
        <v>-7517292</v>
      </c>
      <c r="D111" s="250">
        <v>-8973449</v>
      </c>
      <c r="E111" s="250">
        <v>-5192355</v>
      </c>
      <c r="F111" s="250">
        <v>1115322</v>
      </c>
      <c r="G111" s="250">
        <v>0</v>
      </c>
    </row>
    <row r="112" spans="1:7">
      <c r="A112" s="245">
        <v>32505</v>
      </c>
      <c r="B112" s="237" t="s">
        <v>652</v>
      </c>
      <c r="C112" s="249">
        <v>-1111679</v>
      </c>
      <c r="D112" s="249">
        <v>-921656</v>
      </c>
      <c r="E112" s="249">
        <v>-242830</v>
      </c>
      <c r="F112" s="249">
        <v>333681</v>
      </c>
      <c r="G112" s="249">
        <v>0</v>
      </c>
    </row>
    <row r="113" spans="1:7">
      <c r="A113" s="246">
        <v>32600</v>
      </c>
      <c r="B113" s="229" t="s">
        <v>653</v>
      </c>
      <c r="C113" s="250">
        <v>-24686341</v>
      </c>
      <c r="D113" s="250">
        <v>-30433081</v>
      </c>
      <c r="E113" s="250">
        <v>-12009288</v>
      </c>
      <c r="F113" s="250">
        <v>-32769</v>
      </c>
      <c r="G113" s="250">
        <v>0</v>
      </c>
    </row>
    <row r="114" spans="1:7">
      <c r="A114" s="245">
        <v>32605</v>
      </c>
      <c r="B114" s="237" t="s">
        <v>654</v>
      </c>
      <c r="C114" s="249">
        <v>-1144350</v>
      </c>
      <c r="D114" s="249">
        <v>-1901414</v>
      </c>
      <c r="E114" s="249">
        <v>134245</v>
      </c>
      <c r="F114" s="249">
        <v>2487279</v>
      </c>
      <c r="G114" s="249">
        <v>0</v>
      </c>
    </row>
    <row r="115" spans="1:7">
      <c r="A115" s="246">
        <v>32700</v>
      </c>
      <c r="B115" s="229" t="s">
        <v>655</v>
      </c>
      <c r="C115" s="250">
        <v>-2032913</v>
      </c>
      <c r="D115" s="250">
        <v>-2303273</v>
      </c>
      <c r="E115" s="250">
        <v>-1122883</v>
      </c>
      <c r="F115" s="250">
        <v>348310</v>
      </c>
      <c r="G115" s="250">
        <v>0</v>
      </c>
    </row>
    <row r="116" spans="1:7">
      <c r="A116" s="245">
        <v>32800</v>
      </c>
      <c r="B116" s="237" t="s">
        <v>656</v>
      </c>
      <c r="C116" s="249">
        <v>-2880740</v>
      </c>
      <c r="D116" s="249">
        <v>-3698238</v>
      </c>
      <c r="E116" s="249">
        <v>-2151659</v>
      </c>
      <c r="F116" s="249">
        <v>489533</v>
      </c>
      <c r="G116" s="249">
        <v>0</v>
      </c>
    </row>
    <row r="117" spans="1:7">
      <c r="A117" s="246">
        <v>32900</v>
      </c>
      <c r="B117" s="229" t="s">
        <v>657</v>
      </c>
      <c r="C117" s="250">
        <v>-11083592</v>
      </c>
      <c r="D117" s="250">
        <v>-10831154</v>
      </c>
      <c r="E117" s="250">
        <v>-5464219</v>
      </c>
      <c r="F117" s="250">
        <v>2354073</v>
      </c>
      <c r="G117" s="250">
        <v>0</v>
      </c>
    </row>
    <row r="118" spans="1:7">
      <c r="A118" s="245">
        <v>32901</v>
      </c>
      <c r="B118" s="237" t="s">
        <v>658</v>
      </c>
      <c r="C118" s="249">
        <v>-622830</v>
      </c>
      <c r="D118" s="249">
        <v>-419198</v>
      </c>
      <c r="E118" s="249">
        <v>-363356</v>
      </c>
      <c r="F118" s="249">
        <v>-183938</v>
      </c>
      <c r="G118" s="249">
        <v>0</v>
      </c>
    </row>
    <row r="119" spans="1:7">
      <c r="A119" s="246">
        <v>32904</v>
      </c>
      <c r="B119" s="229" t="s">
        <v>659</v>
      </c>
      <c r="C119" s="250">
        <v>433046</v>
      </c>
      <c r="D119" s="250">
        <v>409281</v>
      </c>
      <c r="E119" s="250">
        <v>301562</v>
      </c>
      <c r="F119" s="250">
        <v>228386</v>
      </c>
      <c r="G119" s="250">
        <v>0</v>
      </c>
    </row>
    <row r="120" spans="1:7">
      <c r="A120" s="245">
        <v>32905</v>
      </c>
      <c r="B120" s="237" t="s">
        <v>660</v>
      </c>
      <c r="C120" s="249">
        <v>-1329971</v>
      </c>
      <c r="D120" s="249">
        <v>-1142520</v>
      </c>
      <c r="E120" s="249">
        <v>-441791</v>
      </c>
      <c r="F120" s="249">
        <v>384499</v>
      </c>
      <c r="G120" s="249">
        <v>0</v>
      </c>
    </row>
    <row r="121" spans="1:7">
      <c r="A121" s="246">
        <v>32910</v>
      </c>
      <c r="B121" s="229" t="s">
        <v>661</v>
      </c>
      <c r="C121" s="250">
        <v>-2024856</v>
      </c>
      <c r="D121" s="250">
        <v>-2469486</v>
      </c>
      <c r="E121" s="250">
        <v>-1041262</v>
      </c>
      <c r="F121" s="250">
        <v>179690</v>
      </c>
      <c r="G121" s="250">
        <v>0</v>
      </c>
    </row>
    <row r="122" spans="1:7">
      <c r="A122" s="245">
        <v>32915</v>
      </c>
      <c r="B122" s="237" t="s">
        <v>662</v>
      </c>
      <c r="C122" s="249">
        <v>591778</v>
      </c>
      <c r="D122" s="249">
        <v>558262</v>
      </c>
      <c r="E122" s="249">
        <v>665695</v>
      </c>
      <c r="F122" s="249">
        <v>244305</v>
      </c>
      <c r="G122" s="249">
        <v>0</v>
      </c>
    </row>
    <row r="123" spans="1:7">
      <c r="A123" s="246">
        <v>32920</v>
      </c>
      <c r="B123" s="229" t="s">
        <v>663</v>
      </c>
      <c r="C123" s="250">
        <v>-2129966</v>
      </c>
      <c r="D123" s="250">
        <v>-2180246</v>
      </c>
      <c r="E123" s="250">
        <v>-1531163</v>
      </c>
      <c r="F123" s="250">
        <v>295658</v>
      </c>
      <c r="G123" s="250">
        <v>0</v>
      </c>
    </row>
    <row r="124" spans="1:7">
      <c r="A124" s="245">
        <v>33000</v>
      </c>
      <c r="B124" s="237" t="s">
        <v>664</v>
      </c>
      <c r="C124" s="249">
        <v>-3851853</v>
      </c>
      <c r="D124" s="249">
        <v>-4081366</v>
      </c>
      <c r="E124" s="249">
        <v>-1780061</v>
      </c>
      <c r="F124" s="249">
        <v>1716859</v>
      </c>
      <c r="G124" s="249">
        <v>0</v>
      </c>
    </row>
    <row r="125" spans="1:7">
      <c r="A125" s="246">
        <v>33001</v>
      </c>
      <c r="B125" s="229" t="s">
        <v>665</v>
      </c>
      <c r="C125" s="250">
        <v>-212330</v>
      </c>
      <c r="D125" s="250">
        <v>-145441</v>
      </c>
      <c r="E125" s="250">
        <v>-78908</v>
      </c>
      <c r="F125" s="250">
        <v>-50668</v>
      </c>
      <c r="G125" s="250">
        <v>0</v>
      </c>
    </row>
    <row r="126" spans="1:7">
      <c r="A126" s="245">
        <v>33027</v>
      </c>
      <c r="B126" s="237" t="s">
        <v>666</v>
      </c>
      <c r="C126" s="249">
        <v>6317</v>
      </c>
      <c r="D126" s="249">
        <v>-237967</v>
      </c>
      <c r="E126" s="249">
        <v>10786</v>
      </c>
      <c r="F126" s="249">
        <v>331842</v>
      </c>
      <c r="G126" s="249">
        <v>0</v>
      </c>
    </row>
    <row r="127" spans="1:7">
      <c r="A127" s="246">
        <v>33100</v>
      </c>
      <c r="B127" s="229" t="s">
        <v>667</v>
      </c>
      <c r="C127" s="250">
        <v>-5508142</v>
      </c>
      <c r="D127" s="250">
        <v>-5365466</v>
      </c>
      <c r="E127" s="250">
        <v>-2254094</v>
      </c>
      <c r="F127" s="250">
        <v>1897703</v>
      </c>
      <c r="G127" s="250">
        <v>0</v>
      </c>
    </row>
    <row r="128" spans="1:7">
      <c r="A128" s="245">
        <v>33105</v>
      </c>
      <c r="B128" s="237" t="s">
        <v>668</v>
      </c>
      <c r="C128" s="249">
        <v>-362064</v>
      </c>
      <c r="D128" s="249">
        <v>-301139</v>
      </c>
      <c r="E128" s="249">
        <v>20663</v>
      </c>
      <c r="F128" s="249">
        <v>338578</v>
      </c>
      <c r="G128" s="249">
        <v>0</v>
      </c>
    </row>
    <row r="129" spans="1:7">
      <c r="A129" s="246">
        <v>33200</v>
      </c>
      <c r="B129" s="229" t="s">
        <v>669</v>
      </c>
      <c r="C129" s="250">
        <v>-22575887</v>
      </c>
      <c r="D129" s="250">
        <v>-27237121</v>
      </c>
      <c r="E129" s="250">
        <v>-17383904</v>
      </c>
      <c r="F129" s="250">
        <v>2081854</v>
      </c>
      <c r="G129" s="250">
        <v>0</v>
      </c>
    </row>
    <row r="130" spans="1:7">
      <c r="A130" s="245">
        <v>33202</v>
      </c>
      <c r="B130" s="237" t="s">
        <v>670</v>
      </c>
      <c r="C130" s="249">
        <v>-251468</v>
      </c>
      <c r="D130" s="249">
        <v>-284706</v>
      </c>
      <c r="E130" s="249">
        <v>-247637</v>
      </c>
      <c r="F130" s="249">
        <v>109442</v>
      </c>
      <c r="G130" s="249">
        <v>0</v>
      </c>
    </row>
    <row r="131" spans="1:7">
      <c r="A131" s="246">
        <v>33203</v>
      </c>
      <c r="B131" s="229" t="s">
        <v>671</v>
      </c>
      <c r="C131" s="250">
        <v>144130</v>
      </c>
      <c r="D131" s="250">
        <v>85493</v>
      </c>
      <c r="E131" s="250">
        <v>79930</v>
      </c>
      <c r="F131" s="250">
        <v>100326</v>
      </c>
      <c r="G131" s="250">
        <v>0</v>
      </c>
    </row>
    <row r="132" spans="1:7">
      <c r="A132" s="245">
        <v>33204</v>
      </c>
      <c r="B132" s="237" t="s">
        <v>672</v>
      </c>
      <c r="C132" s="249">
        <v>-324171</v>
      </c>
      <c r="D132" s="249">
        <v>-540323</v>
      </c>
      <c r="E132" s="249">
        <v>-115957</v>
      </c>
      <c r="F132" s="249">
        <v>419611</v>
      </c>
      <c r="G132" s="249">
        <v>0</v>
      </c>
    </row>
    <row r="133" spans="1:7">
      <c r="A133" s="246">
        <v>33205</v>
      </c>
      <c r="B133" s="229" t="s">
        <v>673</v>
      </c>
      <c r="C133" s="250">
        <v>-1255565</v>
      </c>
      <c r="D133" s="250">
        <v>-1205517</v>
      </c>
      <c r="E133" s="250">
        <v>200610</v>
      </c>
      <c r="F133" s="250">
        <v>754286</v>
      </c>
      <c r="G133" s="250">
        <v>0</v>
      </c>
    </row>
    <row r="134" spans="1:7">
      <c r="A134" s="245">
        <v>33206</v>
      </c>
      <c r="B134" s="237" t="s">
        <v>674</v>
      </c>
      <c r="C134" s="249">
        <v>-99909</v>
      </c>
      <c r="D134" s="249">
        <v>-87175</v>
      </c>
      <c r="E134" s="249">
        <v>21357</v>
      </c>
      <c r="F134" s="249">
        <v>70315</v>
      </c>
      <c r="G134" s="249">
        <v>0</v>
      </c>
    </row>
    <row r="135" spans="1:7">
      <c r="A135" s="246">
        <v>33207</v>
      </c>
      <c r="B135" s="229" t="s">
        <v>675</v>
      </c>
      <c r="C135" s="250">
        <v>368560</v>
      </c>
      <c r="D135" s="250">
        <v>-85372</v>
      </c>
      <c r="E135" s="250">
        <v>-63643</v>
      </c>
      <c r="F135" s="250">
        <v>193577</v>
      </c>
      <c r="G135" s="250">
        <v>0</v>
      </c>
    </row>
    <row r="136" spans="1:7">
      <c r="A136" s="245">
        <v>33208</v>
      </c>
      <c r="B136" s="237" t="s">
        <v>676</v>
      </c>
      <c r="C136" s="249">
        <v>0</v>
      </c>
      <c r="D136" s="249">
        <v>0</v>
      </c>
      <c r="E136" s="249">
        <v>0</v>
      </c>
      <c r="F136" s="249">
        <v>0</v>
      </c>
      <c r="G136" s="249">
        <v>0</v>
      </c>
    </row>
    <row r="137" spans="1:7">
      <c r="A137" s="246">
        <v>33209</v>
      </c>
      <c r="B137" s="229" t="s">
        <v>677</v>
      </c>
      <c r="C137" s="250">
        <v>-566072</v>
      </c>
      <c r="D137" s="250">
        <v>-704747</v>
      </c>
      <c r="E137" s="250">
        <v>-659905</v>
      </c>
      <c r="F137" s="250">
        <v>0</v>
      </c>
      <c r="G137" s="250">
        <v>0</v>
      </c>
    </row>
    <row r="138" spans="1:7">
      <c r="A138" s="245">
        <v>33300</v>
      </c>
      <c r="B138" s="237" t="s">
        <v>678</v>
      </c>
      <c r="C138" s="249">
        <v>-4002091</v>
      </c>
      <c r="D138" s="249">
        <v>-4222134</v>
      </c>
      <c r="E138" s="249">
        <v>-2562942</v>
      </c>
      <c r="F138" s="249">
        <v>471692</v>
      </c>
      <c r="G138" s="249">
        <v>0</v>
      </c>
    </row>
    <row r="139" spans="1:7">
      <c r="A139" s="246">
        <v>33305</v>
      </c>
      <c r="B139" s="229" t="s">
        <v>679</v>
      </c>
      <c r="C139" s="250">
        <v>-1187273</v>
      </c>
      <c r="D139" s="250">
        <v>-1112011</v>
      </c>
      <c r="E139" s="250">
        <v>-493708</v>
      </c>
      <c r="F139" s="250">
        <v>350413</v>
      </c>
      <c r="G139" s="250">
        <v>0</v>
      </c>
    </row>
    <row r="140" spans="1:7">
      <c r="A140" s="245">
        <v>33400</v>
      </c>
      <c r="B140" s="237" t="s">
        <v>680</v>
      </c>
      <c r="C140" s="249">
        <v>-25042486</v>
      </c>
      <c r="D140" s="249">
        <v>-28224929</v>
      </c>
      <c r="E140" s="249">
        <v>-8884133</v>
      </c>
      <c r="F140" s="249">
        <v>12216688</v>
      </c>
      <c r="G140" s="249">
        <v>0</v>
      </c>
    </row>
    <row r="141" spans="1:7">
      <c r="A141" s="246">
        <v>33402</v>
      </c>
      <c r="B141" s="229" t="s">
        <v>681</v>
      </c>
      <c r="C141" s="250">
        <v>-131911</v>
      </c>
      <c r="D141" s="250">
        <v>-121108</v>
      </c>
      <c r="E141" s="250">
        <v>-64078</v>
      </c>
      <c r="F141" s="250">
        <v>144140</v>
      </c>
      <c r="G141" s="250">
        <v>0</v>
      </c>
    </row>
    <row r="142" spans="1:7">
      <c r="A142" s="245">
        <v>33405</v>
      </c>
      <c r="B142" s="237" t="s">
        <v>682</v>
      </c>
      <c r="C142" s="249">
        <v>-1922907</v>
      </c>
      <c r="D142" s="249">
        <v>-2071418</v>
      </c>
      <c r="E142" s="249">
        <v>-367967</v>
      </c>
      <c r="F142" s="249">
        <v>1167610</v>
      </c>
      <c r="G142" s="249">
        <v>0</v>
      </c>
    </row>
    <row r="143" spans="1:7">
      <c r="A143" s="246">
        <v>33500</v>
      </c>
      <c r="B143" s="229" t="s">
        <v>683</v>
      </c>
      <c r="C143" s="250">
        <v>-4916851</v>
      </c>
      <c r="D143" s="250">
        <v>-5089418</v>
      </c>
      <c r="E143" s="250">
        <v>-2707636</v>
      </c>
      <c r="F143" s="250">
        <v>1435768</v>
      </c>
      <c r="G143" s="250">
        <v>0</v>
      </c>
    </row>
    <row r="144" spans="1:7">
      <c r="A144" s="245">
        <v>33501</v>
      </c>
      <c r="B144" s="237" t="s">
        <v>684</v>
      </c>
      <c r="C144" s="249">
        <v>15362</v>
      </c>
      <c r="D144" s="249">
        <v>-23265</v>
      </c>
      <c r="E144" s="249">
        <v>-34202</v>
      </c>
      <c r="F144" s="249">
        <v>-59215</v>
      </c>
      <c r="G144" s="249">
        <v>0</v>
      </c>
    </row>
    <row r="145" spans="1:7">
      <c r="A145" s="246">
        <v>33600</v>
      </c>
      <c r="B145" s="229" t="s">
        <v>685</v>
      </c>
      <c r="C145" s="250">
        <v>-19245500</v>
      </c>
      <c r="D145" s="250">
        <v>-20499877</v>
      </c>
      <c r="E145" s="250">
        <v>-10622002</v>
      </c>
      <c r="F145" s="250">
        <v>1083719</v>
      </c>
      <c r="G145" s="250">
        <v>0</v>
      </c>
    </row>
    <row r="146" spans="1:7">
      <c r="A146" s="245">
        <v>33605</v>
      </c>
      <c r="B146" s="237" t="s">
        <v>686</v>
      </c>
      <c r="C146" s="249">
        <v>-2176106</v>
      </c>
      <c r="D146" s="249">
        <v>-2050169</v>
      </c>
      <c r="E146" s="249">
        <v>-473592</v>
      </c>
      <c r="F146" s="249">
        <v>924344</v>
      </c>
      <c r="G146" s="249">
        <v>0</v>
      </c>
    </row>
    <row r="147" spans="1:7">
      <c r="A147" s="246">
        <v>33700</v>
      </c>
      <c r="B147" s="229" t="s">
        <v>687</v>
      </c>
      <c r="C147" s="250">
        <v>-740528</v>
      </c>
      <c r="D147" s="250">
        <v>-824537</v>
      </c>
      <c r="E147" s="250">
        <v>-255217</v>
      </c>
      <c r="F147" s="250">
        <v>477595</v>
      </c>
      <c r="G147" s="250">
        <v>0</v>
      </c>
    </row>
    <row r="148" spans="1:7">
      <c r="A148" s="245">
        <v>33800</v>
      </c>
      <c r="B148" s="237" t="s">
        <v>688</v>
      </c>
      <c r="C148" s="249">
        <v>-573838</v>
      </c>
      <c r="D148" s="249">
        <v>-579851</v>
      </c>
      <c r="E148" s="249">
        <v>-126838</v>
      </c>
      <c r="F148" s="249">
        <v>534604</v>
      </c>
      <c r="G148" s="249">
        <v>0</v>
      </c>
    </row>
    <row r="149" spans="1:7">
      <c r="A149" s="246">
        <v>33900</v>
      </c>
      <c r="B149" s="229" t="s">
        <v>689</v>
      </c>
      <c r="C149" s="250">
        <v>-6570724</v>
      </c>
      <c r="D149" s="250">
        <v>-6057303</v>
      </c>
      <c r="E149" s="250">
        <v>-3967479</v>
      </c>
      <c r="F149" s="250">
        <v>-132320</v>
      </c>
      <c r="G149" s="250">
        <v>0</v>
      </c>
    </row>
    <row r="150" spans="1:7">
      <c r="A150" s="245">
        <v>34000</v>
      </c>
      <c r="B150" s="237" t="s">
        <v>690</v>
      </c>
      <c r="C150" s="249">
        <v>-1684744</v>
      </c>
      <c r="D150" s="249">
        <v>-1530426</v>
      </c>
      <c r="E150" s="249">
        <v>-559937</v>
      </c>
      <c r="F150" s="249">
        <v>1017283</v>
      </c>
      <c r="G150" s="249">
        <v>0</v>
      </c>
    </row>
    <row r="151" spans="1:7">
      <c r="A151" s="246">
        <v>34100</v>
      </c>
      <c r="B151" s="229" t="s">
        <v>691</v>
      </c>
      <c r="C151" s="250">
        <v>-47447585</v>
      </c>
      <c r="D151" s="250">
        <v>-51842768</v>
      </c>
      <c r="E151" s="250">
        <v>-25742820</v>
      </c>
      <c r="F151" s="250">
        <v>12458543</v>
      </c>
      <c r="G151" s="250">
        <v>0</v>
      </c>
    </row>
    <row r="152" spans="1:7">
      <c r="A152" s="245">
        <v>34105</v>
      </c>
      <c r="B152" s="237" t="s">
        <v>692</v>
      </c>
      <c r="C152" s="249">
        <v>-4190867</v>
      </c>
      <c r="D152" s="249">
        <v>-3845957</v>
      </c>
      <c r="E152" s="249">
        <v>-1616217</v>
      </c>
      <c r="F152" s="249">
        <v>1022448</v>
      </c>
      <c r="G152" s="249">
        <v>0</v>
      </c>
    </row>
    <row r="153" spans="1:7">
      <c r="A153" s="246">
        <v>34200</v>
      </c>
      <c r="B153" s="229" t="s">
        <v>693</v>
      </c>
      <c r="C153" s="250">
        <v>-1619681</v>
      </c>
      <c r="D153" s="250">
        <v>-2124080</v>
      </c>
      <c r="E153" s="250">
        <v>-1033510</v>
      </c>
      <c r="F153" s="250">
        <v>130267</v>
      </c>
      <c r="G153" s="250">
        <v>0</v>
      </c>
    </row>
    <row r="154" spans="1:7">
      <c r="A154" s="245">
        <v>34205</v>
      </c>
      <c r="B154" s="237" t="s">
        <v>694</v>
      </c>
      <c r="C154" s="249">
        <v>-823881</v>
      </c>
      <c r="D154" s="249">
        <v>-769081</v>
      </c>
      <c r="E154" s="249">
        <v>-241623</v>
      </c>
      <c r="F154" s="249">
        <v>114998</v>
      </c>
      <c r="G154" s="249">
        <v>0</v>
      </c>
    </row>
    <row r="155" spans="1:7">
      <c r="A155" s="246">
        <v>34220</v>
      </c>
      <c r="B155" s="229" t="s">
        <v>695</v>
      </c>
      <c r="C155" s="250">
        <v>-1914866</v>
      </c>
      <c r="D155" s="250">
        <v>-1840163</v>
      </c>
      <c r="E155" s="250">
        <v>-859942</v>
      </c>
      <c r="F155" s="250">
        <v>504541</v>
      </c>
      <c r="G155" s="250">
        <v>0</v>
      </c>
    </row>
    <row r="156" spans="1:7">
      <c r="A156" s="245">
        <v>34230</v>
      </c>
      <c r="B156" s="237" t="s">
        <v>696</v>
      </c>
      <c r="C156" s="249">
        <v>-785538</v>
      </c>
      <c r="D156" s="249">
        <v>-511482</v>
      </c>
      <c r="E156" s="249">
        <v>-160904</v>
      </c>
      <c r="F156" s="249">
        <v>336468</v>
      </c>
      <c r="G156" s="249">
        <v>0</v>
      </c>
    </row>
    <row r="157" spans="1:7">
      <c r="A157" s="246">
        <v>34300</v>
      </c>
      <c r="B157" s="229" t="s">
        <v>697</v>
      </c>
      <c r="C157" s="250">
        <v>-14491894</v>
      </c>
      <c r="D157" s="250">
        <v>-15042113</v>
      </c>
      <c r="E157" s="250">
        <v>-9610551</v>
      </c>
      <c r="F157" s="250">
        <v>116621</v>
      </c>
      <c r="G157" s="250">
        <v>0</v>
      </c>
    </row>
    <row r="158" spans="1:7">
      <c r="A158" s="245">
        <v>34400</v>
      </c>
      <c r="B158" s="237" t="s">
        <v>698</v>
      </c>
      <c r="C158" s="249">
        <v>-4001629</v>
      </c>
      <c r="D158" s="249">
        <v>-4583911</v>
      </c>
      <c r="E158" s="249">
        <v>-2672650</v>
      </c>
      <c r="F158" s="249">
        <v>466405</v>
      </c>
      <c r="G158" s="249">
        <v>0</v>
      </c>
    </row>
    <row r="159" spans="1:7">
      <c r="A159" s="246">
        <v>34405</v>
      </c>
      <c r="B159" s="229" t="s">
        <v>699</v>
      </c>
      <c r="C159" s="250">
        <v>-1043691</v>
      </c>
      <c r="D159" s="250">
        <v>-1152253</v>
      </c>
      <c r="E159" s="250">
        <v>-422643</v>
      </c>
      <c r="F159" s="250">
        <v>176265</v>
      </c>
      <c r="G159" s="250">
        <v>0</v>
      </c>
    </row>
    <row r="160" spans="1:7">
      <c r="A160" s="245">
        <v>34500</v>
      </c>
      <c r="B160" s="237" t="s">
        <v>700</v>
      </c>
      <c r="C160" s="249">
        <v>-6057880</v>
      </c>
      <c r="D160" s="249">
        <v>-7207960</v>
      </c>
      <c r="E160" s="249">
        <v>-2606824</v>
      </c>
      <c r="F160" s="249">
        <v>3261753</v>
      </c>
      <c r="G160" s="249">
        <v>0</v>
      </c>
    </row>
    <row r="161" spans="1:7">
      <c r="A161" s="246">
        <v>34501</v>
      </c>
      <c r="B161" s="229" t="s">
        <v>701</v>
      </c>
      <c r="C161" s="250">
        <v>-70027</v>
      </c>
      <c r="D161" s="250">
        <v>-77503</v>
      </c>
      <c r="E161" s="250">
        <v>-17681</v>
      </c>
      <c r="F161" s="250">
        <v>85233</v>
      </c>
      <c r="G161" s="250">
        <v>0</v>
      </c>
    </row>
    <row r="162" spans="1:7">
      <c r="A162" s="245">
        <v>34505</v>
      </c>
      <c r="B162" s="237" t="s">
        <v>702</v>
      </c>
      <c r="C162" s="249">
        <v>-736320</v>
      </c>
      <c r="D162" s="249">
        <v>-758481</v>
      </c>
      <c r="E162" s="249">
        <v>-314388</v>
      </c>
      <c r="F162" s="249">
        <v>308413</v>
      </c>
      <c r="G162" s="249">
        <v>0</v>
      </c>
    </row>
    <row r="163" spans="1:7">
      <c r="A163" s="246">
        <v>34600</v>
      </c>
      <c r="B163" s="229" t="s">
        <v>703</v>
      </c>
      <c r="C163" s="250">
        <v>-2343328</v>
      </c>
      <c r="D163" s="250">
        <v>-2214933</v>
      </c>
      <c r="E163" s="250">
        <v>-1311843</v>
      </c>
      <c r="F163" s="250">
        <v>-6383</v>
      </c>
      <c r="G163" s="250">
        <v>0</v>
      </c>
    </row>
    <row r="164" spans="1:7">
      <c r="A164" s="245">
        <v>34605</v>
      </c>
      <c r="B164" s="237" t="s">
        <v>704</v>
      </c>
      <c r="C164" s="249">
        <v>-617876</v>
      </c>
      <c r="D164" s="249">
        <v>-493839</v>
      </c>
      <c r="E164" s="249">
        <v>-137478</v>
      </c>
      <c r="F164" s="249">
        <v>13565</v>
      </c>
      <c r="G164" s="249">
        <v>0</v>
      </c>
    </row>
    <row r="165" spans="1:7">
      <c r="A165" s="246">
        <v>34700</v>
      </c>
      <c r="B165" s="229" t="s">
        <v>705</v>
      </c>
      <c r="C165" s="250">
        <v>-5095992</v>
      </c>
      <c r="D165" s="250">
        <v>-5717333</v>
      </c>
      <c r="E165" s="250">
        <v>-3409718</v>
      </c>
      <c r="F165" s="250">
        <v>581844</v>
      </c>
      <c r="G165" s="250">
        <v>0</v>
      </c>
    </row>
    <row r="166" spans="1:7">
      <c r="A166" s="245">
        <v>34800</v>
      </c>
      <c r="B166" s="237" t="s">
        <v>706</v>
      </c>
      <c r="C166" s="249">
        <v>-644755</v>
      </c>
      <c r="D166" s="249">
        <v>-592299</v>
      </c>
      <c r="E166" s="249">
        <v>-211648</v>
      </c>
      <c r="F166" s="249">
        <v>180357</v>
      </c>
      <c r="G166" s="249">
        <v>0</v>
      </c>
    </row>
    <row r="167" spans="1:7">
      <c r="A167" s="246">
        <v>34900</v>
      </c>
      <c r="B167" s="229" t="s">
        <v>707</v>
      </c>
      <c r="C167" s="250">
        <v>-10357279</v>
      </c>
      <c r="D167" s="250">
        <v>-11011347</v>
      </c>
      <c r="E167" s="250">
        <v>-4541708</v>
      </c>
      <c r="F167" s="250">
        <v>2183863</v>
      </c>
      <c r="G167" s="250">
        <v>0</v>
      </c>
    </row>
    <row r="168" spans="1:7">
      <c r="A168" s="245">
        <v>34901</v>
      </c>
      <c r="B168" s="237" t="s">
        <v>708</v>
      </c>
      <c r="C168" s="249">
        <v>-210850</v>
      </c>
      <c r="D168" s="249">
        <v>-258939</v>
      </c>
      <c r="E168" s="249">
        <v>-106488</v>
      </c>
      <c r="F168" s="249">
        <v>110263</v>
      </c>
      <c r="G168" s="249">
        <v>0</v>
      </c>
    </row>
    <row r="169" spans="1:7">
      <c r="A169" s="246">
        <v>34903</v>
      </c>
      <c r="B169" s="229" t="s">
        <v>709</v>
      </c>
      <c r="C169" s="250">
        <v>56509</v>
      </c>
      <c r="D169" s="250">
        <v>66966</v>
      </c>
      <c r="E169" s="250">
        <v>69357</v>
      </c>
      <c r="F169" s="250">
        <v>55884</v>
      </c>
      <c r="G169" s="250">
        <v>0</v>
      </c>
    </row>
    <row r="170" spans="1:7">
      <c r="A170" s="245">
        <v>34905</v>
      </c>
      <c r="B170" s="237" t="s">
        <v>710</v>
      </c>
      <c r="C170" s="249">
        <v>-910944</v>
      </c>
      <c r="D170" s="249">
        <v>-1034938</v>
      </c>
      <c r="E170" s="249">
        <v>-520352</v>
      </c>
      <c r="F170" s="249">
        <v>422683</v>
      </c>
      <c r="G170" s="249">
        <v>0</v>
      </c>
    </row>
    <row r="171" spans="1:7">
      <c r="A171" s="246">
        <v>34910</v>
      </c>
      <c r="B171" s="229" t="s">
        <v>711</v>
      </c>
      <c r="C171" s="250">
        <v>-3530511</v>
      </c>
      <c r="D171" s="250">
        <v>-3661104</v>
      </c>
      <c r="E171" s="250">
        <v>-1928018</v>
      </c>
      <c r="F171" s="250">
        <v>79744</v>
      </c>
      <c r="G171" s="250">
        <v>0</v>
      </c>
    </row>
    <row r="172" spans="1:7">
      <c r="A172" s="245">
        <v>35000</v>
      </c>
      <c r="B172" s="237" t="s">
        <v>712</v>
      </c>
      <c r="C172" s="249">
        <v>-1626625</v>
      </c>
      <c r="D172" s="249">
        <v>-2060204</v>
      </c>
      <c r="E172" s="249">
        <v>-649788</v>
      </c>
      <c r="F172" s="249">
        <v>1389853</v>
      </c>
      <c r="G172" s="249">
        <v>0</v>
      </c>
    </row>
    <row r="173" spans="1:7">
      <c r="A173" s="246">
        <v>35005</v>
      </c>
      <c r="B173" s="229" t="s">
        <v>713</v>
      </c>
      <c r="C173" s="250">
        <v>-1367024</v>
      </c>
      <c r="D173" s="250">
        <v>-1398472</v>
      </c>
      <c r="E173" s="250">
        <v>-578566</v>
      </c>
      <c r="F173" s="250">
        <v>164699</v>
      </c>
      <c r="G173" s="250">
        <v>0</v>
      </c>
    </row>
    <row r="174" spans="1:7">
      <c r="A174" s="245">
        <v>35100</v>
      </c>
      <c r="B174" s="237" t="s">
        <v>714</v>
      </c>
      <c r="C174" s="249">
        <v>-19418170</v>
      </c>
      <c r="D174" s="249">
        <v>-22424515</v>
      </c>
      <c r="E174" s="249">
        <v>-11670878</v>
      </c>
      <c r="F174" s="249">
        <v>4519212</v>
      </c>
      <c r="G174" s="249">
        <v>0</v>
      </c>
    </row>
    <row r="175" spans="1:7">
      <c r="A175" s="246">
        <v>35105</v>
      </c>
      <c r="B175" s="229" t="s">
        <v>715</v>
      </c>
      <c r="C175" s="250">
        <v>-1820851</v>
      </c>
      <c r="D175" s="250">
        <v>-2092724</v>
      </c>
      <c r="E175" s="250">
        <v>-1222394</v>
      </c>
      <c r="F175" s="250">
        <v>494004</v>
      </c>
      <c r="G175" s="250">
        <v>0</v>
      </c>
    </row>
    <row r="176" spans="1:7">
      <c r="A176" s="245">
        <v>35106</v>
      </c>
      <c r="B176" s="237" t="s">
        <v>716</v>
      </c>
      <c r="C176" s="249">
        <v>-676845</v>
      </c>
      <c r="D176" s="249">
        <v>-643211</v>
      </c>
      <c r="E176" s="249">
        <v>-478616</v>
      </c>
      <c r="F176" s="249">
        <v>-108841</v>
      </c>
      <c r="G176" s="249">
        <v>0</v>
      </c>
    </row>
    <row r="177" spans="1:7">
      <c r="A177" s="246">
        <v>35200</v>
      </c>
      <c r="B177" s="229" t="s">
        <v>717</v>
      </c>
      <c r="C177" s="250">
        <v>-887350</v>
      </c>
      <c r="D177" s="250">
        <v>-865169</v>
      </c>
      <c r="E177" s="250">
        <v>-230319</v>
      </c>
      <c r="F177" s="250">
        <v>161482</v>
      </c>
      <c r="G177" s="250">
        <v>0</v>
      </c>
    </row>
    <row r="178" spans="1:7">
      <c r="A178" s="245">
        <v>35300</v>
      </c>
      <c r="B178" s="237" t="s">
        <v>718</v>
      </c>
      <c r="C178" s="249">
        <v>-7748453</v>
      </c>
      <c r="D178" s="249">
        <v>-7427954</v>
      </c>
      <c r="E178" s="249">
        <v>-3640922</v>
      </c>
      <c r="F178" s="249">
        <v>673301</v>
      </c>
      <c r="G178" s="249">
        <v>0</v>
      </c>
    </row>
    <row r="179" spans="1:7">
      <c r="A179" s="246">
        <v>35305</v>
      </c>
      <c r="B179" s="229" t="s">
        <v>719</v>
      </c>
      <c r="C179" s="250">
        <v>-1275526</v>
      </c>
      <c r="D179" s="250">
        <v>-1604841</v>
      </c>
      <c r="E179" s="250">
        <v>-164667</v>
      </c>
      <c r="F179" s="250">
        <v>963386</v>
      </c>
      <c r="G179" s="250">
        <v>0</v>
      </c>
    </row>
    <row r="180" spans="1:7">
      <c r="A180" s="245">
        <v>35400</v>
      </c>
      <c r="B180" s="237" t="s">
        <v>720</v>
      </c>
      <c r="C180" s="249">
        <v>-2470197</v>
      </c>
      <c r="D180" s="249">
        <v>-2920283</v>
      </c>
      <c r="E180" s="249">
        <v>-416782</v>
      </c>
      <c r="F180" s="249">
        <v>3356868</v>
      </c>
      <c r="G180" s="249">
        <v>0</v>
      </c>
    </row>
    <row r="181" spans="1:7">
      <c r="A181" s="246">
        <v>35401</v>
      </c>
      <c r="B181" s="229" t="s">
        <v>721</v>
      </c>
      <c r="C181" s="250">
        <v>100</v>
      </c>
      <c r="D181" s="250">
        <v>-5436</v>
      </c>
      <c r="E181" s="250">
        <v>42064</v>
      </c>
      <c r="F181" s="250">
        <v>-3017</v>
      </c>
      <c r="G181" s="250">
        <v>0</v>
      </c>
    </row>
    <row r="182" spans="1:7">
      <c r="A182" s="245">
        <v>35405</v>
      </c>
      <c r="B182" s="237" t="s">
        <v>722</v>
      </c>
      <c r="C182" s="249">
        <v>-2132841</v>
      </c>
      <c r="D182" s="249">
        <v>-2066175</v>
      </c>
      <c r="E182" s="249">
        <v>-1172594</v>
      </c>
      <c r="F182" s="249">
        <v>198805</v>
      </c>
      <c r="G182" s="249">
        <v>0</v>
      </c>
    </row>
    <row r="183" spans="1:7">
      <c r="A183" s="246">
        <v>35500</v>
      </c>
      <c r="B183" s="229" t="s">
        <v>723</v>
      </c>
      <c r="C183" s="250">
        <v>-5430113</v>
      </c>
      <c r="D183" s="250">
        <v>-5638693</v>
      </c>
      <c r="E183" s="250">
        <v>-1950630</v>
      </c>
      <c r="F183" s="250">
        <v>2485742</v>
      </c>
      <c r="G183" s="250">
        <v>0</v>
      </c>
    </row>
    <row r="184" spans="1:7">
      <c r="A184" s="245">
        <v>35600</v>
      </c>
      <c r="B184" s="237" t="s">
        <v>724</v>
      </c>
      <c r="C184" s="249">
        <v>-2141938</v>
      </c>
      <c r="D184" s="249">
        <v>-2279199</v>
      </c>
      <c r="E184" s="249">
        <v>-693055</v>
      </c>
      <c r="F184" s="249">
        <v>719567</v>
      </c>
      <c r="G184" s="249">
        <v>0</v>
      </c>
    </row>
    <row r="185" spans="1:7">
      <c r="A185" s="246">
        <v>35700</v>
      </c>
      <c r="B185" s="229" t="s">
        <v>725</v>
      </c>
      <c r="C185" s="250">
        <v>-1027067</v>
      </c>
      <c r="D185" s="250">
        <v>-1156093</v>
      </c>
      <c r="E185" s="250">
        <v>-319355</v>
      </c>
      <c r="F185" s="250">
        <v>747574</v>
      </c>
      <c r="G185" s="250">
        <v>0</v>
      </c>
    </row>
    <row r="186" spans="1:7">
      <c r="A186" s="245">
        <v>35800</v>
      </c>
      <c r="B186" s="237" t="s">
        <v>726</v>
      </c>
      <c r="C186" s="249">
        <v>-2174677</v>
      </c>
      <c r="D186" s="249">
        <v>-2190661</v>
      </c>
      <c r="E186" s="249">
        <v>-1322864</v>
      </c>
      <c r="F186" s="249">
        <v>408323</v>
      </c>
      <c r="G186" s="249">
        <v>0</v>
      </c>
    </row>
    <row r="187" spans="1:7">
      <c r="A187" s="246">
        <v>35805</v>
      </c>
      <c r="B187" s="229" t="s">
        <v>727</v>
      </c>
      <c r="C187" s="250">
        <v>-354119</v>
      </c>
      <c r="D187" s="250">
        <v>-497547</v>
      </c>
      <c r="E187" s="250">
        <v>-295009</v>
      </c>
      <c r="F187" s="250">
        <v>1205</v>
      </c>
      <c r="G187" s="250">
        <v>0</v>
      </c>
    </row>
    <row r="188" spans="1:7">
      <c r="A188" s="245">
        <v>35900</v>
      </c>
      <c r="B188" s="237" t="s">
        <v>728</v>
      </c>
      <c r="C188" s="249">
        <v>-4327127</v>
      </c>
      <c r="D188" s="249">
        <v>-4249887</v>
      </c>
      <c r="E188" s="249">
        <v>-2124773</v>
      </c>
      <c r="F188" s="249">
        <v>760653</v>
      </c>
      <c r="G188" s="249">
        <v>0</v>
      </c>
    </row>
    <row r="189" spans="1:7">
      <c r="A189" s="246">
        <v>35905</v>
      </c>
      <c r="B189" s="229" t="s">
        <v>729</v>
      </c>
      <c r="C189" s="250">
        <v>-165963</v>
      </c>
      <c r="D189" s="250">
        <v>-97861</v>
      </c>
      <c r="E189" s="250">
        <v>351582</v>
      </c>
      <c r="F189" s="250">
        <v>552052</v>
      </c>
      <c r="G189" s="250">
        <v>0</v>
      </c>
    </row>
    <row r="190" spans="1:7">
      <c r="A190" s="245">
        <v>36000</v>
      </c>
      <c r="B190" s="237" t="s">
        <v>730</v>
      </c>
      <c r="C190" s="249">
        <v>-103899923</v>
      </c>
      <c r="D190" s="249">
        <v>-110521927</v>
      </c>
      <c r="E190" s="249">
        <v>-66762261</v>
      </c>
      <c r="F190" s="249">
        <v>376239</v>
      </c>
      <c r="G190" s="249">
        <v>0</v>
      </c>
    </row>
    <row r="191" spans="1:7">
      <c r="A191" s="246">
        <v>36001</v>
      </c>
      <c r="B191" s="229" t="s">
        <v>731</v>
      </c>
      <c r="C191" s="250">
        <v>0</v>
      </c>
      <c r="D191" s="250">
        <v>0</v>
      </c>
      <c r="E191" s="250">
        <v>0</v>
      </c>
      <c r="F191" s="250">
        <v>0</v>
      </c>
      <c r="G191" s="250">
        <v>0</v>
      </c>
    </row>
    <row r="192" spans="1:7">
      <c r="A192" s="245">
        <v>36002</v>
      </c>
      <c r="B192" s="237" t="s">
        <v>732</v>
      </c>
      <c r="C192" s="249">
        <v>0</v>
      </c>
      <c r="D192" s="249">
        <v>0</v>
      </c>
      <c r="E192" s="249">
        <v>0</v>
      </c>
      <c r="F192" s="249">
        <v>0</v>
      </c>
      <c r="G192" s="249">
        <v>0</v>
      </c>
    </row>
    <row r="193" spans="1:7">
      <c r="A193" s="246">
        <v>36003</v>
      </c>
      <c r="B193" s="229" t="s">
        <v>733</v>
      </c>
      <c r="C193" s="250">
        <v>-506577</v>
      </c>
      <c r="D193" s="250">
        <v>-533553</v>
      </c>
      <c r="E193" s="250">
        <v>-85025</v>
      </c>
      <c r="F193" s="250">
        <v>196132</v>
      </c>
      <c r="G193" s="250">
        <v>0</v>
      </c>
    </row>
    <row r="194" spans="1:7">
      <c r="A194" s="245">
        <v>36004</v>
      </c>
      <c r="B194" s="237" t="s">
        <v>734</v>
      </c>
      <c r="C194" s="249">
        <v>-43351</v>
      </c>
      <c r="D194" s="249">
        <v>-335467</v>
      </c>
      <c r="E194" s="249">
        <v>-147658</v>
      </c>
      <c r="F194" s="249">
        <v>-4543</v>
      </c>
      <c r="G194" s="249">
        <v>0</v>
      </c>
    </row>
    <row r="195" spans="1:7">
      <c r="A195" s="246">
        <v>36005</v>
      </c>
      <c r="B195" s="229" t="s">
        <v>735</v>
      </c>
      <c r="C195" s="250">
        <v>-10147176</v>
      </c>
      <c r="D195" s="250">
        <v>-9901326</v>
      </c>
      <c r="E195" s="250">
        <v>-5298755</v>
      </c>
      <c r="F195" s="250">
        <v>1114925</v>
      </c>
      <c r="G195" s="250">
        <v>0</v>
      </c>
    </row>
    <row r="196" spans="1:7">
      <c r="A196" s="245">
        <v>36006</v>
      </c>
      <c r="B196" s="237" t="s">
        <v>736</v>
      </c>
      <c r="C196" s="249">
        <v>-460347</v>
      </c>
      <c r="D196" s="249">
        <v>-879010</v>
      </c>
      <c r="E196" s="249">
        <v>-290729</v>
      </c>
      <c r="F196" s="249">
        <v>550430</v>
      </c>
      <c r="G196" s="249">
        <v>0</v>
      </c>
    </row>
    <row r="197" spans="1:7">
      <c r="A197" s="246">
        <v>36007</v>
      </c>
      <c r="B197" s="229" t="s">
        <v>737</v>
      </c>
      <c r="C197" s="250">
        <v>-36929</v>
      </c>
      <c r="D197" s="250">
        <v>-134710</v>
      </c>
      <c r="E197" s="250">
        <v>11032</v>
      </c>
      <c r="F197" s="250">
        <v>17500</v>
      </c>
      <c r="G197" s="250">
        <v>0</v>
      </c>
    </row>
    <row r="198" spans="1:7">
      <c r="A198" s="245">
        <v>36008</v>
      </c>
      <c r="B198" s="237" t="s">
        <v>738</v>
      </c>
      <c r="C198" s="249">
        <v>-662970</v>
      </c>
      <c r="D198" s="249">
        <v>-765337</v>
      </c>
      <c r="E198" s="249">
        <v>-278173</v>
      </c>
      <c r="F198" s="249">
        <v>299724</v>
      </c>
      <c r="G198" s="249">
        <v>0</v>
      </c>
    </row>
    <row r="199" spans="1:7">
      <c r="A199" s="246">
        <v>36009</v>
      </c>
      <c r="B199" s="229" t="s">
        <v>739</v>
      </c>
      <c r="C199" s="250">
        <v>-496019</v>
      </c>
      <c r="D199" s="250">
        <v>-347947</v>
      </c>
      <c r="E199" s="250">
        <v>-233621</v>
      </c>
      <c r="F199" s="250">
        <v>-71939</v>
      </c>
      <c r="G199" s="250">
        <v>0</v>
      </c>
    </row>
    <row r="200" spans="1:7">
      <c r="A200" s="245">
        <v>36100</v>
      </c>
      <c r="B200" s="237" t="s">
        <v>740</v>
      </c>
      <c r="C200" s="249">
        <v>-941598</v>
      </c>
      <c r="D200" s="249">
        <v>-1055490</v>
      </c>
      <c r="E200" s="249">
        <v>-385654</v>
      </c>
      <c r="F200" s="249">
        <v>491836</v>
      </c>
      <c r="G200" s="249">
        <v>0</v>
      </c>
    </row>
    <row r="201" spans="1:7">
      <c r="A201" s="246">
        <v>36102</v>
      </c>
      <c r="B201" s="229" t="s">
        <v>741</v>
      </c>
      <c r="C201" s="250">
        <v>-1550309</v>
      </c>
      <c r="D201" s="250">
        <v>-1607964</v>
      </c>
      <c r="E201" s="250">
        <v>-1864039</v>
      </c>
      <c r="F201" s="250">
        <v>0</v>
      </c>
      <c r="G201" s="250">
        <v>0</v>
      </c>
    </row>
    <row r="202" spans="1:7">
      <c r="A202" s="245">
        <v>36105</v>
      </c>
      <c r="B202" s="237" t="s">
        <v>742</v>
      </c>
      <c r="C202" s="249">
        <v>-810020</v>
      </c>
      <c r="D202" s="249">
        <v>-651419</v>
      </c>
      <c r="E202" s="249">
        <v>-459222</v>
      </c>
      <c r="F202" s="249">
        <v>190053</v>
      </c>
      <c r="G202" s="249">
        <v>0</v>
      </c>
    </row>
    <row r="203" spans="1:7">
      <c r="A203" s="246">
        <v>36200</v>
      </c>
      <c r="B203" s="229" t="s">
        <v>743</v>
      </c>
      <c r="C203" s="250">
        <v>-3218016</v>
      </c>
      <c r="D203" s="250">
        <v>-2858721</v>
      </c>
      <c r="E203" s="250">
        <v>-1462213</v>
      </c>
      <c r="F203" s="250">
        <v>685242</v>
      </c>
      <c r="G203" s="250">
        <v>0</v>
      </c>
    </row>
    <row r="204" spans="1:7">
      <c r="A204" s="245">
        <v>36205</v>
      </c>
      <c r="B204" s="237" t="s">
        <v>744</v>
      </c>
      <c r="C204" s="249">
        <v>-417827</v>
      </c>
      <c r="D204" s="249">
        <v>-534653</v>
      </c>
      <c r="E204" s="249">
        <v>-373602</v>
      </c>
      <c r="F204" s="249">
        <v>-17469</v>
      </c>
      <c r="G204" s="249">
        <v>0</v>
      </c>
    </row>
    <row r="205" spans="1:7">
      <c r="A205" s="246">
        <v>36300</v>
      </c>
      <c r="B205" s="229" t="s">
        <v>745</v>
      </c>
      <c r="C205" s="250">
        <v>-7945221</v>
      </c>
      <c r="D205" s="250">
        <v>-8654347</v>
      </c>
      <c r="E205" s="250">
        <v>-4889806</v>
      </c>
      <c r="F205" s="250">
        <v>2465451</v>
      </c>
      <c r="G205" s="250">
        <v>0</v>
      </c>
    </row>
    <row r="206" spans="1:7">
      <c r="A206" s="245">
        <v>36301</v>
      </c>
      <c r="B206" s="237" t="s">
        <v>746</v>
      </c>
      <c r="C206" s="249">
        <v>88072</v>
      </c>
      <c r="D206" s="249">
        <v>-36994</v>
      </c>
      <c r="E206" s="249">
        <v>-6126</v>
      </c>
      <c r="F206" s="249">
        <v>20634</v>
      </c>
      <c r="G206" s="249">
        <v>0</v>
      </c>
    </row>
    <row r="207" spans="1:7">
      <c r="A207" s="246">
        <v>36302</v>
      </c>
      <c r="B207" s="229" t="s">
        <v>747</v>
      </c>
      <c r="C207" s="250">
        <v>259401</v>
      </c>
      <c r="D207" s="250">
        <v>130228</v>
      </c>
      <c r="E207" s="250">
        <v>231068</v>
      </c>
      <c r="F207" s="250">
        <v>229125</v>
      </c>
      <c r="G207" s="250">
        <v>0</v>
      </c>
    </row>
    <row r="208" spans="1:7">
      <c r="A208" s="245">
        <v>36303</v>
      </c>
      <c r="B208" s="237" t="s">
        <v>748</v>
      </c>
      <c r="C208" s="249">
        <v>365266</v>
      </c>
      <c r="D208" s="249">
        <v>-16434</v>
      </c>
      <c r="E208" s="249">
        <v>100145</v>
      </c>
      <c r="F208" s="249">
        <v>156503</v>
      </c>
      <c r="G208" s="249">
        <v>0</v>
      </c>
    </row>
    <row r="209" spans="1:7">
      <c r="A209" s="246">
        <v>36305</v>
      </c>
      <c r="B209" s="229" t="s">
        <v>749</v>
      </c>
      <c r="C209" s="250">
        <v>-789588</v>
      </c>
      <c r="D209" s="250">
        <v>-1014230</v>
      </c>
      <c r="E209" s="250">
        <v>-172542</v>
      </c>
      <c r="F209" s="250">
        <v>670504</v>
      </c>
      <c r="G209" s="250">
        <v>0</v>
      </c>
    </row>
    <row r="210" spans="1:7">
      <c r="A210" s="245">
        <v>36310</v>
      </c>
      <c r="B210" s="237" t="s">
        <v>750</v>
      </c>
      <c r="C210" s="249">
        <v>0</v>
      </c>
      <c r="D210" s="249">
        <v>0</v>
      </c>
      <c r="E210" s="249">
        <v>0</v>
      </c>
      <c r="F210" s="249">
        <v>0</v>
      </c>
      <c r="G210" s="249">
        <v>0</v>
      </c>
    </row>
    <row r="211" spans="1:7">
      <c r="A211" s="246">
        <v>36400</v>
      </c>
      <c r="B211" s="229" t="s">
        <v>751</v>
      </c>
      <c r="C211" s="250">
        <v>-9507076</v>
      </c>
      <c r="D211" s="250">
        <v>-8807647</v>
      </c>
      <c r="E211" s="250">
        <v>-3477779</v>
      </c>
      <c r="F211" s="250">
        <v>1721503</v>
      </c>
      <c r="G211" s="250">
        <v>0</v>
      </c>
    </row>
    <row r="212" spans="1:7">
      <c r="A212" s="245">
        <v>36405</v>
      </c>
      <c r="B212" s="237" t="s">
        <v>752</v>
      </c>
      <c r="C212" s="249">
        <v>-2137326</v>
      </c>
      <c r="D212" s="249">
        <v>-1936053</v>
      </c>
      <c r="E212" s="249">
        <v>-1062211</v>
      </c>
      <c r="F212" s="249">
        <v>242457</v>
      </c>
      <c r="G212" s="249">
        <v>0</v>
      </c>
    </row>
    <row r="213" spans="1:7">
      <c r="A213" s="246">
        <v>36500</v>
      </c>
      <c r="B213" s="229" t="s">
        <v>753</v>
      </c>
      <c r="C213" s="250">
        <v>-14048943</v>
      </c>
      <c r="D213" s="250">
        <v>-15003167</v>
      </c>
      <c r="E213" s="250">
        <v>-4335611</v>
      </c>
      <c r="F213" s="250">
        <v>8986988</v>
      </c>
      <c r="G213" s="250">
        <v>0</v>
      </c>
    </row>
    <row r="214" spans="1:7">
      <c r="A214" s="245">
        <v>36501</v>
      </c>
      <c r="B214" s="237" t="s">
        <v>754</v>
      </c>
      <c r="C214" s="249">
        <v>-277874</v>
      </c>
      <c r="D214" s="249">
        <v>-283311</v>
      </c>
      <c r="E214" s="249">
        <v>-164834</v>
      </c>
      <c r="F214" s="249">
        <v>-5830</v>
      </c>
      <c r="G214" s="249">
        <v>0</v>
      </c>
    </row>
    <row r="215" spans="1:7">
      <c r="A215" s="246">
        <v>36502</v>
      </c>
      <c r="B215" s="229" t="s">
        <v>755</v>
      </c>
      <c r="C215" s="250">
        <v>-199183</v>
      </c>
      <c r="D215" s="250">
        <v>-194504</v>
      </c>
      <c r="E215" s="250">
        <v>-160311</v>
      </c>
      <c r="F215" s="250">
        <v>-29219</v>
      </c>
      <c r="G215" s="250">
        <v>0</v>
      </c>
    </row>
    <row r="216" spans="1:7">
      <c r="A216" s="245">
        <v>36505</v>
      </c>
      <c r="B216" s="237" t="s">
        <v>756</v>
      </c>
      <c r="C216" s="249">
        <v>-2895275</v>
      </c>
      <c r="D216" s="249">
        <v>-3056086</v>
      </c>
      <c r="E216" s="249">
        <v>-925583</v>
      </c>
      <c r="F216" s="249">
        <v>1491093</v>
      </c>
      <c r="G216" s="249">
        <v>0</v>
      </c>
    </row>
    <row r="217" spans="1:7">
      <c r="A217" s="246">
        <v>36600</v>
      </c>
      <c r="B217" s="229" t="s">
        <v>757</v>
      </c>
      <c r="C217" s="250">
        <v>-2049696</v>
      </c>
      <c r="D217" s="250">
        <v>-1813270</v>
      </c>
      <c r="E217" s="250">
        <v>-1229198</v>
      </c>
      <c r="F217" s="250">
        <v>-236844</v>
      </c>
      <c r="G217" s="250">
        <v>0</v>
      </c>
    </row>
    <row r="218" spans="1:7">
      <c r="A218" s="245">
        <v>36601</v>
      </c>
      <c r="B218" s="237" t="s">
        <v>758</v>
      </c>
      <c r="C218" s="249">
        <v>-2822689</v>
      </c>
      <c r="D218" s="249">
        <v>-2658003</v>
      </c>
      <c r="E218" s="249">
        <v>-2391206</v>
      </c>
      <c r="F218" s="249">
        <v>0</v>
      </c>
      <c r="G218" s="249">
        <v>0</v>
      </c>
    </row>
    <row r="219" spans="1:7">
      <c r="A219" s="246">
        <v>36700</v>
      </c>
      <c r="B219" s="229" t="s">
        <v>759</v>
      </c>
      <c r="C219" s="250">
        <v>-16398676</v>
      </c>
      <c r="D219" s="250">
        <v>-18625319</v>
      </c>
      <c r="E219" s="250">
        <v>-11580999</v>
      </c>
      <c r="F219" s="250">
        <v>3203065</v>
      </c>
      <c r="G219" s="250">
        <v>0</v>
      </c>
    </row>
    <row r="220" spans="1:7">
      <c r="A220" s="245">
        <v>36701</v>
      </c>
      <c r="B220" s="237" t="s">
        <v>760</v>
      </c>
      <c r="C220" s="249">
        <v>-103571</v>
      </c>
      <c r="D220" s="249">
        <v>-187266</v>
      </c>
      <c r="E220" s="249">
        <v>-182287</v>
      </c>
      <c r="F220" s="249">
        <v>-57838</v>
      </c>
      <c r="G220" s="249">
        <v>0</v>
      </c>
    </row>
    <row r="221" spans="1:7">
      <c r="A221" s="246">
        <v>36705</v>
      </c>
      <c r="B221" s="229" t="s">
        <v>761</v>
      </c>
      <c r="C221" s="250">
        <v>-2383293</v>
      </c>
      <c r="D221" s="250">
        <v>-2408238</v>
      </c>
      <c r="E221" s="250">
        <v>-1410122</v>
      </c>
      <c r="F221" s="250">
        <v>-547853</v>
      </c>
      <c r="G221" s="250">
        <v>0</v>
      </c>
    </row>
    <row r="222" spans="1:7">
      <c r="A222" s="245">
        <v>36800</v>
      </c>
      <c r="B222" s="237" t="s">
        <v>762</v>
      </c>
      <c r="C222" s="249">
        <v>-5944695</v>
      </c>
      <c r="D222" s="249">
        <v>-5621371</v>
      </c>
      <c r="E222" s="249">
        <v>-2201748</v>
      </c>
      <c r="F222" s="249">
        <v>1835749</v>
      </c>
      <c r="G222" s="249">
        <v>0</v>
      </c>
    </row>
    <row r="223" spans="1:7">
      <c r="A223" s="246">
        <v>36802</v>
      </c>
      <c r="B223" s="229" t="s">
        <v>763</v>
      </c>
      <c r="C223" s="250">
        <v>149062</v>
      </c>
      <c r="D223" s="250">
        <v>-23356</v>
      </c>
      <c r="E223" s="250">
        <v>-175171</v>
      </c>
      <c r="F223" s="250">
        <v>141228</v>
      </c>
      <c r="G223" s="250">
        <v>0</v>
      </c>
    </row>
    <row r="224" spans="1:7">
      <c r="A224" s="245">
        <v>36810</v>
      </c>
      <c r="B224" s="237" t="s">
        <v>764</v>
      </c>
      <c r="C224" s="249">
        <v>-9490896</v>
      </c>
      <c r="D224" s="249">
        <v>-10401402</v>
      </c>
      <c r="E224" s="249">
        <v>-4976108</v>
      </c>
      <c r="F224" s="249">
        <v>2844064</v>
      </c>
      <c r="G224" s="249">
        <v>0</v>
      </c>
    </row>
    <row r="225" spans="1:7">
      <c r="A225" s="246">
        <v>36900</v>
      </c>
      <c r="B225" s="229" t="s">
        <v>765</v>
      </c>
      <c r="C225" s="250">
        <v>-393058</v>
      </c>
      <c r="D225" s="250">
        <v>-488928</v>
      </c>
      <c r="E225" s="250">
        <v>46192</v>
      </c>
      <c r="F225" s="250">
        <v>731636</v>
      </c>
      <c r="G225" s="250">
        <v>0</v>
      </c>
    </row>
    <row r="226" spans="1:7" ht="16.05" customHeight="1">
      <c r="A226" s="245">
        <v>36901</v>
      </c>
      <c r="B226" s="237" t="s">
        <v>766</v>
      </c>
      <c r="C226" s="249">
        <v>-324074</v>
      </c>
      <c r="D226" s="249">
        <v>-478545</v>
      </c>
      <c r="E226" s="249">
        <v>-294817</v>
      </c>
      <c r="F226" s="249">
        <v>179590</v>
      </c>
      <c r="G226" s="249">
        <v>0</v>
      </c>
    </row>
    <row r="227" spans="1:7">
      <c r="A227" s="246">
        <v>36905</v>
      </c>
      <c r="B227" s="229" t="s">
        <v>767</v>
      </c>
      <c r="C227" s="250">
        <v>-313626</v>
      </c>
      <c r="D227" s="250">
        <v>-473977</v>
      </c>
      <c r="E227" s="250">
        <v>-257575</v>
      </c>
      <c r="F227" s="250">
        <v>80156</v>
      </c>
      <c r="G227" s="250">
        <v>0</v>
      </c>
    </row>
    <row r="228" spans="1:7">
      <c r="A228" s="245">
        <v>37000</v>
      </c>
      <c r="B228" s="237" t="s">
        <v>768</v>
      </c>
      <c r="C228" s="249">
        <v>-4606619</v>
      </c>
      <c r="D228" s="249">
        <v>-4137522</v>
      </c>
      <c r="E228" s="249">
        <v>-2739610</v>
      </c>
      <c r="F228" s="249">
        <v>259185</v>
      </c>
      <c r="G228" s="249">
        <v>0</v>
      </c>
    </row>
    <row r="229" spans="1:7">
      <c r="A229" s="246">
        <v>37001</v>
      </c>
      <c r="B229" s="229" t="s">
        <v>769</v>
      </c>
      <c r="C229" s="250">
        <v>341216</v>
      </c>
      <c r="D229" s="250">
        <v>203874</v>
      </c>
      <c r="E229" s="250">
        <v>124503</v>
      </c>
      <c r="F229" s="250">
        <v>147816</v>
      </c>
      <c r="G229" s="250">
        <v>0</v>
      </c>
    </row>
    <row r="230" spans="1:7">
      <c r="A230" s="245">
        <v>37005</v>
      </c>
      <c r="B230" s="237" t="s">
        <v>770</v>
      </c>
      <c r="C230" s="249">
        <v>-357498</v>
      </c>
      <c r="D230" s="249">
        <v>-387839</v>
      </c>
      <c r="E230" s="249">
        <v>-51721</v>
      </c>
      <c r="F230" s="249">
        <v>313090</v>
      </c>
      <c r="G230" s="249">
        <v>0</v>
      </c>
    </row>
    <row r="231" spans="1:7">
      <c r="A231" s="246">
        <v>37100</v>
      </c>
      <c r="B231" s="229" t="s">
        <v>771</v>
      </c>
      <c r="C231" s="250">
        <v>-2940061</v>
      </c>
      <c r="D231" s="250">
        <v>-4056210</v>
      </c>
      <c r="E231" s="250">
        <v>-1474245</v>
      </c>
      <c r="F231" s="250">
        <v>2560435</v>
      </c>
      <c r="G231" s="250">
        <v>0</v>
      </c>
    </row>
    <row r="232" spans="1:7">
      <c r="A232" s="245">
        <v>37200</v>
      </c>
      <c r="B232" s="237" t="s">
        <v>772</v>
      </c>
      <c r="C232" s="249">
        <v>-786997</v>
      </c>
      <c r="D232" s="249">
        <v>-873059</v>
      </c>
      <c r="E232" s="249">
        <v>-238305</v>
      </c>
      <c r="F232" s="249">
        <v>660486</v>
      </c>
      <c r="G232" s="249">
        <v>0</v>
      </c>
    </row>
    <row r="233" spans="1:7">
      <c r="A233" s="246">
        <v>37300</v>
      </c>
      <c r="B233" s="229" t="s">
        <v>773</v>
      </c>
      <c r="C233" s="250">
        <v>-3398472</v>
      </c>
      <c r="D233" s="250">
        <v>-3412409</v>
      </c>
      <c r="E233" s="250">
        <v>-1295216</v>
      </c>
      <c r="F233" s="250">
        <v>908027</v>
      </c>
      <c r="G233" s="250">
        <v>0</v>
      </c>
    </row>
    <row r="234" spans="1:7">
      <c r="A234" s="245">
        <v>37301</v>
      </c>
      <c r="B234" s="237" t="s">
        <v>774</v>
      </c>
      <c r="C234" s="249">
        <v>-435474</v>
      </c>
      <c r="D234" s="249">
        <v>-491882</v>
      </c>
      <c r="E234" s="249">
        <v>-323489</v>
      </c>
      <c r="F234" s="249">
        <v>-26984</v>
      </c>
      <c r="G234" s="249">
        <v>0</v>
      </c>
    </row>
    <row r="235" spans="1:7">
      <c r="A235" s="247">
        <v>37305</v>
      </c>
      <c r="B235" s="248" t="s">
        <v>775</v>
      </c>
      <c r="C235" s="251">
        <v>-746675</v>
      </c>
      <c r="D235" s="251">
        <v>-780723</v>
      </c>
      <c r="E235" s="251">
        <v>-253112</v>
      </c>
      <c r="F235" s="251">
        <v>225042</v>
      </c>
      <c r="G235" s="251">
        <v>0</v>
      </c>
    </row>
    <row r="236" spans="1:7">
      <c r="A236" s="245">
        <v>37400</v>
      </c>
      <c r="B236" s="237" t="s">
        <v>776</v>
      </c>
      <c r="C236" s="249">
        <v>-12148202</v>
      </c>
      <c r="D236" s="249">
        <v>-14461919</v>
      </c>
      <c r="E236" s="249">
        <v>-6925299</v>
      </c>
      <c r="F236" s="249">
        <v>2758376</v>
      </c>
      <c r="G236" s="249">
        <v>0</v>
      </c>
    </row>
    <row r="237" spans="1:7">
      <c r="A237" s="246">
        <v>37405</v>
      </c>
      <c r="B237" s="229" t="s">
        <v>777</v>
      </c>
      <c r="C237" s="250">
        <v>-3759788</v>
      </c>
      <c r="D237" s="250">
        <v>-3335765</v>
      </c>
      <c r="E237" s="250">
        <v>-1221401</v>
      </c>
      <c r="F237" s="250">
        <v>942875</v>
      </c>
      <c r="G237" s="250">
        <v>0</v>
      </c>
    </row>
    <row r="238" spans="1:7">
      <c r="A238" s="245">
        <v>37500</v>
      </c>
      <c r="B238" s="237" t="s">
        <v>778</v>
      </c>
      <c r="C238" s="249">
        <v>-1392779</v>
      </c>
      <c r="D238" s="249">
        <v>-1495417</v>
      </c>
      <c r="E238" s="249">
        <v>-566145</v>
      </c>
      <c r="F238" s="249">
        <v>659405</v>
      </c>
      <c r="G238" s="249">
        <v>0</v>
      </c>
    </row>
    <row r="239" spans="1:7">
      <c r="A239" s="246">
        <v>37600</v>
      </c>
      <c r="B239" s="229" t="s">
        <v>779</v>
      </c>
      <c r="C239" s="250">
        <v>-11383599</v>
      </c>
      <c r="D239" s="250">
        <v>-10756121</v>
      </c>
      <c r="E239" s="250">
        <v>-4769731</v>
      </c>
      <c r="F239" s="250">
        <v>2527097</v>
      </c>
      <c r="G239" s="250">
        <v>0</v>
      </c>
    </row>
    <row r="240" spans="1:7">
      <c r="A240" s="245">
        <v>37601</v>
      </c>
      <c r="B240" s="237" t="s">
        <v>780</v>
      </c>
      <c r="C240" s="249">
        <v>851659</v>
      </c>
      <c r="D240" s="249">
        <v>-196244</v>
      </c>
      <c r="E240" s="249">
        <v>-38324</v>
      </c>
      <c r="F240" s="249">
        <v>278816</v>
      </c>
      <c r="G240" s="249">
        <v>0</v>
      </c>
    </row>
    <row r="241" spans="1:7">
      <c r="A241" s="246">
        <v>37605</v>
      </c>
      <c r="B241" s="229" t="s">
        <v>781</v>
      </c>
      <c r="C241" s="250">
        <v>-1170252</v>
      </c>
      <c r="D241" s="250">
        <v>-1236134</v>
      </c>
      <c r="E241" s="250">
        <v>-551648</v>
      </c>
      <c r="F241" s="250">
        <v>457647</v>
      </c>
      <c r="G241" s="250">
        <v>0</v>
      </c>
    </row>
    <row r="242" spans="1:7">
      <c r="A242" s="245">
        <v>37610</v>
      </c>
      <c r="B242" s="237" t="s">
        <v>782</v>
      </c>
      <c r="C242" s="249">
        <v>-3347714</v>
      </c>
      <c r="D242" s="249">
        <v>-3563449</v>
      </c>
      <c r="E242" s="249">
        <v>-2067065</v>
      </c>
      <c r="F242" s="249">
        <v>594236</v>
      </c>
      <c r="G242" s="249">
        <v>0</v>
      </c>
    </row>
    <row r="243" spans="1:7">
      <c r="A243" s="246">
        <v>37700</v>
      </c>
      <c r="B243" s="229" t="s">
        <v>783</v>
      </c>
      <c r="C243" s="250">
        <v>-3869673</v>
      </c>
      <c r="D243" s="250">
        <v>-4077390</v>
      </c>
      <c r="E243" s="250">
        <v>-1502222</v>
      </c>
      <c r="F243" s="250">
        <v>1807392</v>
      </c>
      <c r="G243" s="250">
        <v>0</v>
      </c>
    </row>
    <row r="244" spans="1:7">
      <c r="A244" s="245">
        <v>37705</v>
      </c>
      <c r="B244" s="237" t="s">
        <v>784</v>
      </c>
      <c r="C244" s="249">
        <v>-1419192</v>
      </c>
      <c r="D244" s="249">
        <v>-1492060</v>
      </c>
      <c r="E244" s="249">
        <v>-611202</v>
      </c>
      <c r="F244" s="249">
        <v>489375</v>
      </c>
      <c r="G244" s="249">
        <v>0</v>
      </c>
    </row>
    <row r="245" spans="1:7">
      <c r="A245" s="246">
        <v>37800</v>
      </c>
      <c r="B245" s="229" t="s">
        <v>785</v>
      </c>
      <c r="C245" s="250">
        <v>-13719616</v>
      </c>
      <c r="D245" s="250">
        <v>-14125993</v>
      </c>
      <c r="E245" s="250">
        <v>-5053369</v>
      </c>
      <c r="F245" s="250">
        <v>3317165</v>
      </c>
      <c r="G245" s="250">
        <v>0</v>
      </c>
    </row>
    <row r="246" spans="1:7">
      <c r="A246" s="245">
        <v>37801</v>
      </c>
      <c r="B246" s="237" t="s">
        <v>786</v>
      </c>
      <c r="C246" s="249">
        <v>-61346</v>
      </c>
      <c r="D246" s="249">
        <v>-67011</v>
      </c>
      <c r="E246" s="249">
        <v>-59069</v>
      </c>
      <c r="F246" s="249">
        <v>37924</v>
      </c>
      <c r="G246" s="249">
        <v>0</v>
      </c>
    </row>
    <row r="247" spans="1:7">
      <c r="A247" s="246">
        <v>37805</v>
      </c>
      <c r="B247" s="229" t="s">
        <v>787</v>
      </c>
      <c r="C247" s="250">
        <v>-763896</v>
      </c>
      <c r="D247" s="250">
        <v>-521403</v>
      </c>
      <c r="E247" s="250">
        <v>-115951</v>
      </c>
      <c r="F247" s="250">
        <v>371425</v>
      </c>
      <c r="G247" s="250">
        <v>0</v>
      </c>
    </row>
    <row r="248" spans="1:7">
      <c r="A248" s="245">
        <v>37900</v>
      </c>
      <c r="B248" s="237" t="s">
        <v>788</v>
      </c>
      <c r="C248" s="249">
        <v>-6710277</v>
      </c>
      <c r="D248" s="249">
        <v>-5845404</v>
      </c>
      <c r="E248" s="249">
        <v>-2720051</v>
      </c>
      <c r="F248" s="249">
        <v>1204760</v>
      </c>
      <c r="G248" s="249">
        <v>0</v>
      </c>
    </row>
    <row r="249" spans="1:7">
      <c r="A249" s="246">
        <v>37901</v>
      </c>
      <c r="B249" s="229" t="s">
        <v>789</v>
      </c>
      <c r="C249" s="250">
        <v>166540</v>
      </c>
      <c r="D249" s="250">
        <v>44977</v>
      </c>
      <c r="E249" s="250">
        <v>119224</v>
      </c>
      <c r="F249" s="250">
        <v>105138</v>
      </c>
      <c r="G249" s="250">
        <v>0</v>
      </c>
    </row>
    <row r="250" spans="1:7">
      <c r="A250" s="245">
        <v>37905</v>
      </c>
      <c r="B250" s="237" t="s">
        <v>790</v>
      </c>
      <c r="C250" s="249">
        <v>-652648</v>
      </c>
      <c r="D250" s="249">
        <v>-622041</v>
      </c>
      <c r="E250" s="249">
        <v>-240151</v>
      </c>
      <c r="F250" s="249">
        <v>227922</v>
      </c>
      <c r="G250" s="249">
        <v>0</v>
      </c>
    </row>
    <row r="251" spans="1:7">
      <c r="A251" s="246">
        <v>38000</v>
      </c>
      <c r="B251" s="229" t="s">
        <v>791</v>
      </c>
      <c r="C251" s="250">
        <v>-14167345</v>
      </c>
      <c r="D251" s="250">
        <v>-14394949</v>
      </c>
      <c r="E251" s="250">
        <v>-8644423</v>
      </c>
      <c r="F251" s="250">
        <v>-4219</v>
      </c>
      <c r="G251" s="250">
        <v>0</v>
      </c>
    </row>
    <row r="252" spans="1:7">
      <c r="A252" s="245">
        <v>38005</v>
      </c>
      <c r="B252" s="237" t="s">
        <v>792</v>
      </c>
      <c r="C252" s="249">
        <v>-807736</v>
      </c>
      <c r="D252" s="249">
        <v>-1301581</v>
      </c>
      <c r="E252" s="249">
        <v>-69211</v>
      </c>
      <c r="F252" s="249">
        <v>1046180</v>
      </c>
      <c r="G252" s="249">
        <v>0</v>
      </c>
    </row>
    <row r="253" spans="1:7">
      <c r="A253" s="246">
        <v>38100</v>
      </c>
      <c r="B253" s="229" t="s">
        <v>793</v>
      </c>
      <c r="C253" s="250">
        <v>-4484575</v>
      </c>
      <c r="D253" s="250">
        <v>-4905569</v>
      </c>
      <c r="E253" s="250">
        <v>-1906536</v>
      </c>
      <c r="F253" s="250">
        <v>2514431</v>
      </c>
      <c r="G253" s="250">
        <v>0</v>
      </c>
    </row>
    <row r="254" spans="1:7">
      <c r="A254" s="245">
        <v>38105</v>
      </c>
      <c r="B254" s="237" t="s">
        <v>794</v>
      </c>
      <c r="C254" s="249">
        <v>-835495</v>
      </c>
      <c r="D254" s="249">
        <v>-859324</v>
      </c>
      <c r="E254" s="249">
        <v>-308463</v>
      </c>
      <c r="F254" s="249">
        <v>451117</v>
      </c>
      <c r="G254" s="249">
        <v>0</v>
      </c>
    </row>
    <row r="255" spans="1:7">
      <c r="A255" s="246">
        <v>38200</v>
      </c>
      <c r="B255" s="229" t="s">
        <v>795</v>
      </c>
      <c r="C255" s="250">
        <v>-4506604</v>
      </c>
      <c r="D255" s="250">
        <v>-4622415</v>
      </c>
      <c r="E255" s="250">
        <v>-1563878</v>
      </c>
      <c r="F255" s="250">
        <v>1180406</v>
      </c>
      <c r="G255" s="250">
        <v>0</v>
      </c>
    </row>
    <row r="256" spans="1:7">
      <c r="A256" s="245">
        <v>38205</v>
      </c>
      <c r="B256" s="237" t="s">
        <v>796</v>
      </c>
      <c r="C256" s="249">
        <v>-502071</v>
      </c>
      <c r="D256" s="249">
        <v>-593947</v>
      </c>
      <c r="E256" s="249">
        <v>-328501</v>
      </c>
      <c r="F256" s="249">
        <v>282583</v>
      </c>
      <c r="G256" s="249">
        <v>0</v>
      </c>
    </row>
    <row r="257" spans="1:7">
      <c r="A257" s="246">
        <v>38210</v>
      </c>
      <c r="B257" s="229" t="s">
        <v>797</v>
      </c>
      <c r="C257" s="250">
        <v>-1659794</v>
      </c>
      <c r="D257" s="250">
        <v>-1702728</v>
      </c>
      <c r="E257" s="250">
        <v>-533720</v>
      </c>
      <c r="F257" s="250">
        <v>510995</v>
      </c>
      <c r="G257" s="250">
        <v>0</v>
      </c>
    </row>
    <row r="258" spans="1:7">
      <c r="A258" s="245">
        <v>38300</v>
      </c>
      <c r="B258" s="237" t="s">
        <v>798</v>
      </c>
      <c r="C258" s="249">
        <v>-4089538</v>
      </c>
      <c r="D258" s="249">
        <v>-3833894</v>
      </c>
      <c r="E258" s="249">
        <v>-1953007</v>
      </c>
      <c r="F258" s="249">
        <v>446246</v>
      </c>
      <c r="G258" s="249">
        <v>0</v>
      </c>
    </row>
    <row r="259" spans="1:7">
      <c r="A259" s="246">
        <v>38400</v>
      </c>
      <c r="B259" s="229" t="s">
        <v>799</v>
      </c>
      <c r="C259" s="250">
        <v>-4280382</v>
      </c>
      <c r="D259" s="250">
        <v>-3932890</v>
      </c>
      <c r="E259" s="250">
        <v>-2140209</v>
      </c>
      <c r="F259" s="250">
        <v>1626054</v>
      </c>
      <c r="G259" s="250">
        <v>0</v>
      </c>
    </row>
    <row r="260" spans="1:7">
      <c r="A260" s="245">
        <v>38402</v>
      </c>
      <c r="B260" s="237" t="s">
        <v>800</v>
      </c>
      <c r="C260" s="249">
        <v>-283884</v>
      </c>
      <c r="D260" s="249">
        <v>-462532</v>
      </c>
      <c r="E260" s="249">
        <v>-229081</v>
      </c>
      <c r="F260" s="249">
        <v>86233</v>
      </c>
      <c r="G260" s="249">
        <v>0</v>
      </c>
    </row>
    <row r="261" spans="1:7">
      <c r="A261" s="246">
        <v>38405</v>
      </c>
      <c r="B261" s="229" t="s">
        <v>801</v>
      </c>
      <c r="C261" s="250">
        <v>-1532863</v>
      </c>
      <c r="D261" s="250">
        <v>-1234164</v>
      </c>
      <c r="E261" s="250">
        <v>-573139</v>
      </c>
      <c r="F261" s="250">
        <v>399221</v>
      </c>
      <c r="G261" s="250">
        <v>0</v>
      </c>
    </row>
    <row r="262" spans="1:7">
      <c r="A262" s="245">
        <v>38500</v>
      </c>
      <c r="B262" s="237" t="s">
        <v>802</v>
      </c>
      <c r="C262" s="249">
        <v>-3507284</v>
      </c>
      <c r="D262" s="249">
        <v>-3287425</v>
      </c>
      <c r="E262" s="249">
        <v>-1340135</v>
      </c>
      <c r="F262" s="249">
        <v>648135</v>
      </c>
      <c r="G262" s="249">
        <v>0</v>
      </c>
    </row>
    <row r="263" spans="1:7">
      <c r="A263" s="246">
        <v>38600</v>
      </c>
      <c r="B263" s="229" t="s">
        <v>803</v>
      </c>
      <c r="C263" s="250">
        <v>-4848978</v>
      </c>
      <c r="D263" s="250">
        <v>-4906327</v>
      </c>
      <c r="E263" s="250">
        <v>-1856868</v>
      </c>
      <c r="F263" s="250">
        <v>1152064</v>
      </c>
      <c r="G263" s="250">
        <v>0</v>
      </c>
    </row>
    <row r="264" spans="1:7">
      <c r="A264" s="245">
        <v>38601</v>
      </c>
      <c r="B264" s="237" t="s">
        <v>804</v>
      </c>
      <c r="C264" s="249">
        <v>-254946</v>
      </c>
      <c r="D264" s="249">
        <v>-263224</v>
      </c>
      <c r="E264" s="249">
        <v>-270997</v>
      </c>
      <c r="F264" s="249">
        <v>0</v>
      </c>
      <c r="G264" s="249">
        <v>0</v>
      </c>
    </row>
    <row r="265" spans="1:7">
      <c r="A265" s="246">
        <v>38602</v>
      </c>
      <c r="B265" s="229" t="s">
        <v>805</v>
      </c>
      <c r="C265" s="250">
        <v>-444977</v>
      </c>
      <c r="D265" s="250">
        <v>-479894</v>
      </c>
      <c r="E265" s="250">
        <v>-346642</v>
      </c>
      <c r="F265" s="250">
        <v>5120</v>
      </c>
      <c r="G265" s="250">
        <v>0</v>
      </c>
    </row>
    <row r="266" spans="1:7">
      <c r="A266" s="245">
        <v>38605</v>
      </c>
      <c r="B266" s="237" t="s">
        <v>806</v>
      </c>
      <c r="C266" s="249">
        <v>-1646253</v>
      </c>
      <c r="D266" s="249">
        <v>-1532151</v>
      </c>
      <c r="E266" s="249">
        <v>-656973</v>
      </c>
      <c r="F266" s="249">
        <v>-99333</v>
      </c>
      <c r="G266" s="249">
        <v>0</v>
      </c>
    </row>
    <row r="267" spans="1:7">
      <c r="A267" s="246">
        <v>38610</v>
      </c>
      <c r="B267" s="229" t="s">
        <v>807</v>
      </c>
      <c r="C267" s="250">
        <v>-340283</v>
      </c>
      <c r="D267" s="250">
        <v>-596714</v>
      </c>
      <c r="E267" s="250">
        <v>-159451</v>
      </c>
      <c r="F267" s="250">
        <v>576639</v>
      </c>
      <c r="G267" s="250">
        <v>0</v>
      </c>
    </row>
    <row r="268" spans="1:7">
      <c r="A268" s="245">
        <v>38620</v>
      </c>
      <c r="B268" s="237" t="s">
        <v>808</v>
      </c>
      <c r="C268" s="249">
        <v>-441105</v>
      </c>
      <c r="D268" s="249">
        <v>-351516</v>
      </c>
      <c r="E268" s="249">
        <v>42442</v>
      </c>
      <c r="F268" s="249">
        <v>358810</v>
      </c>
      <c r="G268" s="249">
        <v>0</v>
      </c>
    </row>
    <row r="269" spans="1:7">
      <c r="A269" s="246">
        <v>38700</v>
      </c>
      <c r="B269" s="229" t="s">
        <v>809</v>
      </c>
      <c r="C269" s="250">
        <v>-1113826</v>
      </c>
      <c r="D269" s="250">
        <v>-1211201</v>
      </c>
      <c r="E269" s="250">
        <v>-271110</v>
      </c>
      <c r="F269" s="250">
        <v>698261</v>
      </c>
      <c r="G269" s="250">
        <v>0</v>
      </c>
    </row>
    <row r="270" spans="1:7">
      <c r="A270" s="245">
        <v>38701</v>
      </c>
      <c r="B270" s="237" t="s">
        <v>810</v>
      </c>
      <c r="C270" s="249">
        <v>13076</v>
      </c>
      <c r="D270" s="249">
        <v>-14654</v>
      </c>
      <c r="E270" s="249">
        <v>41639</v>
      </c>
      <c r="F270" s="249">
        <v>82658</v>
      </c>
      <c r="G270" s="249">
        <v>0</v>
      </c>
    </row>
    <row r="271" spans="1:7">
      <c r="A271" s="246">
        <v>38800</v>
      </c>
      <c r="B271" s="229" t="s">
        <v>811</v>
      </c>
      <c r="C271" s="250">
        <v>-2117575</v>
      </c>
      <c r="D271" s="250">
        <v>-2130129</v>
      </c>
      <c r="E271" s="250">
        <v>-833914</v>
      </c>
      <c r="F271" s="250">
        <v>483685</v>
      </c>
      <c r="G271" s="250">
        <v>0</v>
      </c>
    </row>
    <row r="272" spans="1:7">
      <c r="A272" s="245">
        <v>38801</v>
      </c>
      <c r="B272" s="237" t="s">
        <v>812</v>
      </c>
      <c r="C272" s="249">
        <v>-160345</v>
      </c>
      <c r="D272" s="249">
        <v>-86243</v>
      </c>
      <c r="E272" s="249">
        <v>-125202</v>
      </c>
      <c r="F272" s="249">
        <v>48048</v>
      </c>
      <c r="G272" s="249">
        <v>0</v>
      </c>
    </row>
    <row r="273" spans="1:7">
      <c r="A273" s="246">
        <v>38900</v>
      </c>
      <c r="B273" s="229" t="s">
        <v>813</v>
      </c>
      <c r="C273" s="250">
        <v>-529655</v>
      </c>
      <c r="D273" s="250">
        <v>-518169</v>
      </c>
      <c r="E273" s="250">
        <v>-419543</v>
      </c>
      <c r="F273" s="250">
        <v>-18753</v>
      </c>
      <c r="G273" s="250">
        <v>0</v>
      </c>
    </row>
    <row r="274" spans="1:7">
      <c r="A274" s="245">
        <v>39000</v>
      </c>
      <c r="B274" s="237" t="s">
        <v>814</v>
      </c>
      <c r="C274" s="249">
        <v>-25590970</v>
      </c>
      <c r="D274" s="249">
        <v>-28254714</v>
      </c>
      <c r="E274" s="249">
        <v>-16097799</v>
      </c>
      <c r="F274" s="249">
        <v>4496815</v>
      </c>
      <c r="G274" s="249">
        <v>0</v>
      </c>
    </row>
    <row r="275" spans="1:7">
      <c r="A275" s="246">
        <v>39100</v>
      </c>
      <c r="B275" s="229" t="s">
        <v>815</v>
      </c>
      <c r="C275" s="250">
        <v>-5304308</v>
      </c>
      <c r="D275" s="250">
        <v>-4369638</v>
      </c>
      <c r="E275" s="250">
        <v>-2278823</v>
      </c>
      <c r="F275" s="250">
        <v>959487</v>
      </c>
      <c r="G275" s="250">
        <v>0</v>
      </c>
    </row>
    <row r="276" spans="1:7">
      <c r="A276" s="245">
        <v>39101</v>
      </c>
      <c r="B276" s="237" t="s">
        <v>816</v>
      </c>
      <c r="C276" s="249">
        <v>32371</v>
      </c>
      <c r="D276" s="249">
        <v>-192109</v>
      </c>
      <c r="E276" s="249">
        <v>-41407</v>
      </c>
      <c r="F276" s="249">
        <v>176262</v>
      </c>
      <c r="G276" s="249">
        <v>0</v>
      </c>
    </row>
    <row r="277" spans="1:7">
      <c r="A277" s="246">
        <v>39105</v>
      </c>
      <c r="B277" s="229" t="s">
        <v>817</v>
      </c>
      <c r="C277" s="250">
        <v>-2204449</v>
      </c>
      <c r="D277" s="250">
        <v>-1474662</v>
      </c>
      <c r="E277" s="250">
        <v>-654041</v>
      </c>
      <c r="F277" s="250">
        <v>409414</v>
      </c>
      <c r="G277" s="250">
        <v>0</v>
      </c>
    </row>
    <row r="278" spans="1:7">
      <c r="A278" s="245">
        <v>39200</v>
      </c>
      <c r="B278" s="237" t="s">
        <v>818</v>
      </c>
      <c r="C278" s="249">
        <v>-95543091</v>
      </c>
      <c r="D278" s="249">
        <v>-107326209</v>
      </c>
      <c r="E278" s="249">
        <v>-53076882</v>
      </c>
      <c r="F278" s="249">
        <v>38558980</v>
      </c>
      <c r="G278" s="249">
        <v>0</v>
      </c>
    </row>
    <row r="279" spans="1:7">
      <c r="A279" s="246">
        <v>39201</v>
      </c>
      <c r="B279" s="229" t="s">
        <v>819</v>
      </c>
      <c r="C279" s="250">
        <v>497</v>
      </c>
      <c r="D279" s="250">
        <v>63214</v>
      </c>
      <c r="E279" s="250">
        <v>317771</v>
      </c>
      <c r="F279" s="250">
        <v>334457</v>
      </c>
      <c r="G279" s="250">
        <v>0</v>
      </c>
    </row>
    <row r="280" spans="1:7">
      <c r="A280" s="245">
        <v>39204</v>
      </c>
      <c r="B280" s="237" t="s">
        <v>820</v>
      </c>
      <c r="C280" s="249">
        <v>-169946</v>
      </c>
      <c r="D280" s="249">
        <v>-524937</v>
      </c>
      <c r="E280" s="249">
        <v>-659819</v>
      </c>
      <c r="F280" s="249">
        <v>94704</v>
      </c>
      <c r="G280" s="249">
        <v>0</v>
      </c>
    </row>
    <row r="281" spans="1:7">
      <c r="A281" s="246">
        <v>39205</v>
      </c>
      <c r="B281" s="229" t="s">
        <v>821</v>
      </c>
      <c r="C281" s="250">
        <v>-5130859</v>
      </c>
      <c r="D281" s="250">
        <v>-7225391</v>
      </c>
      <c r="E281" s="250">
        <v>-1792284</v>
      </c>
      <c r="F281" s="250">
        <v>3622402</v>
      </c>
      <c r="G281" s="250">
        <v>0</v>
      </c>
    </row>
    <row r="282" spans="1:7">
      <c r="A282" s="245">
        <v>39208</v>
      </c>
      <c r="B282" s="237" t="s">
        <v>822</v>
      </c>
      <c r="C282" s="249">
        <v>-654897</v>
      </c>
      <c r="D282" s="249">
        <v>-678083</v>
      </c>
      <c r="E282" s="249">
        <v>-539022</v>
      </c>
      <c r="F282" s="249">
        <v>98327</v>
      </c>
      <c r="G282" s="249">
        <v>0</v>
      </c>
    </row>
    <row r="283" spans="1:7">
      <c r="A283" s="246">
        <v>39209</v>
      </c>
      <c r="B283" s="229" t="s">
        <v>823</v>
      </c>
      <c r="C283" s="250">
        <v>-1312887</v>
      </c>
      <c r="D283" s="250">
        <v>-1292094</v>
      </c>
      <c r="E283" s="250">
        <v>-1184324</v>
      </c>
      <c r="F283" s="250">
        <v>0</v>
      </c>
      <c r="G283" s="250">
        <v>0</v>
      </c>
    </row>
    <row r="284" spans="1:7">
      <c r="A284" s="245">
        <v>39220</v>
      </c>
      <c r="B284" s="237" t="s">
        <v>824</v>
      </c>
      <c r="C284" s="249">
        <v>39486</v>
      </c>
      <c r="D284" s="249">
        <v>-216592</v>
      </c>
      <c r="E284" s="249">
        <v>-404838</v>
      </c>
      <c r="F284" s="249">
        <v>-349733</v>
      </c>
      <c r="G284" s="249">
        <v>0</v>
      </c>
    </row>
    <row r="285" spans="1:7">
      <c r="A285" s="246">
        <v>39300</v>
      </c>
      <c r="B285" s="229" t="s">
        <v>825</v>
      </c>
      <c r="C285" s="250">
        <v>-1538224</v>
      </c>
      <c r="D285" s="250">
        <v>-1534530</v>
      </c>
      <c r="E285" s="250">
        <v>-487266</v>
      </c>
      <c r="F285" s="250">
        <v>585903</v>
      </c>
      <c r="G285" s="250">
        <v>0</v>
      </c>
    </row>
    <row r="286" spans="1:7">
      <c r="A286" s="245">
        <v>39301</v>
      </c>
      <c r="B286" s="237" t="s">
        <v>826</v>
      </c>
      <c r="C286" s="249">
        <v>-59331</v>
      </c>
      <c r="D286" s="249">
        <v>-8011</v>
      </c>
      <c r="E286" s="249">
        <v>-6086</v>
      </c>
      <c r="F286" s="249">
        <v>31851</v>
      </c>
      <c r="G286" s="249">
        <v>0</v>
      </c>
    </row>
    <row r="287" spans="1:7">
      <c r="A287" s="246">
        <v>39400</v>
      </c>
      <c r="B287" s="229" t="s">
        <v>827</v>
      </c>
      <c r="C287" s="250">
        <v>-1623837</v>
      </c>
      <c r="D287" s="250">
        <v>-1256165</v>
      </c>
      <c r="E287" s="250">
        <v>-564312</v>
      </c>
      <c r="F287" s="250">
        <v>356991</v>
      </c>
      <c r="G287" s="250">
        <v>0</v>
      </c>
    </row>
    <row r="288" spans="1:7">
      <c r="A288" s="245">
        <v>39401</v>
      </c>
      <c r="B288" s="237" t="s">
        <v>828</v>
      </c>
      <c r="C288" s="249">
        <v>-368566</v>
      </c>
      <c r="D288" s="249">
        <v>-662621</v>
      </c>
      <c r="E288" s="249">
        <v>-816336</v>
      </c>
      <c r="F288" s="249">
        <v>-157230</v>
      </c>
      <c r="G288" s="249">
        <v>0</v>
      </c>
    </row>
    <row r="289" spans="1:7">
      <c r="A289" s="246">
        <v>39500</v>
      </c>
      <c r="B289" s="229" t="s">
        <v>829</v>
      </c>
      <c r="C289" s="250">
        <v>-1876539</v>
      </c>
      <c r="D289" s="250">
        <v>-2611365</v>
      </c>
      <c r="E289" s="250">
        <v>-957261</v>
      </c>
      <c r="F289" s="250">
        <v>257575</v>
      </c>
      <c r="G289" s="250">
        <v>0</v>
      </c>
    </row>
    <row r="290" spans="1:7">
      <c r="A290" s="245">
        <v>39501</v>
      </c>
      <c r="B290" s="237" t="s">
        <v>830</v>
      </c>
      <c r="C290" s="249">
        <v>-122427</v>
      </c>
      <c r="D290" s="249">
        <v>-87984</v>
      </c>
      <c r="E290" s="249">
        <v>-44980</v>
      </c>
      <c r="F290" s="249">
        <v>15780</v>
      </c>
      <c r="G290" s="249">
        <v>0</v>
      </c>
    </row>
    <row r="291" spans="1:7">
      <c r="A291" s="246">
        <v>39600</v>
      </c>
      <c r="B291" s="229" t="s">
        <v>831</v>
      </c>
      <c r="C291" s="250">
        <v>-11306352</v>
      </c>
      <c r="D291" s="250">
        <v>-11973721</v>
      </c>
      <c r="E291" s="250">
        <v>-7246514</v>
      </c>
      <c r="F291" s="250">
        <v>3117399</v>
      </c>
      <c r="G291" s="250">
        <v>0</v>
      </c>
    </row>
    <row r="292" spans="1:7">
      <c r="A292" s="245">
        <v>39605</v>
      </c>
      <c r="B292" s="237" t="s">
        <v>832</v>
      </c>
      <c r="C292" s="249">
        <v>-1701274</v>
      </c>
      <c r="D292" s="249">
        <v>-1731357</v>
      </c>
      <c r="E292" s="249">
        <v>-916266</v>
      </c>
      <c r="F292" s="249">
        <v>823</v>
      </c>
      <c r="G292" s="249">
        <v>0</v>
      </c>
    </row>
    <row r="293" spans="1:7">
      <c r="A293" s="246">
        <v>39700</v>
      </c>
      <c r="B293" s="229" t="s">
        <v>833</v>
      </c>
      <c r="C293" s="250">
        <v>-6473841</v>
      </c>
      <c r="D293" s="250">
        <v>-6569315</v>
      </c>
      <c r="E293" s="250">
        <v>-3507025</v>
      </c>
      <c r="F293" s="250">
        <v>763861</v>
      </c>
      <c r="G293" s="250">
        <v>0</v>
      </c>
    </row>
    <row r="294" spans="1:7">
      <c r="A294" s="245">
        <v>39703</v>
      </c>
      <c r="B294" s="237" t="s">
        <v>834</v>
      </c>
      <c r="C294" s="249">
        <v>-185409</v>
      </c>
      <c r="D294" s="249">
        <v>-484063</v>
      </c>
      <c r="E294" s="249">
        <v>-220229</v>
      </c>
      <c r="F294" s="249">
        <v>162525</v>
      </c>
      <c r="G294" s="249">
        <v>0</v>
      </c>
    </row>
    <row r="295" spans="1:7">
      <c r="A295" s="246">
        <v>39705</v>
      </c>
      <c r="B295" s="229" t="s">
        <v>835</v>
      </c>
      <c r="C295" s="250">
        <v>-906565</v>
      </c>
      <c r="D295" s="250">
        <v>-1117196</v>
      </c>
      <c r="E295" s="250">
        <v>-354020</v>
      </c>
      <c r="F295" s="250">
        <v>598858</v>
      </c>
      <c r="G295" s="250">
        <v>0</v>
      </c>
    </row>
    <row r="296" spans="1:7">
      <c r="A296" s="245">
        <v>39800</v>
      </c>
      <c r="B296" s="237" t="s">
        <v>836</v>
      </c>
      <c r="C296" s="249">
        <v>-8238577</v>
      </c>
      <c r="D296" s="249">
        <v>-7216533</v>
      </c>
      <c r="E296" s="249">
        <v>-3241302</v>
      </c>
      <c r="F296" s="249">
        <v>1392179</v>
      </c>
      <c r="G296" s="249">
        <v>0</v>
      </c>
    </row>
    <row r="297" spans="1:7">
      <c r="A297" s="246">
        <v>39805</v>
      </c>
      <c r="B297" s="229" t="s">
        <v>837</v>
      </c>
      <c r="C297" s="250">
        <v>-646094</v>
      </c>
      <c r="D297" s="250">
        <v>-867661</v>
      </c>
      <c r="E297" s="250">
        <v>-313311</v>
      </c>
      <c r="F297" s="250">
        <v>206564</v>
      </c>
      <c r="G297" s="250">
        <v>0</v>
      </c>
    </row>
    <row r="298" spans="1:7">
      <c r="A298" s="245">
        <v>39900</v>
      </c>
      <c r="B298" s="237" t="s">
        <v>838</v>
      </c>
      <c r="C298" s="249">
        <v>-3166726</v>
      </c>
      <c r="D298" s="249">
        <v>-3053250</v>
      </c>
      <c r="E298" s="249">
        <v>-877910</v>
      </c>
      <c r="F298" s="249">
        <v>925515</v>
      </c>
      <c r="G298" s="249">
        <v>0</v>
      </c>
    </row>
    <row r="299" spans="1:7">
      <c r="A299" s="246">
        <v>40000</v>
      </c>
      <c r="B299" s="229" t="s">
        <v>839</v>
      </c>
      <c r="C299" s="250">
        <v>3497318</v>
      </c>
      <c r="D299" s="250">
        <v>-792152</v>
      </c>
      <c r="E299" s="250">
        <v>634708</v>
      </c>
      <c r="F299" s="250">
        <v>3246090</v>
      </c>
      <c r="G299" s="250">
        <v>0</v>
      </c>
    </row>
    <row r="300" spans="1:7">
      <c r="A300" s="245">
        <v>51000</v>
      </c>
      <c r="B300" s="237" t="s">
        <v>840</v>
      </c>
      <c r="C300" s="249">
        <v>-31164261</v>
      </c>
      <c r="D300" s="249">
        <v>-36676294</v>
      </c>
      <c r="E300" s="249">
        <v>-26919274</v>
      </c>
      <c r="F300" s="249">
        <v>15549208</v>
      </c>
      <c r="G300" s="249">
        <v>0</v>
      </c>
    </row>
    <row r="301" spans="1:7">
      <c r="A301" s="246">
        <v>51000.2</v>
      </c>
      <c r="B301" s="229" t="s">
        <v>841</v>
      </c>
      <c r="C301" s="250">
        <v>74545</v>
      </c>
      <c r="D301" s="250">
        <v>1857</v>
      </c>
      <c r="E301" s="250">
        <v>74435</v>
      </c>
      <c r="F301" s="250">
        <v>-21541</v>
      </c>
      <c r="G301" s="250">
        <v>0</v>
      </c>
    </row>
    <row r="302" spans="1:7">
      <c r="A302" s="245">
        <v>51000.3</v>
      </c>
      <c r="B302" s="237" t="s">
        <v>842</v>
      </c>
      <c r="C302" s="249">
        <v>-205899</v>
      </c>
      <c r="D302" s="249">
        <v>-537556</v>
      </c>
      <c r="E302" s="249">
        <v>-248661</v>
      </c>
      <c r="F302" s="249">
        <v>348527</v>
      </c>
      <c r="G302" s="249">
        <v>0</v>
      </c>
    </row>
    <row r="303" spans="1:7">
      <c r="A303" s="246">
        <v>60000</v>
      </c>
      <c r="B303" s="229" t="s">
        <v>843</v>
      </c>
      <c r="C303" s="250">
        <v>-5457</v>
      </c>
      <c r="D303" s="250">
        <v>-222371</v>
      </c>
      <c r="E303" s="250">
        <v>-111033</v>
      </c>
      <c r="F303" s="250">
        <v>50609</v>
      </c>
      <c r="G303" s="250">
        <v>0</v>
      </c>
    </row>
    <row r="304" spans="1:7">
      <c r="A304" s="245">
        <v>90901</v>
      </c>
      <c r="B304" s="237" t="s">
        <v>844</v>
      </c>
      <c r="C304" s="249">
        <v>-946888</v>
      </c>
      <c r="D304" s="249">
        <v>-1616159</v>
      </c>
      <c r="E304" s="249">
        <v>-691880</v>
      </c>
      <c r="F304" s="249">
        <v>325787</v>
      </c>
      <c r="G304" s="249">
        <v>0</v>
      </c>
    </row>
    <row r="305" spans="1:9">
      <c r="A305" s="246">
        <v>91041</v>
      </c>
      <c r="B305" s="229" t="s">
        <v>845</v>
      </c>
      <c r="C305" s="250">
        <v>-84592</v>
      </c>
      <c r="D305" s="250">
        <v>-194401</v>
      </c>
      <c r="E305" s="250">
        <v>-72844</v>
      </c>
      <c r="F305" s="250">
        <v>174672</v>
      </c>
      <c r="G305" s="250">
        <v>0</v>
      </c>
    </row>
    <row r="306" spans="1:9">
      <c r="A306" s="245">
        <v>91111</v>
      </c>
      <c r="B306" s="237" t="s">
        <v>846</v>
      </c>
      <c r="C306" s="249">
        <v>-32270</v>
      </c>
      <c r="D306" s="249">
        <v>-51768</v>
      </c>
      <c r="E306" s="249">
        <v>74034</v>
      </c>
      <c r="F306" s="249">
        <v>150563</v>
      </c>
      <c r="G306" s="249">
        <v>0</v>
      </c>
    </row>
    <row r="307" spans="1:9">
      <c r="A307" s="246">
        <v>91151</v>
      </c>
      <c r="B307" s="229" t="s">
        <v>847</v>
      </c>
      <c r="C307" s="250">
        <v>-118616</v>
      </c>
      <c r="D307" s="250">
        <v>-247675</v>
      </c>
      <c r="E307" s="250">
        <v>-19061</v>
      </c>
      <c r="F307" s="250">
        <v>142755</v>
      </c>
      <c r="G307" s="250">
        <v>0</v>
      </c>
    </row>
    <row r="308" spans="1:9">
      <c r="A308" s="245">
        <v>98101</v>
      </c>
      <c r="B308" s="237" t="s">
        <v>848</v>
      </c>
      <c r="C308" s="249">
        <v>-859217</v>
      </c>
      <c r="D308" s="249">
        <v>-1477869</v>
      </c>
      <c r="E308" s="249">
        <v>-677747</v>
      </c>
      <c r="F308" s="249">
        <v>401681</v>
      </c>
      <c r="G308" s="249">
        <v>0</v>
      </c>
    </row>
    <row r="309" spans="1:9">
      <c r="A309" s="246">
        <v>98103</v>
      </c>
      <c r="B309" s="229" t="s">
        <v>849</v>
      </c>
      <c r="C309" s="250">
        <v>-237635</v>
      </c>
      <c r="D309" s="250">
        <v>-323969</v>
      </c>
      <c r="E309" s="250">
        <v>-290257</v>
      </c>
      <c r="F309" s="250">
        <v>-32544</v>
      </c>
      <c r="G309" s="250">
        <v>0</v>
      </c>
    </row>
    <row r="310" spans="1:9">
      <c r="A310" s="245">
        <v>98111</v>
      </c>
      <c r="B310" s="237" t="s">
        <v>850</v>
      </c>
      <c r="C310" s="249">
        <v>-400981</v>
      </c>
      <c r="D310" s="249">
        <v>-593256</v>
      </c>
      <c r="E310" s="249">
        <v>-270075</v>
      </c>
      <c r="F310" s="249">
        <v>252630</v>
      </c>
      <c r="G310" s="249">
        <v>0</v>
      </c>
    </row>
    <row r="311" spans="1:9">
      <c r="A311" s="246">
        <v>98131</v>
      </c>
      <c r="B311" s="229" t="s">
        <v>851</v>
      </c>
      <c r="C311" s="250">
        <v>-6395</v>
      </c>
      <c r="D311" s="250">
        <v>-60192</v>
      </c>
      <c r="E311" s="250">
        <v>-23731</v>
      </c>
      <c r="F311" s="250">
        <v>105346</v>
      </c>
      <c r="G311" s="250">
        <v>0</v>
      </c>
    </row>
    <row r="312" spans="1:9">
      <c r="A312" s="245">
        <v>99401</v>
      </c>
      <c r="B312" s="237" t="s">
        <v>852</v>
      </c>
      <c r="C312" s="249">
        <v>-426580</v>
      </c>
      <c r="D312" s="249">
        <v>-539214</v>
      </c>
      <c r="E312" s="249">
        <v>-249514</v>
      </c>
      <c r="F312" s="249">
        <v>-37927</v>
      </c>
      <c r="G312" s="249">
        <v>0</v>
      </c>
    </row>
    <row r="313" spans="1:9">
      <c r="A313" s="246">
        <v>99521</v>
      </c>
      <c r="B313" s="229" t="s">
        <v>853</v>
      </c>
      <c r="C313" s="250">
        <v>122941</v>
      </c>
      <c r="D313" s="250">
        <v>-42898</v>
      </c>
      <c r="E313" s="250">
        <v>153742</v>
      </c>
      <c r="F313" s="250">
        <v>311082</v>
      </c>
      <c r="G313" s="250">
        <v>0</v>
      </c>
    </row>
    <row r="314" spans="1:9">
      <c r="A314" s="245">
        <v>99831</v>
      </c>
      <c r="B314" s="237" t="s">
        <v>854</v>
      </c>
      <c r="C314" s="249">
        <v>-34602</v>
      </c>
      <c r="D314" s="249">
        <v>-53337</v>
      </c>
      <c r="E314" s="249">
        <v>-46630</v>
      </c>
      <c r="F314" s="249">
        <v>37618</v>
      </c>
      <c r="G314" s="249">
        <v>0</v>
      </c>
    </row>
    <row r="315" spans="1:9">
      <c r="C315" s="250">
        <f>SUBTOTAL(109,C4:C314)</f>
        <v>-1513236104</v>
      </c>
      <c r="D315" s="250">
        <f t="shared" ref="D315:G315" si="0">SUBTOTAL(109,D4:D314)</f>
        <v>-1801744754</v>
      </c>
      <c r="E315" s="250">
        <f t="shared" si="0"/>
        <v>-876956664</v>
      </c>
      <c r="F315" s="250">
        <f t="shared" si="0"/>
        <v>449551133</v>
      </c>
      <c r="G315" s="250">
        <f t="shared" si="0"/>
        <v>0</v>
      </c>
      <c r="H315" s="6"/>
    </row>
    <row r="316" spans="1:9">
      <c r="C316" s="254">
        <v>-1513236104</v>
      </c>
      <c r="D316" s="254">
        <v>-1801744754</v>
      </c>
      <c r="E316" s="254">
        <v>-876956664</v>
      </c>
      <c r="F316" s="254">
        <v>449551133</v>
      </c>
      <c r="G316" s="253">
        <v>0</v>
      </c>
      <c r="H316" s="253"/>
      <c r="I316" s="253"/>
    </row>
    <row r="317" spans="1:9">
      <c r="C317" s="255">
        <f>C315-C316</f>
        <v>0</v>
      </c>
      <c r="D317" s="255">
        <f t="shared" ref="D317:G317" si="1">D315-D316</f>
        <v>0</v>
      </c>
      <c r="E317" s="255">
        <f t="shared" si="1"/>
        <v>0</v>
      </c>
      <c r="F317" s="255">
        <f t="shared" si="1"/>
        <v>0</v>
      </c>
      <c r="G317" s="255">
        <f t="shared" si="1"/>
        <v>0</v>
      </c>
    </row>
  </sheetData>
  <sheetProtection algorithmName="SHA-512" hashValue="Poq/Js3qwkLzh/tuO3V8TFc9FExili1+vACFiApcr9HntGAV9THk4/MZlc3tUN1xknzTbcvHiEZI6yLvJ1bQkw==" saltValue="+txERpy8j7uny/uUOk3DzA==" spinCount="100000" sheet="1" objects="1" scenarios="1"/>
  <pageMargins left="0.7" right="0.7" top="0.75" bottom="0.75" header="0.3" footer="0.3"/>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8327-B8F5-4072-AAE8-8BE6794EC5DD}">
  <dimension ref="A1:C314"/>
  <sheetViews>
    <sheetView workbookViewId="0">
      <selection activeCell="D5" sqref="D5"/>
    </sheetView>
  </sheetViews>
  <sheetFormatPr defaultRowHeight="13.2"/>
  <cols>
    <col min="1" max="1" width="11.44140625" customWidth="1"/>
    <col min="2" max="2" width="59.6640625" bestFit="1" customWidth="1"/>
    <col min="3" max="3" width="11.77734375" style="6" bestFit="1" customWidth="1"/>
  </cols>
  <sheetData>
    <row r="1" spans="1:3">
      <c r="A1" s="5">
        <v>1</v>
      </c>
      <c r="B1" s="5">
        <v>2</v>
      </c>
      <c r="C1" s="177">
        <v>3</v>
      </c>
    </row>
    <row r="2" spans="1:3" ht="27" thickBot="1">
      <c r="A2" s="211" t="s">
        <v>163</v>
      </c>
      <c r="B2" s="212" t="s">
        <v>164</v>
      </c>
    </row>
    <row r="3" spans="1:3" ht="13.8">
      <c r="A3" s="216">
        <v>10200</v>
      </c>
      <c r="B3" s="225" t="s">
        <v>245</v>
      </c>
      <c r="C3" s="238">
        <v>38831</v>
      </c>
    </row>
    <row r="4" spans="1:3" ht="13.8">
      <c r="A4" s="216">
        <v>10400</v>
      </c>
      <c r="B4" s="225" t="s">
        <v>246</v>
      </c>
      <c r="C4" s="238">
        <v>104194</v>
      </c>
    </row>
    <row r="5" spans="1:3" ht="13.8">
      <c r="A5" s="216">
        <v>10500</v>
      </c>
      <c r="B5" s="225" t="s">
        <v>427</v>
      </c>
      <c r="C5" s="238">
        <v>22882</v>
      </c>
    </row>
    <row r="6" spans="1:3" ht="13.8">
      <c r="A6" s="216">
        <v>10700</v>
      </c>
      <c r="B6" s="225" t="s">
        <v>247</v>
      </c>
      <c r="C6" s="238">
        <v>154088</v>
      </c>
    </row>
    <row r="7" spans="1:3" ht="13.8">
      <c r="A7" s="216">
        <v>10800</v>
      </c>
      <c r="B7" s="225" t="s">
        <v>248</v>
      </c>
      <c r="C7" s="238">
        <v>663092</v>
      </c>
    </row>
    <row r="8" spans="1:3" ht="13.8">
      <c r="A8" s="216">
        <v>10850</v>
      </c>
      <c r="B8" s="225" t="s">
        <v>428</v>
      </c>
      <c r="C8" s="238">
        <v>5183</v>
      </c>
    </row>
    <row r="9" spans="1:3" ht="13.8">
      <c r="A9" s="217">
        <v>10900</v>
      </c>
      <c r="B9" s="226" t="s">
        <v>249</v>
      </c>
      <c r="C9" s="238">
        <v>54490</v>
      </c>
    </row>
    <row r="10" spans="1:3" ht="13.8">
      <c r="A10" s="218">
        <v>10910</v>
      </c>
      <c r="B10" s="227" t="s">
        <v>429</v>
      </c>
      <c r="C10" s="238">
        <v>16672</v>
      </c>
    </row>
    <row r="11" spans="1:3" ht="13.8">
      <c r="A11" s="217">
        <v>10930</v>
      </c>
      <c r="B11" s="226" t="s">
        <v>430</v>
      </c>
      <c r="C11" s="238">
        <v>184772</v>
      </c>
    </row>
    <row r="12" spans="1:3" ht="13.8">
      <c r="A12" s="218">
        <v>10940</v>
      </c>
      <c r="B12" s="227" t="s">
        <v>489</v>
      </c>
      <c r="C12" s="238">
        <v>24612</v>
      </c>
    </row>
    <row r="13" spans="1:3" ht="13.8">
      <c r="A13" s="217">
        <v>10950</v>
      </c>
      <c r="B13" s="226" t="s">
        <v>431</v>
      </c>
      <c r="C13" s="239">
        <v>35075</v>
      </c>
    </row>
    <row r="14" spans="1:3" ht="13.8">
      <c r="A14" s="218">
        <v>11050</v>
      </c>
      <c r="B14" s="227" t="s">
        <v>432</v>
      </c>
      <c r="C14" s="238">
        <v>7359</v>
      </c>
    </row>
    <row r="15" spans="1:3" ht="13.8">
      <c r="A15" s="216">
        <v>11300</v>
      </c>
      <c r="B15" s="225" t="s">
        <v>433</v>
      </c>
      <c r="C15" s="238">
        <v>144675</v>
      </c>
    </row>
    <row r="16" spans="1:3" ht="13.8">
      <c r="A16" s="216">
        <v>11310</v>
      </c>
      <c r="B16" s="225" t="s">
        <v>434</v>
      </c>
      <c r="C16" s="240">
        <v>17541</v>
      </c>
    </row>
    <row r="17" spans="1:3" ht="13.8">
      <c r="A17" s="216">
        <v>11600</v>
      </c>
      <c r="B17" s="225" t="s">
        <v>250</v>
      </c>
      <c r="C17" s="238">
        <v>81534</v>
      </c>
    </row>
    <row r="18" spans="1:3" ht="13.8">
      <c r="A18" s="216">
        <v>11900</v>
      </c>
      <c r="B18" s="225" t="s">
        <v>251</v>
      </c>
      <c r="C18" s="238">
        <v>12131</v>
      </c>
    </row>
    <row r="19" spans="1:3" ht="13.8">
      <c r="A19" s="216">
        <v>12100</v>
      </c>
      <c r="B19" s="225" t="s">
        <v>435</v>
      </c>
      <c r="C19" s="238">
        <v>9714</v>
      </c>
    </row>
    <row r="20" spans="1:3" ht="13.8">
      <c r="A20" s="216">
        <v>12150</v>
      </c>
      <c r="B20" s="225" t="s">
        <v>436</v>
      </c>
      <c r="C20" s="238">
        <v>401</v>
      </c>
    </row>
    <row r="21" spans="1:3" ht="13.8">
      <c r="A21" s="217">
        <v>12160</v>
      </c>
      <c r="B21" s="226" t="s">
        <v>252</v>
      </c>
      <c r="C21" s="238">
        <v>59706</v>
      </c>
    </row>
    <row r="22" spans="1:3" ht="13.8">
      <c r="A22" s="218">
        <v>12220</v>
      </c>
      <c r="B22" s="227" t="s">
        <v>437</v>
      </c>
      <c r="C22" s="238">
        <v>1402198</v>
      </c>
    </row>
    <row r="23" spans="1:3" ht="13.8">
      <c r="A23" s="217">
        <v>12510</v>
      </c>
      <c r="B23" s="226" t="s">
        <v>253</v>
      </c>
      <c r="C23" s="238">
        <v>138851</v>
      </c>
    </row>
    <row r="24" spans="1:3" ht="13.8">
      <c r="A24" s="218">
        <v>12600</v>
      </c>
      <c r="B24" s="227" t="s">
        <v>438</v>
      </c>
      <c r="C24" s="238">
        <v>58181</v>
      </c>
    </row>
    <row r="25" spans="1:3" ht="13.8">
      <c r="A25" s="217">
        <v>12700</v>
      </c>
      <c r="B25" s="226" t="s">
        <v>439</v>
      </c>
      <c r="C25" s="238">
        <v>34692</v>
      </c>
    </row>
    <row r="26" spans="1:3" ht="13.8">
      <c r="A26" s="218">
        <v>13500</v>
      </c>
      <c r="B26" s="227" t="s">
        <v>440</v>
      </c>
      <c r="C26" s="238">
        <v>136911</v>
      </c>
    </row>
    <row r="27" spans="1:3" ht="13.8">
      <c r="A27" s="216">
        <v>13700</v>
      </c>
      <c r="B27" s="225" t="s">
        <v>441</v>
      </c>
      <c r="C27" s="238">
        <v>15391</v>
      </c>
    </row>
    <row r="28" spans="1:3" ht="13.8">
      <c r="A28" s="216">
        <v>14300</v>
      </c>
      <c r="B28" s="225" t="s">
        <v>855</v>
      </c>
      <c r="C28" s="238">
        <v>47436</v>
      </c>
    </row>
    <row r="29" spans="1:3" ht="13.8">
      <c r="A29" s="219">
        <v>14300.2</v>
      </c>
      <c r="B29" s="225" t="s">
        <v>442</v>
      </c>
      <c r="C29" s="240">
        <v>6192</v>
      </c>
    </row>
    <row r="30" spans="1:3" ht="13.8">
      <c r="A30" s="220">
        <v>18400</v>
      </c>
      <c r="B30" s="225" t="s">
        <v>443</v>
      </c>
      <c r="C30" s="238">
        <v>164647</v>
      </c>
    </row>
    <row r="31" spans="1:3" ht="13.8">
      <c r="A31" s="220">
        <v>18600</v>
      </c>
      <c r="B31" s="225" t="s">
        <v>444</v>
      </c>
      <c r="C31" s="241">
        <v>325</v>
      </c>
    </row>
    <row r="32" spans="1:3" ht="13.8">
      <c r="A32" s="220">
        <v>18640</v>
      </c>
      <c r="B32" s="225" t="s">
        <v>241</v>
      </c>
      <c r="C32" s="242">
        <v>64</v>
      </c>
    </row>
    <row r="33" spans="1:3" ht="13.8">
      <c r="A33" s="221">
        <v>18690</v>
      </c>
      <c r="B33" s="226" t="s">
        <v>445</v>
      </c>
      <c r="C33" s="241">
        <v>0</v>
      </c>
    </row>
    <row r="34" spans="1:3" ht="13.8">
      <c r="A34" s="222">
        <v>18740</v>
      </c>
      <c r="B34" s="227" t="s">
        <v>446</v>
      </c>
      <c r="C34" s="238">
        <v>0</v>
      </c>
    </row>
    <row r="35" spans="1:3" ht="13.8">
      <c r="A35" s="221">
        <v>18780</v>
      </c>
      <c r="B35" s="226" t="s">
        <v>447</v>
      </c>
      <c r="C35" s="238">
        <v>865</v>
      </c>
    </row>
    <row r="36" spans="1:3" ht="13.8">
      <c r="A36" s="222">
        <v>19005</v>
      </c>
      <c r="B36" s="227" t="s">
        <v>448</v>
      </c>
      <c r="C36" s="239">
        <v>28385</v>
      </c>
    </row>
    <row r="37" spans="1:3" ht="13.8">
      <c r="A37" s="221">
        <v>19100</v>
      </c>
      <c r="B37" s="226" t="s">
        <v>254</v>
      </c>
      <c r="C37" s="239">
        <v>642598</v>
      </c>
    </row>
    <row r="38" spans="1:3" ht="13.8">
      <c r="A38" s="222">
        <v>19120</v>
      </c>
      <c r="B38" s="227" t="s">
        <v>881</v>
      </c>
      <c r="C38" s="239">
        <v>1564587</v>
      </c>
    </row>
    <row r="39" spans="1:3" ht="13.8">
      <c r="A39" s="220">
        <v>20100</v>
      </c>
      <c r="B39" s="225" t="s">
        <v>37</v>
      </c>
      <c r="C39" s="239">
        <v>375661</v>
      </c>
    </row>
    <row r="40" spans="1:3" ht="13.8">
      <c r="A40" s="220">
        <v>20200</v>
      </c>
      <c r="B40" s="225" t="s">
        <v>449</v>
      </c>
      <c r="C40" s="239">
        <v>52413</v>
      </c>
    </row>
    <row r="41" spans="1:3" ht="13.8">
      <c r="A41" s="220">
        <v>20300</v>
      </c>
      <c r="B41" s="225" t="s">
        <v>39</v>
      </c>
      <c r="C41" s="239">
        <v>782301</v>
      </c>
    </row>
    <row r="42" spans="1:3" ht="13.8">
      <c r="A42" s="220">
        <v>20400</v>
      </c>
      <c r="B42" s="225" t="s">
        <v>40</v>
      </c>
      <c r="C42" s="239">
        <v>43018</v>
      </c>
    </row>
    <row r="43" spans="1:3" ht="13.8">
      <c r="A43" s="220">
        <v>20600</v>
      </c>
      <c r="B43" s="225" t="s">
        <v>41</v>
      </c>
      <c r="C43" s="239">
        <v>89531</v>
      </c>
    </row>
    <row r="44" spans="1:3" ht="13.8">
      <c r="A44" s="220">
        <v>20700</v>
      </c>
      <c r="B44" s="225" t="s">
        <v>450</v>
      </c>
      <c r="C44" s="239">
        <v>201143</v>
      </c>
    </row>
    <row r="45" spans="1:3" ht="13.8">
      <c r="A45" s="221">
        <v>20800</v>
      </c>
      <c r="B45" s="226" t="s">
        <v>451</v>
      </c>
      <c r="C45" s="239">
        <v>136857</v>
      </c>
    </row>
    <row r="46" spans="1:3" ht="13.8">
      <c r="A46" s="222">
        <v>20900</v>
      </c>
      <c r="B46" s="227" t="s">
        <v>44</v>
      </c>
      <c r="C46" s="239">
        <v>340156</v>
      </c>
    </row>
    <row r="47" spans="1:3" ht="13.8">
      <c r="A47" s="221">
        <v>21200</v>
      </c>
      <c r="B47" s="226" t="s">
        <v>452</v>
      </c>
      <c r="C47" s="239">
        <v>107394</v>
      </c>
    </row>
    <row r="48" spans="1:3" ht="13.8">
      <c r="A48" s="222">
        <v>21300</v>
      </c>
      <c r="B48" s="227" t="s">
        <v>453</v>
      </c>
      <c r="C48" s="240">
        <v>1334817</v>
      </c>
    </row>
    <row r="49" spans="1:3" ht="13.8">
      <c r="A49" s="221">
        <v>21520</v>
      </c>
      <c r="B49" s="226" t="s">
        <v>490</v>
      </c>
      <c r="C49" s="239">
        <v>2559008</v>
      </c>
    </row>
    <row r="50" spans="1:3" ht="13.8">
      <c r="A50" s="222">
        <v>21525</v>
      </c>
      <c r="B50" s="227" t="s">
        <v>882</v>
      </c>
      <c r="C50" s="242">
        <v>65104</v>
      </c>
    </row>
    <row r="51" spans="1:3" ht="13.8">
      <c r="A51" s="219">
        <v>21525.200000000001</v>
      </c>
      <c r="B51" s="225" t="s">
        <v>883</v>
      </c>
      <c r="C51" s="239">
        <v>7261</v>
      </c>
    </row>
    <row r="52" spans="1:3" ht="13.8">
      <c r="A52" s="220">
        <v>21550</v>
      </c>
      <c r="B52" s="225" t="s">
        <v>48</v>
      </c>
      <c r="C52" s="239">
        <v>1558422</v>
      </c>
    </row>
    <row r="53" spans="1:3" ht="13.8">
      <c r="A53" s="220">
        <v>21570</v>
      </c>
      <c r="B53" s="225" t="s">
        <v>255</v>
      </c>
      <c r="C53" s="238">
        <v>6352</v>
      </c>
    </row>
    <row r="54" spans="1:3" ht="13.8">
      <c r="A54" s="220">
        <v>21800</v>
      </c>
      <c r="B54" s="225" t="s">
        <v>49</v>
      </c>
      <c r="C54" s="239">
        <v>198441</v>
      </c>
    </row>
    <row r="55" spans="1:3" ht="13.8">
      <c r="A55" s="220">
        <v>21900</v>
      </c>
      <c r="B55" s="225" t="s">
        <v>50</v>
      </c>
      <c r="C55" s="239">
        <v>87842</v>
      </c>
    </row>
    <row r="56" spans="1:3" ht="13.8">
      <c r="A56" s="220">
        <v>22000</v>
      </c>
      <c r="B56" s="225" t="s">
        <v>256</v>
      </c>
      <c r="C56" s="239">
        <v>126315</v>
      </c>
    </row>
    <row r="57" spans="1:3" ht="13.8">
      <c r="A57" s="220">
        <v>23000</v>
      </c>
      <c r="B57" s="225" t="s">
        <v>51</v>
      </c>
      <c r="C57" s="241">
        <v>77284</v>
      </c>
    </row>
    <row r="58" spans="1:3" ht="13.8">
      <c r="A58" s="220">
        <v>23100</v>
      </c>
      <c r="B58" s="225" t="s">
        <v>52</v>
      </c>
      <c r="C58" s="242">
        <v>526419</v>
      </c>
    </row>
    <row r="59" spans="1:3" ht="13.8">
      <c r="A59" s="220">
        <v>23200</v>
      </c>
      <c r="B59" s="225" t="s">
        <v>53</v>
      </c>
      <c r="C59" s="241">
        <v>305793</v>
      </c>
    </row>
    <row r="60" spans="1:3" ht="13.8">
      <c r="A60" s="220">
        <v>30000</v>
      </c>
      <c r="B60" s="225" t="s">
        <v>257</v>
      </c>
      <c r="C60" s="242">
        <v>26747</v>
      </c>
    </row>
    <row r="61" spans="1:3" ht="13.8">
      <c r="A61" s="220">
        <v>30100</v>
      </c>
      <c r="B61" s="225" t="s">
        <v>258</v>
      </c>
      <c r="C61" s="241">
        <v>262830</v>
      </c>
    </row>
    <row r="62" spans="1:3" ht="13.8">
      <c r="A62" s="220">
        <v>30102</v>
      </c>
      <c r="B62" s="225" t="s">
        <v>259</v>
      </c>
      <c r="C62" s="243">
        <v>6793</v>
      </c>
    </row>
    <row r="63" spans="1:3" ht="13.8">
      <c r="A63" s="221">
        <v>30103</v>
      </c>
      <c r="B63" s="226" t="s">
        <v>260</v>
      </c>
      <c r="C63" s="241">
        <v>7808</v>
      </c>
    </row>
    <row r="64" spans="1:3" ht="13.8">
      <c r="A64" s="222">
        <v>30104</v>
      </c>
      <c r="B64" s="227" t="s">
        <v>261</v>
      </c>
      <c r="C64" s="242">
        <v>4832</v>
      </c>
    </row>
    <row r="65" spans="1:3" ht="13.8">
      <c r="A65" s="221">
        <v>30105</v>
      </c>
      <c r="B65" s="226" t="s">
        <v>54</v>
      </c>
      <c r="C65" s="241">
        <v>24009</v>
      </c>
    </row>
    <row r="66" spans="1:3" ht="13.8">
      <c r="A66" s="222">
        <v>30200</v>
      </c>
      <c r="B66" s="227" t="s">
        <v>262</v>
      </c>
      <c r="C66" s="243">
        <v>58961</v>
      </c>
    </row>
    <row r="67" spans="1:3" ht="13.8">
      <c r="A67" s="221">
        <v>30300</v>
      </c>
      <c r="B67" s="226" t="s">
        <v>263</v>
      </c>
      <c r="C67" s="241">
        <v>20075</v>
      </c>
    </row>
    <row r="68" spans="1:3" ht="13.8">
      <c r="A68" s="222">
        <v>30400</v>
      </c>
      <c r="B68" s="227" t="s">
        <v>264</v>
      </c>
      <c r="C68" s="242">
        <v>37068</v>
      </c>
    </row>
    <row r="69" spans="1:3" ht="13.8">
      <c r="A69" s="220">
        <v>30405</v>
      </c>
      <c r="B69" s="225" t="s">
        <v>55</v>
      </c>
      <c r="C69" s="241">
        <v>21290</v>
      </c>
    </row>
    <row r="70" spans="1:3" ht="13.8">
      <c r="A70" s="220">
        <v>30500</v>
      </c>
      <c r="B70" s="225" t="s">
        <v>265</v>
      </c>
      <c r="C70" s="243">
        <v>37600</v>
      </c>
    </row>
    <row r="71" spans="1:3" ht="13.8">
      <c r="A71" s="220">
        <v>30600</v>
      </c>
      <c r="B71" s="225" t="s">
        <v>266</v>
      </c>
      <c r="C71" s="241">
        <v>28705</v>
      </c>
    </row>
    <row r="72" spans="1:3" ht="13.8">
      <c r="A72" s="220">
        <v>30601</v>
      </c>
      <c r="B72" s="225" t="s">
        <v>267</v>
      </c>
      <c r="C72" s="242">
        <v>0</v>
      </c>
    </row>
    <row r="73" spans="1:3" ht="13.8">
      <c r="A73" s="220">
        <v>30700</v>
      </c>
      <c r="B73" s="225" t="s">
        <v>268</v>
      </c>
      <c r="C73" s="243">
        <v>76527</v>
      </c>
    </row>
    <row r="74" spans="1:3" ht="13.8">
      <c r="A74" s="220">
        <v>30705</v>
      </c>
      <c r="B74" s="225" t="s">
        <v>56</v>
      </c>
      <c r="C74" s="242">
        <v>14962</v>
      </c>
    </row>
    <row r="75" spans="1:3" ht="13.8">
      <c r="A75" s="221">
        <v>30800</v>
      </c>
      <c r="B75" s="226" t="s">
        <v>269</v>
      </c>
      <c r="C75" s="243">
        <v>21116</v>
      </c>
    </row>
    <row r="76" spans="1:3" ht="13.8">
      <c r="A76" s="222">
        <v>30900</v>
      </c>
      <c r="B76" s="227" t="s">
        <v>270</v>
      </c>
      <c r="C76" s="242">
        <v>53318</v>
      </c>
    </row>
    <row r="77" spans="1:3" ht="13.8">
      <c r="A77" s="221">
        <v>30905</v>
      </c>
      <c r="B77" s="226" t="s">
        <v>57</v>
      </c>
      <c r="C77" s="241">
        <v>7998</v>
      </c>
    </row>
    <row r="78" spans="1:3" ht="13.8">
      <c r="A78" s="222">
        <v>31000</v>
      </c>
      <c r="B78" s="227" t="s">
        <v>271</v>
      </c>
      <c r="C78" s="242">
        <v>150226</v>
      </c>
    </row>
    <row r="79" spans="1:3" ht="13.8">
      <c r="A79" s="221">
        <v>31005</v>
      </c>
      <c r="B79" s="226" t="s">
        <v>58</v>
      </c>
      <c r="C79" s="243">
        <v>14068</v>
      </c>
    </row>
    <row r="80" spans="1:3" ht="13.8">
      <c r="A80" s="222">
        <v>31100</v>
      </c>
      <c r="B80" s="227" t="s">
        <v>272</v>
      </c>
      <c r="C80" s="242">
        <v>301722</v>
      </c>
    </row>
    <row r="81" spans="1:3" ht="13.8">
      <c r="A81" s="220">
        <v>31101</v>
      </c>
      <c r="B81" s="225" t="s">
        <v>454</v>
      </c>
      <c r="C81" s="241">
        <v>2199</v>
      </c>
    </row>
    <row r="82" spans="1:3" ht="13.8">
      <c r="A82" s="220">
        <v>31102</v>
      </c>
      <c r="B82" s="225" t="s">
        <v>273</v>
      </c>
      <c r="C82" s="243">
        <v>5374</v>
      </c>
    </row>
    <row r="83" spans="1:3" ht="13.8">
      <c r="A83" s="220">
        <v>31105</v>
      </c>
      <c r="B83" s="225" t="s">
        <v>59</v>
      </c>
      <c r="C83" s="241">
        <v>44520</v>
      </c>
    </row>
    <row r="84" spans="1:3" ht="13.8">
      <c r="A84" s="220">
        <v>31110</v>
      </c>
      <c r="B84" s="225" t="s">
        <v>274</v>
      </c>
      <c r="C84" s="242">
        <v>69691</v>
      </c>
    </row>
    <row r="85" spans="1:3" ht="13.8">
      <c r="A85" s="220">
        <v>31200</v>
      </c>
      <c r="B85" s="225" t="s">
        <v>275</v>
      </c>
      <c r="C85" s="241">
        <v>131564</v>
      </c>
    </row>
    <row r="86" spans="1:3" ht="13.8">
      <c r="A86" s="220">
        <v>31205</v>
      </c>
      <c r="B86" s="225" t="s">
        <v>455</v>
      </c>
      <c r="C86" s="242">
        <v>14227</v>
      </c>
    </row>
    <row r="87" spans="1:3" ht="13.8">
      <c r="A87" s="221">
        <v>31300</v>
      </c>
      <c r="B87" s="226" t="s">
        <v>276</v>
      </c>
      <c r="C87" s="243">
        <v>398708</v>
      </c>
    </row>
    <row r="88" spans="1:3" ht="13.8">
      <c r="A88" s="222">
        <v>31301</v>
      </c>
      <c r="B88" s="227" t="s">
        <v>277</v>
      </c>
      <c r="C88" s="242">
        <v>5895</v>
      </c>
    </row>
    <row r="89" spans="1:3" ht="13.8">
      <c r="A89" s="221">
        <v>31320</v>
      </c>
      <c r="B89" s="226" t="s">
        <v>278</v>
      </c>
      <c r="C89" s="241">
        <v>65978</v>
      </c>
    </row>
    <row r="90" spans="1:3" ht="13.8">
      <c r="A90" s="222">
        <v>31400</v>
      </c>
      <c r="B90" s="227" t="s">
        <v>279</v>
      </c>
      <c r="C90" s="243">
        <v>127720</v>
      </c>
    </row>
    <row r="91" spans="1:3" ht="13.8">
      <c r="A91" s="221">
        <v>31405</v>
      </c>
      <c r="B91" s="226" t="s">
        <v>61</v>
      </c>
      <c r="C91" s="241">
        <v>26971</v>
      </c>
    </row>
    <row r="92" spans="1:3" ht="13.8">
      <c r="A92" s="222">
        <v>31500</v>
      </c>
      <c r="B92" s="227" t="s">
        <v>280</v>
      </c>
      <c r="C92" s="242">
        <v>25110</v>
      </c>
    </row>
    <row r="93" spans="1:3" ht="13.8">
      <c r="A93" s="220">
        <v>31600</v>
      </c>
      <c r="B93" s="225" t="s">
        <v>281</v>
      </c>
      <c r="C93" s="243">
        <v>101942</v>
      </c>
    </row>
    <row r="94" spans="1:3" ht="13.8">
      <c r="A94" s="220">
        <v>31605</v>
      </c>
      <c r="B94" s="225" t="s">
        <v>62</v>
      </c>
      <c r="C94" s="242">
        <v>15009</v>
      </c>
    </row>
    <row r="95" spans="1:3" ht="13.8">
      <c r="A95" s="220">
        <v>31700</v>
      </c>
      <c r="B95" s="225" t="s">
        <v>282</v>
      </c>
      <c r="C95" s="241">
        <v>26815</v>
      </c>
    </row>
    <row r="96" spans="1:3" ht="13.8">
      <c r="A96" s="220">
        <v>31800</v>
      </c>
      <c r="B96" s="225" t="s">
        <v>283</v>
      </c>
      <c r="C96" s="242">
        <v>182854</v>
      </c>
    </row>
    <row r="97" spans="1:3" ht="13.8">
      <c r="A97" s="220">
        <v>31805</v>
      </c>
      <c r="B97" s="225" t="s">
        <v>63</v>
      </c>
      <c r="C97" s="241">
        <v>39394</v>
      </c>
    </row>
    <row r="98" spans="1:3" ht="13.8">
      <c r="A98" s="220">
        <v>31810</v>
      </c>
      <c r="B98" s="225" t="s">
        <v>284</v>
      </c>
      <c r="C98" s="243">
        <v>40893</v>
      </c>
    </row>
    <row r="99" spans="1:3" ht="13.8">
      <c r="A99" s="221">
        <v>31820</v>
      </c>
      <c r="B99" s="226" t="s">
        <v>285</v>
      </c>
      <c r="C99" s="241">
        <v>34932</v>
      </c>
    </row>
    <row r="100" spans="1:3" ht="13.8">
      <c r="A100" s="222">
        <v>31900</v>
      </c>
      <c r="B100" s="227" t="s">
        <v>286</v>
      </c>
      <c r="C100" s="242">
        <v>114279</v>
      </c>
    </row>
    <row r="101" spans="1:3" ht="13.8">
      <c r="A101" s="221">
        <v>32000</v>
      </c>
      <c r="B101" s="226" t="s">
        <v>287</v>
      </c>
      <c r="C101" s="241">
        <v>42397</v>
      </c>
    </row>
    <row r="102" spans="1:3" ht="13.8">
      <c r="A102" s="222">
        <v>32005</v>
      </c>
      <c r="B102" s="227" t="s">
        <v>64</v>
      </c>
      <c r="C102" s="243">
        <v>10954</v>
      </c>
    </row>
    <row r="103" spans="1:3" ht="13.8">
      <c r="A103" s="221">
        <v>32100</v>
      </c>
      <c r="B103" s="226" t="s">
        <v>288</v>
      </c>
      <c r="C103" s="241">
        <v>25621</v>
      </c>
    </row>
    <row r="104" spans="1:3" ht="13.8">
      <c r="A104" s="222">
        <v>32200</v>
      </c>
      <c r="B104" s="227" t="s">
        <v>289</v>
      </c>
      <c r="C104" s="243">
        <v>18463</v>
      </c>
    </row>
    <row r="105" spans="1:3" ht="13.8">
      <c r="A105" s="220">
        <v>32300</v>
      </c>
      <c r="B105" s="225" t="s">
        <v>290</v>
      </c>
      <c r="C105" s="241">
        <v>176020</v>
      </c>
    </row>
    <row r="106" spans="1:3" ht="13.8">
      <c r="A106" s="220">
        <v>32305</v>
      </c>
      <c r="B106" s="225" t="s">
        <v>65</v>
      </c>
      <c r="C106" s="242">
        <v>20992</v>
      </c>
    </row>
    <row r="107" spans="1:3" ht="13.8">
      <c r="A107" s="220">
        <v>32400</v>
      </c>
      <c r="B107" s="225" t="s">
        <v>291</v>
      </c>
      <c r="C107" s="243">
        <v>60858</v>
      </c>
    </row>
    <row r="108" spans="1:3" ht="13.8">
      <c r="A108" s="220">
        <v>32405</v>
      </c>
      <c r="B108" s="225" t="s">
        <v>66</v>
      </c>
      <c r="C108" s="242">
        <v>14569</v>
      </c>
    </row>
    <row r="109" spans="1:3" ht="13.8">
      <c r="A109" s="220">
        <v>32410</v>
      </c>
      <c r="B109" s="225" t="s">
        <v>292</v>
      </c>
      <c r="C109" s="243">
        <v>28389</v>
      </c>
    </row>
    <row r="110" spans="1:3" ht="13.8">
      <c r="A110" s="220">
        <v>32500</v>
      </c>
      <c r="B110" s="225" t="s">
        <v>456</v>
      </c>
      <c r="C110" s="242">
        <v>139239</v>
      </c>
    </row>
    <row r="111" spans="1:3" ht="13.8">
      <c r="A111" s="220">
        <v>32505</v>
      </c>
      <c r="B111" s="225" t="s">
        <v>67</v>
      </c>
      <c r="C111" s="241">
        <v>22641</v>
      </c>
    </row>
    <row r="112" spans="1:3" ht="13.8">
      <c r="A112" s="220">
        <v>32600</v>
      </c>
      <c r="B112" s="225" t="s">
        <v>293</v>
      </c>
      <c r="C112" s="242">
        <v>518751</v>
      </c>
    </row>
    <row r="113" spans="1:3" ht="13.8">
      <c r="A113" s="220">
        <v>32605</v>
      </c>
      <c r="B113" s="225" t="s">
        <v>68</v>
      </c>
      <c r="C113" s="241">
        <v>90364</v>
      </c>
    </row>
    <row r="114" spans="1:3" ht="13.8">
      <c r="A114" s="220">
        <v>32700</v>
      </c>
      <c r="B114" s="225" t="s">
        <v>294</v>
      </c>
      <c r="C114" s="242">
        <v>49152</v>
      </c>
    </row>
    <row r="115" spans="1:3" ht="13.8">
      <c r="A115" s="220">
        <v>32800</v>
      </c>
      <c r="B115" s="225" t="s">
        <v>295</v>
      </c>
      <c r="C115" s="243">
        <v>67848</v>
      </c>
    </row>
    <row r="116" spans="1:3" ht="13.8">
      <c r="A116" s="220">
        <v>32900</v>
      </c>
      <c r="B116" s="225" t="s">
        <v>296</v>
      </c>
      <c r="C116" s="242">
        <v>189390</v>
      </c>
    </row>
    <row r="117" spans="1:3" ht="13.8">
      <c r="A117" s="221">
        <v>32901</v>
      </c>
      <c r="B117" s="226" t="s">
        <v>424</v>
      </c>
      <c r="C117" s="241">
        <v>3007</v>
      </c>
    </row>
    <row r="118" spans="1:3" ht="13.8">
      <c r="A118" s="222">
        <v>32904</v>
      </c>
      <c r="B118" s="227" t="s">
        <v>479</v>
      </c>
      <c r="C118" s="242">
        <v>2884</v>
      </c>
    </row>
    <row r="119" spans="1:3" ht="13.8">
      <c r="A119" s="221">
        <v>32905</v>
      </c>
      <c r="B119" s="226" t="s">
        <v>69</v>
      </c>
      <c r="C119" s="241">
        <v>27155</v>
      </c>
    </row>
    <row r="120" spans="1:3" ht="13.8">
      <c r="A120" s="222">
        <v>32910</v>
      </c>
      <c r="B120" s="227" t="s">
        <v>297</v>
      </c>
      <c r="C120" s="242">
        <v>33996</v>
      </c>
    </row>
    <row r="121" spans="1:3" ht="13.8">
      <c r="A121" s="221">
        <v>32915</v>
      </c>
      <c r="B121" s="226" t="s">
        <v>857</v>
      </c>
      <c r="C121" s="241">
        <v>4067</v>
      </c>
    </row>
    <row r="122" spans="1:3" ht="13.8">
      <c r="A122" s="222">
        <v>32920</v>
      </c>
      <c r="B122" s="227" t="s">
        <v>298</v>
      </c>
      <c r="C122" s="242">
        <v>27977</v>
      </c>
    </row>
    <row r="123" spans="1:3" ht="13.8">
      <c r="A123" s="220">
        <v>33000</v>
      </c>
      <c r="B123" s="225" t="s">
        <v>299</v>
      </c>
      <c r="C123" s="243">
        <v>74795</v>
      </c>
    </row>
    <row r="124" spans="1:3" ht="13.8">
      <c r="A124" s="220">
        <v>33001</v>
      </c>
      <c r="B124" s="225" t="s">
        <v>457</v>
      </c>
      <c r="C124" s="242">
        <v>1325</v>
      </c>
    </row>
    <row r="125" spans="1:3" ht="13.8">
      <c r="A125" s="220">
        <v>33027</v>
      </c>
      <c r="B125" s="225" t="s">
        <v>300</v>
      </c>
      <c r="C125" s="241">
        <v>12890</v>
      </c>
    </row>
    <row r="126" spans="1:3" ht="13.8">
      <c r="A126" s="220">
        <v>33100</v>
      </c>
      <c r="B126" s="225" t="s">
        <v>301</v>
      </c>
      <c r="C126" s="242">
        <v>100884</v>
      </c>
    </row>
    <row r="127" spans="1:3" ht="13.8">
      <c r="A127" s="220">
        <v>33105</v>
      </c>
      <c r="B127" s="225" t="s">
        <v>70</v>
      </c>
      <c r="C127" s="241">
        <v>12988</v>
      </c>
    </row>
    <row r="128" spans="1:3" ht="13.8">
      <c r="A128" s="220">
        <v>33200</v>
      </c>
      <c r="B128" s="225" t="s">
        <v>302</v>
      </c>
      <c r="C128" s="243">
        <v>465619</v>
      </c>
    </row>
    <row r="129" spans="1:3" ht="13.8">
      <c r="A129" s="221">
        <v>33202</v>
      </c>
      <c r="B129" s="226" t="s">
        <v>458</v>
      </c>
      <c r="C129" s="241">
        <v>9235</v>
      </c>
    </row>
    <row r="130" spans="1:3" ht="13.8">
      <c r="A130" s="222">
        <v>33203</v>
      </c>
      <c r="B130" s="227" t="s">
        <v>303</v>
      </c>
      <c r="C130" s="242">
        <v>6135</v>
      </c>
    </row>
    <row r="131" spans="1:3" ht="13.8">
      <c r="A131" s="221">
        <v>33204</v>
      </c>
      <c r="B131" s="226" t="s">
        <v>304</v>
      </c>
      <c r="C131" s="241">
        <v>15576</v>
      </c>
    </row>
    <row r="132" spans="1:3" ht="13.8">
      <c r="A132" s="222">
        <v>33205</v>
      </c>
      <c r="B132" s="227" t="s">
        <v>71</v>
      </c>
      <c r="C132" s="243">
        <v>40385</v>
      </c>
    </row>
    <row r="133" spans="1:3" ht="13.8">
      <c r="A133" s="221">
        <v>33206</v>
      </c>
      <c r="B133" s="226" t="s">
        <v>305</v>
      </c>
      <c r="C133" s="241">
        <v>4181</v>
      </c>
    </row>
    <row r="134" spans="1:3" ht="13.8">
      <c r="A134" s="222">
        <v>33207</v>
      </c>
      <c r="B134" s="227" t="s">
        <v>306</v>
      </c>
      <c r="C134" s="242">
        <v>17648</v>
      </c>
    </row>
    <row r="135" spans="1:3" ht="13.8">
      <c r="A135" s="220">
        <v>33208</v>
      </c>
      <c r="B135" s="225" t="s">
        <v>459</v>
      </c>
      <c r="C135" s="243">
        <v>0</v>
      </c>
    </row>
    <row r="136" spans="1:3" ht="13.8">
      <c r="A136" s="220">
        <v>33209</v>
      </c>
      <c r="B136" s="225" t="s">
        <v>307</v>
      </c>
      <c r="C136" s="242">
        <v>0</v>
      </c>
    </row>
    <row r="137" spans="1:3" ht="13.8">
      <c r="A137" s="220">
        <v>33300</v>
      </c>
      <c r="B137" s="225" t="s">
        <v>308</v>
      </c>
      <c r="C137" s="241">
        <v>64589</v>
      </c>
    </row>
    <row r="138" spans="1:3" ht="13.8">
      <c r="A138" s="220">
        <v>33305</v>
      </c>
      <c r="B138" s="225" t="s">
        <v>72</v>
      </c>
      <c r="C138" s="242">
        <v>13347</v>
      </c>
    </row>
    <row r="139" spans="1:3" ht="13.8">
      <c r="A139" s="220">
        <v>33400</v>
      </c>
      <c r="B139" s="225" t="s">
        <v>309</v>
      </c>
      <c r="C139" s="243">
        <v>658428</v>
      </c>
    </row>
    <row r="140" spans="1:3" ht="13.8">
      <c r="A140" s="220">
        <v>33402</v>
      </c>
      <c r="B140" s="225" t="s">
        <v>310</v>
      </c>
      <c r="C140" s="242">
        <v>6384</v>
      </c>
    </row>
    <row r="141" spans="1:3" ht="13.8">
      <c r="A141" s="221">
        <v>33405</v>
      </c>
      <c r="B141" s="226" t="s">
        <v>73</v>
      </c>
      <c r="C141" s="241">
        <v>58869</v>
      </c>
    </row>
    <row r="142" spans="1:3" ht="13.8">
      <c r="A142" s="222">
        <v>33500</v>
      </c>
      <c r="B142" s="227" t="s">
        <v>311</v>
      </c>
      <c r="C142" s="242">
        <v>94400</v>
      </c>
    </row>
    <row r="143" spans="1:3" ht="13.8">
      <c r="A143" s="221">
        <v>33501</v>
      </c>
      <c r="B143" s="226" t="s">
        <v>312</v>
      </c>
      <c r="C143" s="241">
        <v>3022</v>
      </c>
    </row>
    <row r="144" spans="1:3" ht="13.8">
      <c r="A144" s="222">
        <v>33600</v>
      </c>
      <c r="B144" s="227" t="s">
        <v>313</v>
      </c>
      <c r="C144" s="242">
        <v>321929</v>
      </c>
    </row>
    <row r="145" spans="1:3" ht="13.8">
      <c r="A145" s="221">
        <v>33605</v>
      </c>
      <c r="B145" s="226" t="s">
        <v>74</v>
      </c>
      <c r="C145" s="243">
        <v>37868</v>
      </c>
    </row>
    <row r="146" spans="1:3" ht="13.8">
      <c r="A146" s="222">
        <v>33700</v>
      </c>
      <c r="B146" s="227" t="s">
        <v>314</v>
      </c>
      <c r="C146" s="242">
        <v>24458</v>
      </c>
    </row>
    <row r="147" spans="1:3" ht="13.8">
      <c r="A147" s="220">
        <v>33800</v>
      </c>
      <c r="B147" s="225" t="s">
        <v>315</v>
      </c>
      <c r="C147" s="243">
        <v>18412</v>
      </c>
    </row>
    <row r="148" spans="1:3" ht="13.8">
      <c r="A148" s="220">
        <v>33900</v>
      </c>
      <c r="B148" s="225" t="s">
        <v>460</v>
      </c>
      <c r="C148" s="242">
        <v>69077</v>
      </c>
    </row>
    <row r="149" spans="1:3" ht="13.8">
      <c r="A149" s="220">
        <v>34000</v>
      </c>
      <c r="B149" s="225" t="s">
        <v>316</v>
      </c>
      <c r="C149" s="241">
        <v>41148</v>
      </c>
    </row>
    <row r="150" spans="1:3" ht="13.8">
      <c r="A150" s="220">
        <v>34100</v>
      </c>
      <c r="B150" s="225" t="s">
        <v>317</v>
      </c>
      <c r="C150" s="242">
        <v>853027</v>
      </c>
    </row>
    <row r="151" spans="1:3" ht="13.8">
      <c r="A151" s="220">
        <v>34105</v>
      </c>
      <c r="B151" s="225" t="s">
        <v>75</v>
      </c>
      <c r="C151" s="241">
        <v>63167</v>
      </c>
    </row>
    <row r="152" spans="1:3" ht="13.8">
      <c r="A152" s="220">
        <v>34200</v>
      </c>
      <c r="B152" s="225" t="s">
        <v>318</v>
      </c>
      <c r="C152" s="243">
        <v>25840</v>
      </c>
    </row>
    <row r="153" spans="1:3" ht="13.8">
      <c r="A153" s="221">
        <v>34205</v>
      </c>
      <c r="B153" s="226" t="s">
        <v>76</v>
      </c>
      <c r="C153" s="241">
        <v>11392</v>
      </c>
    </row>
    <row r="154" spans="1:3" ht="13.8">
      <c r="A154" s="222">
        <v>34220</v>
      </c>
      <c r="B154" s="227" t="s">
        <v>319</v>
      </c>
      <c r="C154" s="242">
        <v>32579</v>
      </c>
    </row>
    <row r="155" spans="1:3" ht="13.8">
      <c r="A155" s="221">
        <v>34230</v>
      </c>
      <c r="B155" s="226" t="s">
        <v>320</v>
      </c>
      <c r="C155" s="243">
        <v>11220</v>
      </c>
    </row>
    <row r="156" spans="1:3" ht="13.8">
      <c r="A156" s="222">
        <v>34300</v>
      </c>
      <c r="B156" s="227" t="s">
        <v>321</v>
      </c>
      <c r="C156" s="242">
        <v>189848</v>
      </c>
    </row>
    <row r="157" spans="1:3" ht="13.8">
      <c r="A157" s="221">
        <v>34400</v>
      </c>
      <c r="B157" s="226" t="s">
        <v>322</v>
      </c>
      <c r="C157" s="243">
        <v>85284</v>
      </c>
    </row>
    <row r="158" spans="1:3" ht="13.8">
      <c r="A158" s="222">
        <v>34405</v>
      </c>
      <c r="B158" s="227" t="s">
        <v>77</v>
      </c>
      <c r="C158" s="242">
        <v>15306</v>
      </c>
    </row>
    <row r="159" spans="1:3" ht="13.8">
      <c r="A159" s="220">
        <v>34500</v>
      </c>
      <c r="B159" s="225" t="s">
        <v>323</v>
      </c>
      <c r="C159" s="241">
        <v>165825</v>
      </c>
    </row>
    <row r="160" spans="1:3" ht="13.8">
      <c r="A160" s="220">
        <v>34501</v>
      </c>
      <c r="B160" s="225" t="s">
        <v>324</v>
      </c>
      <c r="C160" s="242">
        <v>2398</v>
      </c>
    </row>
    <row r="161" spans="1:3" ht="13.8">
      <c r="A161" s="220">
        <v>34505</v>
      </c>
      <c r="B161" s="225" t="s">
        <v>78</v>
      </c>
      <c r="C161" s="241">
        <v>20647</v>
      </c>
    </row>
    <row r="162" spans="1:3" ht="13.8">
      <c r="A162" s="220">
        <v>34600</v>
      </c>
      <c r="B162" s="225" t="s">
        <v>325</v>
      </c>
      <c r="C162" s="242">
        <v>30313</v>
      </c>
    </row>
    <row r="163" spans="1:3" ht="13.8">
      <c r="A163" s="220">
        <v>34605</v>
      </c>
      <c r="B163" s="225" t="s">
        <v>79</v>
      </c>
      <c r="C163" s="243">
        <v>5289</v>
      </c>
    </row>
    <row r="164" spans="1:3" ht="13.8">
      <c r="A164" s="220">
        <v>34700</v>
      </c>
      <c r="B164" s="225" t="s">
        <v>326</v>
      </c>
      <c r="C164" s="242">
        <v>102136</v>
      </c>
    </row>
    <row r="165" spans="1:3" ht="13.8">
      <c r="A165" s="220">
        <v>34800</v>
      </c>
      <c r="B165" s="225" t="s">
        <v>327</v>
      </c>
      <c r="C165" s="241">
        <v>10641</v>
      </c>
    </row>
    <row r="166" spans="1:3" ht="13.8">
      <c r="A166" s="220">
        <v>34900</v>
      </c>
      <c r="B166" s="225" t="s">
        <v>461</v>
      </c>
      <c r="C166" s="243">
        <v>221060</v>
      </c>
    </row>
    <row r="167" spans="1:3" ht="13.8">
      <c r="A167" s="220">
        <v>34901</v>
      </c>
      <c r="B167" s="225" t="s">
        <v>462</v>
      </c>
      <c r="C167" s="241">
        <v>6255</v>
      </c>
    </row>
    <row r="168" spans="1:3" ht="13.8">
      <c r="A168" s="220">
        <v>34903</v>
      </c>
      <c r="B168" s="225" t="s">
        <v>328</v>
      </c>
      <c r="C168" s="243">
        <v>707</v>
      </c>
    </row>
    <row r="169" spans="1:3" ht="13.8">
      <c r="A169" s="220">
        <v>34905</v>
      </c>
      <c r="B169" s="225" t="s">
        <v>80</v>
      </c>
      <c r="C169" s="241">
        <v>20781</v>
      </c>
    </row>
    <row r="170" spans="1:3" ht="13.8">
      <c r="A170" s="220">
        <v>34910</v>
      </c>
      <c r="B170" s="225" t="s">
        <v>329</v>
      </c>
      <c r="C170" s="242">
        <v>68908</v>
      </c>
    </row>
    <row r="171" spans="1:3" ht="13.8">
      <c r="A171" s="221">
        <v>35000</v>
      </c>
      <c r="B171" s="226" t="s">
        <v>330</v>
      </c>
      <c r="C171" s="241">
        <v>50153</v>
      </c>
    </row>
    <row r="172" spans="1:3" ht="13.8">
      <c r="A172" s="222">
        <v>35005</v>
      </c>
      <c r="B172" s="227" t="s">
        <v>81</v>
      </c>
      <c r="C172" s="243">
        <v>17773</v>
      </c>
    </row>
    <row r="173" spans="1:3" ht="13.8">
      <c r="A173" s="221">
        <v>35100</v>
      </c>
      <c r="B173" s="226" t="s">
        <v>331</v>
      </c>
      <c r="C173" s="241">
        <v>418024</v>
      </c>
    </row>
    <row r="174" spans="1:3" ht="13.8">
      <c r="A174" s="222">
        <v>35105</v>
      </c>
      <c r="B174" s="227" t="s">
        <v>82</v>
      </c>
      <c r="C174" s="242">
        <v>33637</v>
      </c>
    </row>
    <row r="175" spans="1:3" ht="13.8">
      <c r="A175" s="221">
        <v>35106</v>
      </c>
      <c r="B175" s="226" t="s">
        <v>332</v>
      </c>
      <c r="C175" s="243">
        <v>7563</v>
      </c>
    </row>
    <row r="176" spans="1:3" ht="13.8">
      <c r="A176" s="222">
        <v>35200</v>
      </c>
      <c r="B176" s="227" t="s">
        <v>333</v>
      </c>
      <c r="C176" s="242">
        <v>16003</v>
      </c>
    </row>
    <row r="177" spans="1:3" ht="13.8">
      <c r="A177" s="220">
        <v>35300</v>
      </c>
      <c r="B177" s="225" t="s">
        <v>463</v>
      </c>
      <c r="C177" s="241">
        <v>116142</v>
      </c>
    </row>
    <row r="178" spans="1:3" ht="13.8">
      <c r="A178" s="220">
        <v>35305</v>
      </c>
      <c r="B178" s="225" t="s">
        <v>83</v>
      </c>
      <c r="C178" s="242">
        <v>48474</v>
      </c>
    </row>
    <row r="179" spans="1:3" ht="13.8">
      <c r="A179" s="220">
        <v>35400</v>
      </c>
      <c r="B179" s="225" t="s">
        <v>334</v>
      </c>
      <c r="C179" s="241">
        <v>103190</v>
      </c>
    </row>
    <row r="180" spans="1:3" ht="13.8">
      <c r="A180" s="220">
        <v>35401</v>
      </c>
      <c r="B180" s="225" t="s">
        <v>335</v>
      </c>
      <c r="C180" s="243">
        <v>1252</v>
      </c>
    </row>
    <row r="181" spans="1:3" ht="13.8">
      <c r="A181" s="220">
        <v>35405</v>
      </c>
      <c r="B181" s="225" t="s">
        <v>84</v>
      </c>
      <c r="C181" s="241">
        <v>25448</v>
      </c>
    </row>
    <row r="182" spans="1:3" ht="13.8">
      <c r="A182" s="220">
        <v>35500</v>
      </c>
      <c r="B182" s="225" t="s">
        <v>336</v>
      </c>
      <c r="C182" s="243">
        <v>129569</v>
      </c>
    </row>
    <row r="183" spans="1:3" ht="13.8">
      <c r="A183" s="221">
        <v>35600</v>
      </c>
      <c r="B183" s="226" t="s">
        <v>337</v>
      </c>
      <c r="C183" s="241">
        <v>54996</v>
      </c>
    </row>
    <row r="184" spans="1:3" ht="13.8">
      <c r="A184" s="222">
        <v>35700</v>
      </c>
      <c r="B184" s="227" t="s">
        <v>338</v>
      </c>
      <c r="C184" s="242">
        <v>30083</v>
      </c>
    </row>
    <row r="185" spans="1:3" ht="13.8">
      <c r="A185" s="221">
        <v>35800</v>
      </c>
      <c r="B185" s="226" t="s">
        <v>339</v>
      </c>
      <c r="C185" s="241">
        <v>35091</v>
      </c>
    </row>
    <row r="186" spans="1:3" ht="13.8">
      <c r="A186" s="222">
        <v>35805</v>
      </c>
      <c r="B186" s="227" t="s">
        <v>85</v>
      </c>
      <c r="C186" s="243">
        <v>6882</v>
      </c>
    </row>
    <row r="187" spans="1:3" ht="13.8">
      <c r="A187" s="221">
        <v>35900</v>
      </c>
      <c r="B187" s="226" t="s">
        <v>340</v>
      </c>
      <c r="C187" s="241">
        <v>69581</v>
      </c>
    </row>
    <row r="188" spans="1:3" ht="13.8">
      <c r="A188" s="222">
        <v>35905</v>
      </c>
      <c r="B188" s="227" t="s">
        <v>86</v>
      </c>
      <c r="C188" s="242">
        <v>10723</v>
      </c>
    </row>
    <row r="189" spans="1:3" ht="13.8">
      <c r="A189" s="220">
        <v>36000</v>
      </c>
      <c r="B189" s="225" t="s">
        <v>341</v>
      </c>
      <c r="C189" s="241">
        <v>1786839</v>
      </c>
    </row>
    <row r="190" spans="1:3" ht="13.8">
      <c r="A190" s="220">
        <v>36001</v>
      </c>
      <c r="B190" s="225" t="s">
        <v>464</v>
      </c>
      <c r="C190" s="242">
        <v>0</v>
      </c>
    </row>
    <row r="191" spans="1:3" ht="13.8">
      <c r="A191" s="220">
        <v>36002</v>
      </c>
      <c r="B191" s="225" t="s">
        <v>465</v>
      </c>
      <c r="C191" s="241">
        <v>0</v>
      </c>
    </row>
    <row r="192" spans="1:3" ht="13.8">
      <c r="A192" s="220">
        <v>36003</v>
      </c>
      <c r="B192" s="225" t="s">
        <v>342</v>
      </c>
      <c r="C192" s="243">
        <v>13530</v>
      </c>
    </row>
    <row r="193" spans="1:3" ht="13.8">
      <c r="A193" s="220">
        <v>36004</v>
      </c>
      <c r="B193" s="225" t="s">
        <v>466</v>
      </c>
      <c r="C193" s="241">
        <v>10051</v>
      </c>
    </row>
    <row r="194" spans="1:3" ht="13.8">
      <c r="A194" s="220">
        <v>36005</v>
      </c>
      <c r="B194" s="225" t="s">
        <v>87</v>
      </c>
      <c r="C194" s="243">
        <v>128421</v>
      </c>
    </row>
    <row r="195" spans="1:3" ht="13.8">
      <c r="A195" s="221">
        <v>36006</v>
      </c>
      <c r="B195" s="226" t="s">
        <v>343</v>
      </c>
      <c r="C195" s="241">
        <v>24010</v>
      </c>
    </row>
    <row r="196" spans="1:3" ht="13.8">
      <c r="A196" s="222">
        <v>36007</v>
      </c>
      <c r="B196" s="227" t="s">
        <v>344</v>
      </c>
      <c r="C196" s="242">
        <v>7971</v>
      </c>
    </row>
    <row r="197" spans="1:3" ht="13.8">
      <c r="A197" s="221">
        <v>36008</v>
      </c>
      <c r="B197" s="226" t="s">
        <v>345</v>
      </c>
      <c r="C197" s="241">
        <v>20379</v>
      </c>
    </row>
    <row r="198" spans="1:3" ht="13.8">
      <c r="A198" s="222">
        <v>36009</v>
      </c>
      <c r="B198" s="227" t="s">
        <v>346</v>
      </c>
      <c r="C198" s="242">
        <v>2375</v>
      </c>
    </row>
    <row r="199" spans="1:3" ht="13.8">
      <c r="A199" s="221">
        <v>36100</v>
      </c>
      <c r="B199" s="226" t="s">
        <v>347</v>
      </c>
      <c r="C199" s="243">
        <v>22782</v>
      </c>
    </row>
    <row r="200" spans="1:3" ht="13.8">
      <c r="A200" s="222">
        <v>36102</v>
      </c>
      <c r="B200" s="227" t="s">
        <v>348</v>
      </c>
      <c r="C200" s="242">
        <v>0</v>
      </c>
    </row>
    <row r="201" spans="1:3" ht="13.8">
      <c r="A201" s="220">
        <v>36105</v>
      </c>
      <c r="B201" s="225" t="s">
        <v>88</v>
      </c>
      <c r="C201" s="243">
        <v>10085</v>
      </c>
    </row>
    <row r="202" spans="1:3" ht="13.8">
      <c r="A202" s="220">
        <v>36200</v>
      </c>
      <c r="B202" s="225" t="s">
        <v>349</v>
      </c>
      <c r="C202" s="242">
        <v>39898</v>
      </c>
    </row>
    <row r="203" spans="1:3" ht="13.8">
      <c r="A203" s="220">
        <v>36205</v>
      </c>
      <c r="B203" s="225" t="s">
        <v>89</v>
      </c>
      <c r="C203" s="241">
        <v>8429</v>
      </c>
    </row>
    <row r="204" spans="1:3" ht="13.8">
      <c r="A204" s="220">
        <v>36300</v>
      </c>
      <c r="B204" s="225" t="s">
        <v>350</v>
      </c>
      <c r="C204" s="242">
        <v>147712</v>
      </c>
    </row>
    <row r="205" spans="1:3" ht="13.8">
      <c r="A205" s="220">
        <v>36301</v>
      </c>
      <c r="B205" s="225" t="s">
        <v>351</v>
      </c>
      <c r="C205" s="243">
        <v>3956</v>
      </c>
    </row>
    <row r="206" spans="1:3" ht="13.8">
      <c r="A206" s="220">
        <v>36302</v>
      </c>
      <c r="B206" s="225" t="s">
        <v>352</v>
      </c>
      <c r="C206" s="242">
        <v>7089</v>
      </c>
    </row>
    <row r="207" spans="1:3" ht="13.8">
      <c r="A207" s="221">
        <v>36303</v>
      </c>
      <c r="B207" s="226" t="s">
        <v>242</v>
      </c>
      <c r="C207" s="241">
        <v>9005</v>
      </c>
    </row>
    <row r="208" spans="1:3" ht="13.8">
      <c r="A208" s="222">
        <v>36305</v>
      </c>
      <c r="B208" s="227" t="s">
        <v>90</v>
      </c>
      <c r="C208" s="242">
        <v>30237</v>
      </c>
    </row>
    <row r="209" spans="1:3" ht="13.8">
      <c r="A209" s="221">
        <v>36310</v>
      </c>
      <c r="B209" s="226" t="s">
        <v>492</v>
      </c>
      <c r="C209" s="243">
        <v>0</v>
      </c>
    </row>
    <row r="210" spans="1:3" ht="13.8">
      <c r="A210" s="222">
        <v>36400</v>
      </c>
      <c r="B210" s="227" t="s">
        <v>353</v>
      </c>
      <c r="C210" s="242">
        <v>154563</v>
      </c>
    </row>
    <row r="211" spans="1:3" ht="13.8">
      <c r="A211" s="221">
        <v>36405</v>
      </c>
      <c r="B211" s="226" t="s">
        <v>91</v>
      </c>
      <c r="C211" s="241">
        <v>22439</v>
      </c>
    </row>
    <row r="212" spans="1:3" ht="13.8">
      <c r="A212" s="222">
        <v>36500</v>
      </c>
      <c r="B212" s="227" t="s">
        <v>354</v>
      </c>
      <c r="C212" s="242">
        <v>353686</v>
      </c>
    </row>
    <row r="213" spans="1:3" ht="13.8">
      <c r="A213" s="220">
        <v>36501</v>
      </c>
      <c r="B213" s="225" t="s">
        <v>467</v>
      </c>
      <c r="C213" s="241">
        <v>4220</v>
      </c>
    </row>
    <row r="214" spans="1:3" ht="13.8">
      <c r="A214" s="220">
        <v>36502</v>
      </c>
      <c r="B214" s="225" t="s">
        <v>355</v>
      </c>
      <c r="C214" s="242">
        <v>871</v>
      </c>
    </row>
    <row r="215" spans="1:3" ht="13.8">
      <c r="A215" s="220">
        <v>36505</v>
      </c>
      <c r="B215" s="225" t="s">
        <v>92</v>
      </c>
      <c r="C215" s="243">
        <v>63845</v>
      </c>
    </row>
    <row r="216" spans="1:3" ht="13.8">
      <c r="A216" s="220">
        <v>36600</v>
      </c>
      <c r="B216" s="225" t="s">
        <v>356</v>
      </c>
      <c r="C216" s="242">
        <v>16311</v>
      </c>
    </row>
    <row r="217" spans="1:3" ht="13.8">
      <c r="A217" s="220">
        <v>36601</v>
      </c>
      <c r="B217" s="225" t="s">
        <v>357</v>
      </c>
      <c r="C217" s="241">
        <v>0</v>
      </c>
    </row>
    <row r="218" spans="1:3" ht="13.8">
      <c r="A218" s="220">
        <v>36700</v>
      </c>
      <c r="B218" s="225" t="s">
        <v>358</v>
      </c>
      <c r="C218" s="243">
        <v>269555</v>
      </c>
    </row>
    <row r="219" spans="1:3" ht="13.8">
      <c r="A219" s="220">
        <v>36701</v>
      </c>
      <c r="B219" s="225" t="s">
        <v>359</v>
      </c>
      <c r="C219" s="241">
        <v>653</v>
      </c>
    </row>
    <row r="220" spans="1:3" ht="13.8">
      <c r="A220" s="220">
        <v>36705</v>
      </c>
      <c r="B220" s="225" t="s">
        <v>93</v>
      </c>
      <c r="C220" s="242">
        <v>27516</v>
      </c>
    </row>
    <row r="221" spans="1:3" ht="13.8">
      <c r="A221" s="220">
        <v>36800</v>
      </c>
      <c r="B221" s="225" t="s">
        <v>360</v>
      </c>
      <c r="C221" s="241">
        <v>104910</v>
      </c>
    </row>
    <row r="222" spans="1:3" ht="13.8">
      <c r="A222" s="220">
        <v>36802</v>
      </c>
      <c r="B222" s="225" t="s">
        <v>361</v>
      </c>
      <c r="C222" s="242">
        <v>8895</v>
      </c>
    </row>
    <row r="223" spans="1:3" ht="13.8">
      <c r="A223" s="220">
        <v>36810</v>
      </c>
      <c r="B223" s="225" t="s">
        <v>468</v>
      </c>
      <c r="C223" s="243">
        <v>210341</v>
      </c>
    </row>
    <row r="224" spans="1:3" ht="13.8">
      <c r="A224" s="220">
        <v>36900</v>
      </c>
      <c r="B224" s="225" t="s">
        <v>362</v>
      </c>
      <c r="C224" s="242">
        <v>22753</v>
      </c>
    </row>
    <row r="225" spans="1:3" ht="13.8">
      <c r="A225" s="221">
        <v>36901</v>
      </c>
      <c r="B225" s="226" t="s">
        <v>363</v>
      </c>
      <c r="C225" s="243">
        <v>7018</v>
      </c>
    </row>
    <row r="226" spans="1:3" ht="13.8">
      <c r="A226" s="222">
        <v>36905</v>
      </c>
      <c r="B226" s="227" t="s">
        <v>94</v>
      </c>
      <c r="C226" s="242">
        <v>6420</v>
      </c>
    </row>
    <row r="227" spans="1:3" ht="13.8">
      <c r="A227" s="221">
        <v>37000</v>
      </c>
      <c r="B227" s="226" t="s">
        <v>364</v>
      </c>
      <c r="C227" s="241">
        <v>54488</v>
      </c>
    </row>
    <row r="228" spans="1:3" ht="13.8">
      <c r="A228" s="222">
        <v>37001</v>
      </c>
      <c r="B228" s="227" t="s">
        <v>469</v>
      </c>
      <c r="C228" s="242">
        <v>6876</v>
      </c>
    </row>
    <row r="229" spans="1:3" ht="13.8">
      <c r="A229" s="221">
        <v>37005</v>
      </c>
      <c r="B229" s="226" t="s">
        <v>95</v>
      </c>
      <c r="C229" s="243">
        <v>17364</v>
      </c>
    </row>
    <row r="230" spans="1:3" ht="13.8">
      <c r="A230" s="222">
        <v>37100</v>
      </c>
      <c r="B230" s="227" t="s">
        <v>365</v>
      </c>
      <c r="C230" s="242">
        <v>112466</v>
      </c>
    </row>
    <row r="231" spans="1:3" ht="13.8">
      <c r="A231" s="220">
        <v>37200</v>
      </c>
      <c r="B231" s="225" t="s">
        <v>366</v>
      </c>
      <c r="C231" s="241">
        <v>23152</v>
      </c>
    </row>
    <row r="232" spans="1:3" ht="13.8">
      <c r="A232" s="220">
        <v>37300</v>
      </c>
      <c r="B232" s="225" t="s">
        <v>367</v>
      </c>
      <c r="C232" s="243">
        <v>55463</v>
      </c>
    </row>
    <row r="233" spans="1:3" ht="13.8">
      <c r="A233" s="220">
        <v>37301</v>
      </c>
      <c r="B233" s="225" t="s">
        <v>368</v>
      </c>
      <c r="C233" s="241">
        <v>5680</v>
      </c>
    </row>
    <row r="234" spans="1:3" ht="13.8">
      <c r="A234" s="220">
        <v>37305</v>
      </c>
      <c r="B234" s="225" t="s">
        <v>96</v>
      </c>
      <c r="C234" s="242">
        <v>13058</v>
      </c>
    </row>
    <row r="235" spans="1:3" ht="13.8">
      <c r="A235" s="220">
        <v>37400</v>
      </c>
      <c r="B235" s="225" t="s">
        <v>369</v>
      </c>
      <c r="C235" s="243">
        <v>285084</v>
      </c>
    </row>
    <row r="236" spans="1:3" ht="13.8">
      <c r="A236" s="220">
        <v>37405</v>
      </c>
      <c r="B236" s="225" t="s">
        <v>97</v>
      </c>
      <c r="C236" s="242">
        <v>55519</v>
      </c>
    </row>
    <row r="237" spans="1:3" ht="13.8">
      <c r="A237" s="221">
        <v>37500</v>
      </c>
      <c r="B237" s="226" t="s">
        <v>370</v>
      </c>
      <c r="C237" s="241">
        <v>30438</v>
      </c>
    </row>
    <row r="238" spans="1:3" ht="13.8">
      <c r="A238" s="222">
        <v>37600</v>
      </c>
      <c r="B238" s="227" t="s">
        <v>371</v>
      </c>
      <c r="C238" s="243">
        <v>174815</v>
      </c>
    </row>
    <row r="239" spans="1:3" ht="13.8">
      <c r="A239" s="221">
        <v>37601</v>
      </c>
      <c r="B239" s="226" t="s">
        <v>372</v>
      </c>
      <c r="C239" s="241">
        <v>18972</v>
      </c>
    </row>
    <row r="240" spans="1:3" ht="13.8">
      <c r="A240" s="222">
        <v>37605</v>
      </c>
      <c r="B240" s="227" t="s">
        <v>98</v>
      </c>
      <c r="C240" s="243">
        <v>22500</v>
      </c>
    </row>
    <row r="241" spans="1:3" ht="13.8">
      <c r="A241" s="221">
        <v>37610</v>
      </c>
      <c r="B241" s="226" t="s">
        <v>373</v>
      </c>
      <c r="C241" s="241">
        <v>54450</v>
      </c>
    </row>
    <row r="242" spans="1:3" ht="13.8">
      <c r="A242" s="222">
        <v>37700</v>
      </c>
      <c r="B242" s="227" t="s">
        <v>374</v>
      </c>
      <c r="C242" s="243">
        <v>79655</v>
      </c>
    </row>
    <row r="243" spans="1:3" ht="13.8">
      <c r="A243" s="220">
        <v>37705</v>
      </c>
      <c r="B243" s="225" t="s">
        <v>99</v>
      </c>
      <c r="C243" s="241">
        <v>22430</v>
      </c>
    </row>
    <row r="244" spans="1:3" ht="13.8">
      <c r="A244" s="220">
        <v>37800</v>
      </c>
      <c r="B244" s="225" t="s">
        <v>375</v>
      </c>
      <c r="C244" s="243">
        <v>236910</v>
      </c>
    </row>
    <row r="245" spans="1:3" ht="13.8">
      <c r="A245" s="220">
        <v>37801</v>
      </c>
      <c r="B245" s="225" t="s">
        <v>376</v>
      </c>
      <c r="C245" s="241">
        <v>2400</v>
      </c>
    </row>
    <row r="246" spans="1:3" ht="13.8">
      <c r="A246" s="220">
        <v>37805</v>
      </c>
      <c r="B246" s="225" t="s">
        <v>100</v>
      </c>
      <c r="C246" s="242">
        <v>19259</v>
      </c>
    </row>
    <row r="247" spans="1:3" ht="13.8">
      <c r="A247" s="220">
        <v>37900</v>
      </c>
      <c r="B247" s="225" t="s">
        <v>377</v>
      </c>
      <c r="C247" s="241">
        <v>124405</v>
      </c>
    </row>
    <row r="248" spans="1:3" ht="13.8">
      <c r="A248" s="220">
        <v>37901</v>
      </c>
      <c r="B248" s="225" t="s">
        <v>378</v>
      </c>
      <c r="C248" s="242">
        <v>4413</v>
      </c>
    </row>
    <row r="249" spans="1:3" ht="13.8">
      <c r="A249" s="221">
        <v>37905</v>
      </c>
      <c r="B249" s="226" t="s">
        <v>101</v>
      </c>
      <c r="C249" s="243">
        <v>14194</v>
      </c>
    </row>
    <row r="250" spans="1:3" ht="13.8">
      <c r="A250" s="222">
        <v>38000</v>
      </c>
      <c r="B250" s="227" t="s">
        <v>379</v>
      </c>
      <c r="C250" s="242">
        <v>196856</v>
      </c>
    </row>
    <row r="251" spans="1:3" ht="13.8">
      <c r="A251" s="221">
        <v>38005</v>
      </c>
      <c r="B251" s="226" t="s">
        <v>102</v>
      </c>
      <c r="C251" s="241">
        <v>46976</v>
      </c>
    </row>
    <row r="252" spans="1:3" ht="13.8">
      <c r="A252" s="222">
        <v>38100</v>
      </c>
      <c r="B252" s="227" t="s">
        <v>380</v>
      </c>
      <c r="C252" s="242">
        <v>99147</v>
      </c>
    </row>
    <row r="253" spans="1:3" ht="13.8">
      <c r="A253" s="221">
        <v>38105</v>
      </c>
      <c r="B253" s="226" t="s">
        <v>103</v>
      </c>
      <c r="C253" s="243">
        <v>18916</v>
      </c>
    </row>
    <row r="254" spans="1:3" ht="13.8">
      <c r="A254" s="222">
        <v>38200</v>
      </c>
      <c r="B254" s="227" t="s">
        <v>381</v>
      </c>
      <c r="C254" s="242">
        <v>90504</v>
      </c>
    </row>
    <row r="255" spans="1:3" ht="13.8">
      <c r="A255" s="220">
        <v>38205</v>
      </c>
      <c r="B255" s="225" t="s">
        <v>104</v>
      </c>
      <c r="C255" s="241">
        <v>13563</v>
      </c>
    </row>
    <row r="256" spans="1:3" ht="13.8">
      <c r="A256" s="220">
        <v>38210</v>
      </c>
      <c r="B256" s="225" t="s">
        <v>382</v>
      </c>
      <c r="C256" s="242">
        <v>35697</v>
      </c>
    </row>
    <row r="257" spans="1:3" ht="13.8">
      <c r="A257" s="220">
        <v>38300</v>
      </c>
      <c r="B257" s="225" t="s">
        <v>383</v>
      </c>
      <c r="C257" s="241">
        <v>68428</v>
      </c>
    </row>
    <row r="258" spans="1:3" ht="13.8">
      <c r="A258" s="220">
        <v>38400</v>
      </c>
      <c r="B258" s="225" t="s">
        <v>384</v>
      </c>
      <c r="C258" s="242">
        <v>91562</v>
      </c>
    </row>
    <row r="259" spans="1:3" ht="13.8">
      <c r="A259" s="220">
        <v>38402</v>
      </c>
      <c r="B259" s="225" t="s">
        <v>385</v>
      </c>
      <c r="C259" s="241">
        <v>6597</v>
      </c>
    </row>
    <row r="260" spans="1:3" ht="13.8">
      <c r="A260" s="220">
        <v>38405</v>
      </c>
      <c r="B260" s="225" t="s">
        <v>105</v>
      </c>
      <c r="C260" s="242">
        <v>21825</v>
      </c>
    </row>
    <row r="261" spans="1:3" ht="13.8">
      <c r="A261" s="221">
        <v>38500</v>
      </c>
      <c r="B261" s="226" t="s">
        <v>386</v>
      </c>
      <c r="C261" s="241">
        <v>68666</v>
      </c>
    </row>
    <row r="262" spans="1:3" ht="13.8">
      <c r="A262" s="222">
        <v>38600</v>
      </c>
      <c r="B262" s="227" t="s">
        <v>387</v>
      </c>
      <c r="C262" s="242">
        <v>86177</v>
      </c>
    </row>
    <row r="263" spans="1:3" ht="13.8">
      <c r="A263" s="221">
        <v>38601</v>
      </c>
      <c r="B263" s="226" t="s">
        <v>388</v>
      </c>
      <c r="C263" s="241">
        <v>0</v>
      </c>
    </row>
    <row r="264" spans="1:3" ht="13.8">
      <c r="A264" s="222">
        <v>38602</v>
      </c>
      <c r="B264" s="227" t="s">
        <v>389</v>
      </c>
      <c r="C264" s="243">
        <v>7187</v>
      </c>
    </row>
    <row r="265" spans="1:3" ht="13.8">
      <c r="A265" s="221">
        <v>38605</v>
      </c>
      <c r="B265" s="226" t="s">
        <v>106</v>
      </c>
      <c r="C265" s="241">
        <v>20123</v>
      </c>
    </row>
    <row r="266" spans="1:3" ht="13.8">
      <c r="A266" s="222">
        <v>38610</v>
      </c>
      <c r="B266" s="227" t="s">
        <v>390</v>
      </c>
      <c r="C266" s="242">
        <v>22244</v>
      </c>
    </row>
    <row r="267" spans="1:3" ht="13.8">
      <c r="A267" s="220">
        <v>38620</v>
      </c>
      <c r="B267" s="225" t="s">
        <v>391</v>
      </c>
      <c r="C267" s="241">
        <v>16016</v>
      </c>
    </row>
    <row r="268" spans="1:3" ht="13.8">
      <c r="A268" s="220">
        <v>38700</v>
      </c>
      <c r="B268" s="225" t="s">
        <v>392</v>
      </c>
      <c r="C268" s="243">
        <v>28803</v>
      </c>
    </row>
    <row r="269" spans="1:3" ht="13.8">
      <c r="A269" s="220">
        <v>38701</v>
      </c>
      <c r="B269" s="225" t="s">
        <v>470</v>
      </c>
      <c r="C269" s="241">
        <v>2285</v>
      </c>
    </row>
    <row r="270" spans="1:3" ht="13.8">
      <c r="A270" s="220">
        <v>38800</v>
      </c>
      <c r="B270" s="225" t="s">
        <v>393</v>
      </c>
      <c r="C270" s="242">
        <v>47183</v>
      </c>
    </row>
    <row r="271" spans="1:3" ht="13.8">
      <c r="A271" s="220">
        <v>38801</v>
      </c>
      <c r="B271" s="225" t="s">
        <v>394</v>
      </c>
      <c r="C271" s="241">
        <v>4559</v>
      </c>
    </row>
    <row r="272" spans="1:3" ht="13.8">
      <c r="A272" s="220">
        <v>38900</v>
      </c>
      <c r="B272" s="225" t="s">
        <v>395</v>
      </c>
      <c r="C272" s="242">
        <v>9562</v>
      </c>
    </row>
    <row r="273" spans="1:3" ht="13.8">
      <c r="A273" s="220">
        <v>39000</v>
      </c>
      <c r="B273" s="225" t="s">
        <v>396</v>
      </c>
      <c r="C273" s="241">
        <v>454546</v>
      </c>
    </row>
    <row r="274" spans="1:3" ht="13.8">
      <c r="A274" s="220">
        <v>39100</v>
      </c>
      <c r="B274" s="225" t="s">
        <v>397</v>
      </c>
      <c r="C274" s="242">
        <v>51709</v>
      </c>
    </row>
    <row r="275" spans="1:3" ht="13.8">
      <c r="A275" s="220">
        <v>39101</v>
      </c>
      <c r="B275" s="225" t="s">
        <v>398</v>
      </c>
      <c r="C275" s="241">
        <v>9250</v>
      </c>
    </row>
    <row r="276" spans="1:3" ht="13.8">
      <c r="A276" s="220">
        <v>39105</v>
      </c>
      <c r="B276" s="225" t="s">
        <v>107</v>
      </c>
      <c r="C276" s="242">
        <v>20795</v>
      </c>
    </row>
    <row r="277" spans="1:3" ht="13.8">
      <c r="A277" s="220">
        <v>39200</v>
      </c>
      <c r="B277" s="225" t="s">
        <v>471</v>
      </c>
      <c r="C277" s="241">
        <v>2071375</v>
      </c>
    </row>
    <row r="278" spans="1:3" ht="13.8">
      <c r="A278" s="220">
        <v>39201</v>
      </c>
      <c r="B278" s="225" t="s">
        <v>399</v>
      </c>
      <c r="C278" s="243">
        <v>8473</v>
      </c>
    </row>
    <row r="279" spans="1:3" ht="13.8">
      <c r="A279" s="221">
        <v>39204</v>
      </c>
      <c r="B279" s="226" t="s">
        <v>400</v>
      </c>
      <c r="C279" s="241">
        <v>7889</v>
      </c>
    </row>
    <row r="280" spans="1:3" ht="13.8">
      <c r="A280" s="222">
        <v>39205</v>
      </c>
      <c r="B280" s="227" t="s">
        <v>108</v>
      </c>
      <c r="C280" s="242">
        <v>176972</v>
      </c>
    </row>
    <row r="281" spans="1:3" ht="13.8">
      <c r="A281" s="221">
        <v>39208</v>
      </c>
      <c r="B281" s="226" t="s">
        <v>472</v>
      </c>
      <c r="C281" s="243">
        <v>12162</v>
      </c>
    </row>
    <row r="282" spans="1:3" ht="13.8">
      <c r="A282" s="222">
        <v>39209</v>
      </c>
      <c r="B282" s="227" t="s">
        <v>401</v>
      </c>
      <c r="C282" s="242">
        <v>0</v>
      </c>
    </row>
    <row r="283" spans="1:3" ht="13.8">
      <c r="A283" s="221">
        <v>39220</v>
      </c>
      <c r="B283" s="226" t="s">
        <v>425</v>
      </c>
      <c r="C283" s="243">
        <v>0</v>
      </c>
    </row>
    <row r="284" spans="1:3" ht="13.8">
      <c r="A284" s="222">
        <v>39300</v>
      </c>
      <c r="B284" s="227" t="s">
        <v>402</v>
      </c>
      <c r="C284" s="242">
        <v>21658</v>
      </c>
    </row>
    <row r="285" spans="1:3" ht="13.8">
      <c r="A285" s="220">
        <v>39301</v>
      </c>
      <c r="B285" s="225" t="s">
        <v>403</v>
      </c>
      <c r="C285" s="244">
        <v>1275</v>
      </c>
    </row>
    <row r="286" spans="1:3" ht="13.8">
      <c r="A286" s="220">
        <v>39400</v>
      </c>
      <c r="B286" s="225" t="s">
        <v>404</v>
      </c>
      <c r="C286" s="238">
        <v>13380</v>
      </c>
    </row>
    <row r="287" spans="1:3" ht="13.8">
      <c r="A287" s="220">
        <v>39401</v>
      </c>
      <c r="B287" s="225" t="s">
        <v>405</v>
      </c>
      <c r="C287" s="240">
        <v>13659</v>
      </c>
    </row>
    <row r="288" spans="1:3" ht="13.8">
      <c r="A288" s="220">
        <v>39500</v>
      </c>
      <c r="B288" s="225" t="s">
        <v>406</v>
      </c>
      <c r="C288" s="240">
        <v>67148</v>
      </c>
    </row>
    <row r="289" spans="1:3" ht="13.8">
      <c r="A289" s="220">
        <v>39501</v>
      </c>
      <c r="B289" s="225" t="s">
        <v>473</v>
      </c>
      <c r="C289" s="244">
        <v>1687</v>
      </c>
    </row>
    <row r="290" spans="1:3" ht="13.8">
      <c r="A290" s="220">
        <v>39600</v>
      </c>
      <c r="B290" s="225" t="s">
        <v>407</v>
      </c>
      <c r="C290" s="242">
        <v>181975</v>
      </c>
    </row>
    <row r="291" spans="1:3" ht="13.8">
      <c r="A291" s="221">
        <v>39605</v>
      </c>
      <c r="B291" s="226" t="s">
        <v>109</v>
      </c>
      <c r="C291" s="241">
        <v>26655</v>
      </c>
    </row>
    <row r="292" spans="1:3" ht="13.8">
      <c r="A292" s="222">
        <v>39700</v>
      </c>
      <c r="B292" s="227" t="s">
        <v>408</v>
      </c>
      <c r="C292" s="242">
        <v>102893</v>
      </c>
    </row>
    <row r="293" spans="1:3" ht="13.8">
      <c r="A293" s="221">
        <v>39703</v>
      </c>
      <c r="B293" s="226" t="s">
        <v>409</v>
      </c>
      <c r="C293" s="241">
        <v>7888</v>
      </c>
    </row>
    <row r="294" spans="1:3" ht="13.8">
      <c r="A294" s="222">
        <v>39705</v>
      </c>
      <c r="B294" s="227" t="s">
        <v>110</v>
      </c>
      <c r="C294" s="242">
        <v>28308</v>
      </c>
    </row>
    <row r="295" spans="1:3" ht="13.8">
      <c r="A295" s="221">
        <v>39800</v>
      </c>
      <c r="B295" s="226" t="s">
        <v>410</v>
      </c>
      <c r="C295" s="241">
        <v>115170</v>
      </c>
    </row>
    <row r="296" spans="1:3" ht="13.8">
      <c r="A296" s="222">
        <v>39805</v>
      </c>
      <c r="B296" s="227" t="s">
        <v>111</v>
      </c>
      <c r="C296" s="242">
        <v>13741</v>
      </c>
    </row>
    <row r="297" spans="1:3" ht="13.8">
      <c r="A297" s="220">
        <v>39900</v>
      </c>
      <c r="B297" s="225" t="s">
        <v>411</v>
      </c>
      <c r="C297" s="241">
        <v>62543</v>
      </c>
    </row>
    <row r="298" spans="1:3" ht="13.8">
      <c r="A298" s="220">
        <v>40000</v>
      </c>
      <c r="B298" s="225" t="s">
        <v>412</v>
      </c>
      <c r="C298" s="242">
        <v>116585</v>
      </c>
    </row>
    <row r="299" spans="1:3" ht="13.8">
      <c r="A299" s="220">
        <v>51000</v>
      </c>
      <c r="B299" s="225" t="s">
        <v>474</v>
      </c>
      <c r="C299" s="241">
        <v>897367</v>
      </c>
    </row>
    <row r="300" spans="1:3" ht="13.8">
      <c r="A300" s="220">
        <v>51000.2</v>
      </c>
      <c r="B300" s="225" t="s">
        <v>475</v>
      </c>
      <c r="C300" s="242">
        <v>1109</v>
      </c>
    </row>
    <row r="301" spans="1:3" ht="15.6">
      <c r="A301" s="223">
        <v>51000.3</v>
      </c>
      <c r="B301" s="228" t="s">
        <v>858</v>
      </c>
      <c r="C301" s="241">
        <v>27013</v>
      </c>
    </row>
    <row r="302" spans="1:3" ht="15.6">
      <c r="A302" s="224">
        <v>60000</v>
      </c>
      <c r="B302" s="229" t="s">
        <v>476</v>
      </c>
      <c r="C302" s="242">
        <v>4397</v>
      </c>
    </row>
    <row r="303" spans="1:3" ht="15.6">
      <c r="A303" s="223">
        <v>90901</v>
      </c>
      <c r="B303" s="230" t="s">
        <v>413</v>
      </c>
      <c r="C303" s="241">
        <v>28656</v>
      </c>
    </row>
    <row r="304" spans="1:3" ht="15.6">
      <c r="A304" s="224">
        <v>91041</v>
      </c>
      <c r="B304" s="231" t="s">
        <v>414</v>
      </c>
      <c r="C304" s="242">
        <v>6441</v>
      </c>
    </row>
    <row r="305" spans="1:3" ht="15.6">
      <c r="A305" s="223">
        <v>91111</v>
      </c>
      <c r="B305" s="232" t="s">
        <v>415</v>
      </c>
      <c r="C305" s="241">
        <v>3429</v>
      </c>
    </row>
    <row r="306" spans="1:3" ht="15.6">
      <c r="A306" s="224">
        <v>91151</v>
      </c>
      <c r="B306" s="233" t="s">
        <v>416</v>
      </c>
      <c r="C306" s="242">
        <v>9143</v>
      </c>
    </row>
    <row r="307" spans="1:3" ht="15.6">
      <c r="A307" s="223">
        <v>98101</v>
      </c>
      <c r="B307" s="234" t="s">
        <v>417</v>
      </c>
      <c r="C307" s="241">
        <v>38213</v>
      </c>
    </row>
    <row r="308" spans="1:3" ht="15.6">
      <c r="A308" s="224">
        <v>98103</v>
      </c>
      <c r="B308" s="235" t="s">
        <v>477</v>
      </c>
      <c r="C308" s="242">
        <v>6339</v>
      </c>
    </row>
    <row r="309" spans="1:3" ht="15.6">
      <c r="A309" s="223">
        <v>98111</v>
      </c>
      <c r="B309" s="234" t="s">
        <v>418</v>
      </c>
      <c r="C309" s="241">
        <v>14081</v>
      </c>
    </row>
    <row r="310" spans="1:3" ht="15.6">
      <c r="A310" s="224">
        <v>98131</v>
      </c>
      <c r="B310" s="235" t="s">
        <v>419</v>
      </c>
      <c r="C310" s="242">
        <v>3477</v>
      </c>
    </row>
    <row r="311" spans="1:3" ht="15.6">
      <c r="A311" s="223">
        <v>99401</v>
      </c>
      <c r="B311" s="236" t="s">
        <v>420</v>
      </c>
      <c r="C311" s="241">
        <v>10359</v>
      </c>
    </row>
    <row r="312" spans="1:3" ht="15.6">
      <c r="A312" s="224">
        <v>99521</v>
      </c>
      <c r="B312" s="236" t="s">
        <v>421</v>
      </c>
      <c r="C312" s="242">
        <v>8661</v>
      </c>
    </row>
    <row r="313" spans="1:3" ht="15.6">
      <c r="A313" s="223">
        <v>99831</v>
      </c>
      <c r="B313" s="237" t="s">
        <v>422</v>
      </c>
      <c r="C313" s="241">
        <v>575</v>
      </c>
    </row>
    <row r="314" spans="1:3">
      <c r="C314" s="6">
        <f>SUM(C3:C313)</f>
        <v>35006698</v>
      </c>
    </row>
  </sheetData>
  <sheetProtection algorithmName="SHA-512" hashValue="XIE3cOdx9N0geaHwGHjrcIqOEPWEVj4ArNcsBwiyO011avoINj9lGlivUWOWsFg7/dWyYSWss11C6CHozap+6w==" saltValue="l2GDSE1S4pmUl77hmkvkeQ==" spinCount="100000" sheet="1" objects="1" scenarios="1"/>
  <conditionalFormatting sqref="A45">
    <cfRule type="duplicateValues" dxfId="26" priority="1"/>
  </conditionalFormatting>
  <conditionalFormatting sqref="A46:A55 A3:A44">
    <cfRule type="duplicateValues" dxfId="25" priority="26"/>
  </conditionalFormatting>
  <conditionalFormatting sqref="A56">
    <cfRule type="duplicateValues" dxfId="24" priority="2"/>
  </conditionalFormatting>
  <conditionalFormatting sqref="A57 A280:A285 A292:A297">
    <cfRule type="duplicateValues" dxfId="23" priority="3"/>
  </conditionalFormatting>
  <conditionalFormatting sqref="A58:A98 A100:A109">
    <cfRule type="duplicateValues" dxfId="22" priority="4"/>
  </conditionalFormatting>
  <conditionalFormatting sqref="A99">
    <cfRule type="duplicateValues" dxfId="21" priority="5"/>
  </conditionalFormatting>
  <conditionalFormatting sqref="A110">
    <cfRule type="duplicateValues" dxfId="20" priority="6"/>
  </conditionalFormatting>
  <conditionalFormatting sqref="A111">
    <cfRule type="duplicateValues" dxfId="19" priority="7"/>
  </conditionalFormatting>
  <conditionalFormatting sqref="A112:A152 A154:A163">
    <cfRule type="duplicateValues" dxfId="18" priority="8"/>
  </conditionalFormatting>
  <conditionalFormatting sqref="A153">
    <cfRule type="duplicateValues" dxfId="17" priority="9"/>
  </conditionalFormatting>
  <conditionalFormatting sqref="A164">
    <cfRule type="duplicateValues" dxfId="16" priority="10"/>
  </conditionalFormatting>
  <conditionalFormatting sqref="A165">
    <cfRule type="duplicateValues" dxfId="15" priority="11"/>
  </conditionalFormatting>
  <conditionalFormatting sqref="A166:A206 A208:A217">
    <cfRule type="duplicateValues" dxfId="14" priority="12"/>
  </conditionalFormatting>
  <conditionalFormatting sqref="A207">
    <cfRule type="duplicateValues" dxfId="13" priority="13"/>
  </conditionalFormatting>
  <conditionalFormatting sqref="A218">
    <cfRule type="duplicateValues" dxfId="12" priority="14"/>
  </conditionalFormatting>
  <conditionalFormatting sqref="A219">
    <cfRule type="duplicateValues" dxfId="11" priority="15"/>
  </conditionalFormatting>
  <conditionalFormatting sqref="A220:A260 A262:A271">
    <cfRule type="duplicateValues" dxfId="10" priority="25"/>
  </conditionalFormatting>
  <conditionalFormatting sqref="A261">
    <cfRule type="duplicateValues" dxfId="9" priority="16"/>
  </conditionalFormatting>
  <conditionalFormatting sqref="A272">
    <cfRule type="duplicateValues" dxfId="8" priority="17"/>
  </conditionalFormatting>
  <conditionalFormatting sqref="A273">
    <cfRule type="duplicateValues" dxfId="7" priority="18"/>
  </conditionalFormatting>
  <conditionalFormatting sqref="A274:A277">
    <cfRule type="duplicateValues" dxfId="6" priority="19"/>
  </conditionalFormatting>
  <conditionalFormatting sqref="A278">
    <cfRule type="duplicateValues" dxfId="5" priority="20"/>
  </conditionalFormatting>
  <conditionalFormatting sqref="A279">
    <cfRule type="duplicateValues" dxfId="4" priority="21"/>
  </conditionalFormatting>
  <conditionalFormatting sqref="A286:A289">
    <cfRule type="duplicateValues" dxfId="3" priority="22"/>
  </conditionalFormatting>
  <conditionalFormatting sqref="A290">
    <cfRule type="duplicateValues" dxfId="2" priority="23"/>
  </conditionalFormatting>
  <conditionalFormatting sqref="A291">
    <cfRule type="duplicateValues" dxfId="1" priority="24"/>
  </conditionalFormatting>
  <conditionalFormatting sqref="A298:A300">
    <cfRule type="duplicateValues" dxfId="0" priority="27"/>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b17633-6ab9-4c77-a901-7160f9eb8959">
      <Terms xmlns="http://schemas.microsoft.com/office/infopath/2007/PartnerControls"/>
    </lcf76f155ced4ddcb4097134ff3c332f>
    <TaxCatchAll xmlns="563f23cf-f5d7-460c-8da3-480e214b7c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FA4F08ADB9124B980220F50EFDEE06" ma:contentTypeVersion="15" ma:contentTypeDescription="Create a new document." ma:contentTypeScope="" ma:versionID="6027249b1e62dce0732dbb0e9b004e9c">
  <xsd:schema xmlns:xsd="http://www.w3.org/2001/XMLSchema" xmlns:xs="http://www.w3.org/2001/XMLSchema" xmlns:p="http://schemas.microsoft.com/office/2006/metadata/properties" xmlns:ns2="7db17633-6ab9-4c77-a901-7160f9eb8959" xmlns:ns3="563f23cf-f5d7-460c-8da3-480e214b7c18" targetNamespace="http://schemas.microsoft.com/office/2006/metadata/properties" ma:root="true" ma:fieldsID="e918307ed12311eddc2fba8868e93eeb" ns2:_="" ns3:_="">
    <xsd:import namespace="7db17633-6ab9-4c77-a901-7160f9eb8959"/>
    <xsd:import namespace="563f23cf-f5d7-460c-8da3-480e214b7c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b17633-6ab9-4c77-a901-7160f9eb8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f23cf-f5d7-460c-8da3-480e214b7c1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35efe-7d43-4b6c-8e96-12ab64d71ee4}" ma:internalName="TaxCatchAll" ma:showField="CatchAllData" ma:web="563f23cf-f5d7-460c-8da3-480e214b7c1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04DF85-1C18-4DC7-BD04-08BE94367B26}">
  <ds:schemaRefs>
    <ds:schemaRef ds:uri="http://schemas.microsoft.com/sharepoint/v3/contenttype/forms"/>
  </ds:schemaRefs>
</ds:datastoreItem>
</file>

<file path=customXml/itemProps2.xml><?xml version="1.0" encoding="utf-8"?>
<ds:datastoreItem xmlns:ds="http://schemas.openxmlformats.org/officeDocument/2006/customXml" ds:itemID="{D3ADB8EA-4B91-47BC-962F-72D801815085}">
  <ds:schemaRefs>
    <ds:schemaRef ds:uri="http://purl.org/dc/terms/"/>
    <ds:schemaRef ds:uri="http://purl.org/dc/dcmitype/"/>
    <ds:schemaRef ds:uri="7db17633-6ab9-4c77-a901-7160f9eb8959"/>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563f23cf-f5d7-460c-8da3-480e214b7c18"/>
    <ds:schemaRef ds:uri="http://purl.org/dc/elements/1.1/"/>
  </ds:schemaRefs>
</ds:datastoreItem>
</file>

<file path=customXml/itemProps3.xml><?xml version="1.0" encoding="utf-8"?>
<ds:datastoreItem xmlns:ds="http://schemas.openxmlformats.org/officeDocument/2006/customXml" ds:itemID="{30802D6A-203A-4597-9BA3-ED0958123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b17633-6ab9-4c77-a901-7160f9eb8959"/>
    <ds:schemaRef ds:uri="563f23cf-f5d7-460c-8da3-480e214b7c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Info</vt:lpstr>
      <vt:lpstr>Detail</vt:lpstr>
      <vt:lpstr>Summary</vt:lpstr>
      <vt:lpstr>Disclosures</vt:lpstr>
      <vt:lpstr>Data</vt:lpstr>
      <vt:lpstr>ER Contributions</vt:lpstr>
      <vt:lpstr>75 - Summary Exhibit</vt:lpstr>
      <vt:lpstr>75- Deferred Amortization</vt:lpstr>
      <vt:lpstr>Noncap Contr Alloc</vt:lpstr>
      <vt:lpstr>'75 - Summary Exhibit'!Print_Area</vt:lpstr>
      <vt:lpstr>'75- Deferred Amortization'!Print_Area</vt:lpstr>
      <vt:lpstr>Data!Print_Area</vt:lpstr>
      <vt:lpstr>Detail!Print_Area</vt:lpstr>
      <vt:lpstr>Disclosures!Print_Area</vt:lpstr>
      <vt:lpstr>'ER Contributions'!Print_Area</vt:lpstr>
      <vt:lpstr>Summary!Print_Area</vt:lpstr>
      <vt:lpstr>'75- Deferred Amortization'!Print_Titles</vt:lpstr>
      <vt:lpstr>Disclosures!Print_Titles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Murphy</dc:creator>
  <cp:lastModifiedBy>Elizabeth John</cp:lastModifiedBy>
  <cp:lastPrinted>2023-05-03T17:44:02Z</cp:lastPrinted>
  <dcterms:created xsi:type="dcterms:W3CDTF">2007-09-03T15:01:56Z</dcterms:created>
  <dcterms:modified xsi:type="dcterms:W3CDTF">2024-07-09T13:38:29Z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0x0101007CFA4F08ADB9124B980220F50EFDEE06</vt:lpwstr>
  </property>
  <property fmtid="{D5CDD505-2E9C-101B-9397-08002B2CF9AE}" pid="5" name="Order">
    <vt:r8>15516600</vt:r8>
  </property>
  <property fmtid="{D5CDD505-2E9C-101B-9397-08002B2CF9AE}" pid="6" name="MSIP_Label_defa4170-0d19-0005-0004-bc88714345d2_Enabled">
    <vt:lpwstr>true</vt:lpwstr>
  </property>
  <property fmtid="{D5CDD505-2E9C-101B-9397-08002B2CF9AE}" pid="7" name="MSIP_Label_defa4170-0d19-0005-0004-bc88714345d2_SetDate">
    <vt:lpwstr>2024-04-30T18:56:58Z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0e1ad1b7-7fd6-45de-873d-374134cfdbb9</vt:lpwstr>
  </property>
  <property fmtid="{D5CDD505-2E9C-101B-9397-08002B2CF9AE}" pid="12" name="MSIP_Label_defa4170-0d19-0005-0004-bc88714345d2_ContentBits">
    <vt:lpwstr>0</vt:lpwstr>
  </property>
</Properties>
</file>