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https://ncosc-my.sharepoint.com/personal/elizabeth_john_ncosc_gov/Documents/2024 ACFR_EJ/WC 2024 Pensions/GASB 68 Component units FY24/"/>
    </mc:Choice>
  </mc:AlternateContent>
  <xr:revisionPtr revIDLastSave="5" documentId="8_{79B43020-24F9-4E5F-85DF-C190E8FA89B5}" xr6:coauthVersionLast="47" xr6:coauthVersionMax="47" xr10:uidLastSave="{3B49016B-69C1-43D6-A91D-D74C02F1219F}"/>
  <bookViews>
    <workbookView xWindow="-108" yWindow="-108" windowWidth="23256" windowHeight="12456" tabRatio="824" activeTab="1"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68 - Summary Exhibit" sheetId="9" state="hidden" r:id="rId7"/>
    <sheet name="68- Deferred Amortization" sheetId="10" state="hidden" r:id="rId8"/>
  </sheets>
  <definedNames>
    <definedName name="_xlnm._FilterDatabase" localSheetId="4" hidden="1">Data!$A$1:$AU$88</definedName>
    <definedName name="_xlnm.Print_Area" localSheetId="6">'68 - Summary Exhibit'!$A$1:$N$3</definedName>
    <definedName name="_xlnm.Print_Area" localSheetId="7">'68- Deferred Amortization'!$A$1:$F$303</definedName>
    <definedName name="_xlnm.Print_Area" localSheetId="4">Data!$A$1:$AK$88</definedName>
    <definedName name="_xlnm.Print_Area" localSheetId="1">Detail!$A$1:$G$62</definedName>
    <definedName name="_xlnm.Print_Area" localSheetId="3">Disclosures!$A$6:$J$75</definedName>
    <definedName name="_xlnm.Print_Area" localSheetId="5">'ER Contributions'!$A$1:$D$296</definedName>
    <definedName name="_xlnm.Print_Area" localSheetId="2">Summary!$A$1:$I$21</definedName>
    <definedName name="_xlnm.Print_Titles" localSheetId="7">'68- Deferred Amortization'!$1:$3</definedName>
    <definedName name="_xlnm.Print_Titles" localSheetId="4">Data!$2:$3</definedName>
    <definedName name="_xlnm.Print_Titles" localSheetId="3">Disclosures!$1:$4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3" i="10" l="1"/>
  <c r="F303" i="10"/>
  <c r="F305" i="10" s="1"/>
  <c r="E303" i="10"/>
  <c r="E305" i="10" s="1"/>
  <c r="D303" i="10"/>
  <c r="D305" i="10" s="1"/>
  <c r="C303" i="10"/>
  <c r="C305" i="10" s="1"/>
  <c r="C295" i="6"/>
  <c r="D295" i="6"/>
  <c r="M85" i="4" l="1"/>
  <c r="M80" i="4"/>
  <c r="M67" i="4"/>
  <c r="M65" i="4"/>
  <c r="M41" i="4"/>
  <c r="M42" i="4"/>
  <c r="M36" i="4"/>
  <c r="M30" i="4"/>
  <c r="M31" i="4"/>
  <c r="M27" i="4"/>
  <c r="M20" i="4"/>
  <c r="M17" i="4"/>
  <c r="M18" i="4"/>
  <c r="M19" i="4"/>
  <c r="M12" i="4"/>
  <c r="M13" i="4"/>
  <c r="M14" i="4"/>
  <c r="M8" i="4"/>
  <c r="M9" i="4"/>
  <c r="M10" i="4"/>
  <c r="M6" i="4"/>
  <c r="H305" i="9"/>
  <c r="I305" i="9"/>
  <c r="C4" i="4" l="1"/>
  <c r="G84" i="4" l="1"/>
  <c r="AT84" i="4" s="1"/>
  <c r="N303" i="9" l="1"/>
  <c r="N304" i="9"/>
  <c r="D305" i="9"/>
  <c r="E305" i="9"/>
  <c r="F305" i="9"/>
  <c r="G305" i="9"/>
  <c r="J305" i="9"/>
  <c r="K305" i="9"/>
  <c r="L305" i="9"/>
  <c r="M305" i="9"/>
  <c r="C305" i="9"/>
  <c r="S4" i="4" l="1"/>
  <c r="N302" i="9"/>
  <c r="N301" i="9"/>
  <c r="N300" i="9"/>
  <c r="N299" i="9"/>
  <c r="N298" i="9"/>
  <c r="N297" i="9"/>
  <c r="N305" i="9" l="1"/>
  <c r="H57" i="1" l="1"/>
  <c r="H21" i="1" l="1"/>
  <c r="Q81" i="4"/>
  <c r="R81" i="4"/>
  <c r="S81" i="4"/>
  <c r="T81" i="4"/>
  <c r="U81" i="4"/>
  <c r="Q82" i="4"/>
  <c r="R82" i="4"/>
  <c r="S82" i="4"/>
  <c r="T82" i="4"/>
  <c r="U82" i="4"/>
  <c r="Q83" i="4"/>
  <c r="R83" i="4"/>
  <c r="S83" i="4"/>
  <c r="T83" i="4"/>
  <c r="U83" i="4"/>
  <c r="Q84" i="4"/>
  <c r="R84" i="4"/>
  <c r="S84" i="4"/>
  <c r="T84" i="4"/>
  <c r="U84" i="4"/>
  <c r="Q85" i="4"/>
  <c r="R85" i="4"/>
  <c r="S85" i="4"/>
  <c r="T85" i="4"/>
  <c r="U85" i="4"/>
  <c r="O81" i="4"/>
  <c r="O82" i="4"/>
  <c r="O83" i="4"/>
  <c r="O84" i="4"/>
  <c r="O85" i="4"/>
  <c r="C81" i="4"/>
  <c r="D81" i="4"/>
  <c r="E81" i="4"/>
  <c r="AS81" i="4" s="1"/>
  <c r="F81" i="4"/>
  <c r="G81" i="4"/>
  <c r="AT81" i="4" s="1"/>
  <c r="H81" i="4"/>
  <c r="AQ81" i="4" s="1"/>
  <c r="I81" i="4"/>
  <c r="J81" i="4"/>
  <c r="AP81" i="4" s="1"/>
  <c r="K81" i="4"/>
  <c r="AU81" i="4" s="1"/>
  <c r="L81" i="4"/>
  <c r="AR81" i="4" s="1"/>
  <c r="M81" i="4"/>
  <c r="N81" i="4"/>
  <c r="C82" i="4"/>
  <c r="D82" i="4"/>
  <c r="E82" i="4"/>
  <c r="AS82" i="4" s="1"/>
  <c r="F82" i="4"/>
  <c r="G82" i="4"/>
  <c r="AT82" i="4" s="1"/>
  <c r="H82" i="4"/>
  <c r="AQ82" i="4" s="1"/>
  <c r="I82" i="4"/>
  <c r="J82" i="4"/>
  <c r="AP82" i="4" s="1"/>
  <c r="K82" i="4"/>
  <c r="AU82" i="4" s="1"/>
  <c r="L82" i="4"/>
  <c r="AR82" i="4" s="1"/>
  <c r="M82" i="4"/>
  <c r="N82" i="4"/>
  <c r="C83" i="4"/>
  <c r="D83" i="4"/>
  <c r="E83" i="4"/>
  <c r="AS83" i="4" s="1"/>
  <c r="F83" i="4"/>
  <c r="G83" i="4"/>
  <c r="AT83" i="4" s="1"/>
  <c r="H83" i="4"/>
  <c r="AQ83" i="4" s="1"/>
  <c r="I83" i="4"/>
  <c r="J83" i="4"/>
  <c r="AP83" i="4" s="1"/>
  <c r="K83" i="4"/>
  <c r="AU83" i="4" s="1"/>
  <c r="L83" i="4"/>
  <c r="AR83" i="4" s="1"/>
  <c r="M83" i="4"/>
  <c r="N83" i="4"/>
  <c r="C84" i="4"/>
  <c r="D84" i="4"/>
  <c r="E84" i="4"/>
  <c r="AS84" i="4" s="1"/>
  <c r="F84" i="4"/>
  <c r="H84" i="4"/>
  <c r="AQ84" i="4" s="1"/>
  <c r="I84" i="4"/>
  <c r="J84" i="4"/>
  <c r="AP84" i="4" s="1"/>
  <c r="K84" i="4"/>
  <c r="AU84" i="4" s="1"/>
  <c r="L84" i="4"/>
  <c r="AR84" i="4" s="1"/>
  <c r="M84" i="4"/>
  <c r="N84" i="4"/>
  <c r="C85" i="4"/>
  <c r="D85" i="4"/>
  <c r="E85" i="4"/>
  <c r="AS85" i="4" s="1"/>
  <c r="F85" i="4"/>
  <c r="G85" i="4"/>
  <c r="AT85" i="4" s="1"/>
  <c r="H85" i="4"/>
  <c r="AQ85" i="4" s="1"/>
  <c r="I85" i="4"/>
  <c r="J85" i="4"/>
  <c r="AP85" i="4" s="1"/>
  <c r="K85" i="4"/>
  <c r="AU85" i="4" s="1"/>
  <c r="L85" i="4"/>
  <c r="AR85" i="4" s="1"/>
  <c r="N85" i="4"/>
  <c r="P81" i="4" l="1"/>
  <c r="V81" i="4" s="1"/>
  <c r="P85" i="4"/>
  <c r="V85" i="4" s="1"/>
  <c r="AO84" i="4"/>
  <c r="AO83" i="4"/>
  <c r="AO82" i="4"/>
  <c r="AO81" i="4"/>
  <c r="AO85" i="4"/>
  <c r="P84" i="4"/>
  <c r="V84" i="4" s="1"/>
  <c r="P83" i="4"/>
  <c r="V83" i="4" s="1"/>
  <c r="P82" i="4"/>
  <c r="V82" i="4" s="1"/>
  <c r="W85" i="4"/>
  <c r="W84" i="4"/>
  <c r="W82" i="4"/>
  <c r="W83" i="4"/>
  <c r="W81" i="4"/>
  <c r="D25" i="3" l="1"/>
  <c r="Q57" i="4" l="1"/>
  <c r="R57" i="4"/>
  <c r="S57" i="4"/>
  <c r="T57" i="4"/>
  <c r="U57" i="4"/>
  <c r="Q58" i="4"/>
  <c r="R58" i="4"/>
  <c r="S58" i="4"/>
  <c r="T58" i="4"/>
  <c r="U58" i="4"/>
  <c r="Q59" i="4"/>
  <c r="R59" i="4"/>
  <c r="S59" i="4"/>
  <c r="T59" i="4"/>
  <c r="U59" i="4"/>
  <c r="Q60" i="4"/>
  <c r="R60" i="4"/>
  <c r="S60" i="4"/>
  <c r="T60" i="4"/>
  <c r="U60" i="4"/>
  <c r="Q61" i="4"/>
  <c r="R61" i="4"/>
  <c r="S61" i="4"/>
  <c r="T61" i="4"/>
  <c r="U61" i="4"/>
  <c r="Q62" i="4"/>
  <c r="R62" i="4"/>
  <c r="S62" i="4"/>
  <c r="T62" i="4"/>
  <c r="U62" i="4"/>
  <c r="Q63" i="4"/>
  <c r="R63" i="4"/>
  <c r="S63" i="4"/>
  <c r="T63" i="4"/>
  <c r="U63" i="4"/>
  <c r="Q64" i="4"/>
  <c r="R64" i="4"/>
  <c r="S64" i="4"/>
  <c r="T64" i="4"/>
  <c r="U64" i="4"/>
  <c r="Q65" i="4"/>
  <c r="R65" i="4"/>
  <c r="S65" i="4"/>
  <c r="T65" i="4"/>
  <c r="U65" i="4"/>
  <c r="Q66" i="4"/>
  <c r="R66" i="4"/>
  <c r="S66" i="4"/>
  <c r="T66" i="4"/>
  <c r="U66" i="4"/>
  <c r="Q67" i="4"/>
  <c r="R67" i="4"/>
  <c r="S67" i="4"/>
  <c r="T67" i="4"/>
  <c r="U67" i="4"/>
  <c r="Q68" i="4"/>
  <c r="R68" i="4"/>
  <c r="S68" i="4"/>
  <c r="T68" i="4"/>
  <c r="U68" i="4"/>
  <c r="Q69" i="4"/>
  <c r="R69" i="4"/>
  <c r="S69" i="4"/>
  <c r="T69" i="4"/>
  <c r="U69" i="4"/>
  <c r="Q70" i="4"/>
  <c r="R70" i="4"/>
  <c r="S70" i="4"/>
  <c r="T70" i="4"/>
  <c r="U70" i="4"/>
  <c r="Q71" i="4"/>
  <c r="R71" i="4"/>
  <c r="S71" i="4"/>
  <c r="T71" i="4"/>
  <c r="U71" i="4"/>
  <c r="Q72" i="4"/>
  <c r="R72" i="4"/>
  <c r="S72" i="4"/>
  <c r="T72" i="4"/>
  <c r="U72" i="4"/>
  <c r="Q73" i="4"/>
  <c r="R73" i="4"/>
  <c r="S73" i="4"/>
  <c r="T73" i="4"/>
  <c r="U73" i="4"/>
  <c r="Q74" i="4"/>
  <c r="R74" i="4"/>
  <c r="S74" i="4"/>
  <c r="T74" i="4"/>
  <c r="U74" i="4"/>
  <c r="Q75" i="4"/>
  <c r="R75" i="4"/>
  <c r="S75" i="4"/>
  <c r="T75" i="4"/>
  <c r="U75" i="4"/>
  <c r="Q76" i="4"/>
  <c r="R76" i="4"/>
  <c r="S76" i="4"/>
  <c r="T76" i="4"/>
  <c r="U76" i="4"/>
  <c r="Q77" i="4"/>
  <c r="R77" i="4"/>
  <c r="S77" i="4"/>
  <c r="T77" i="4"/>
  <c r="U77" i="4"/>
  <c r="Q78" i="4"/>
  <c r="R78" i="4"/>
  <c r="S78" i="4"/>
  <c r="T78" i="4"/>
  <c r="U78" i="4"/>
  <c r="Q79" i="4"/>
  <c r="R79" i="4"/>
  <c r="S79" i="4"/>
  <c r="T79" i="4"/>
  <c r="U79" i="4"/>
  <c r="Q80" i="4"/>
  <c r="R80" i="4"/>
  <c r="S80" i="4"/>
  <c r="T80" i="4"/>
  <c r="U80" i="4"/>
  <c r="Q31" i="4"/>
  <c r="R31" i="4"/>
  <c r="S31" i="4"/>
  <c r="T31" i="4"/>
  <c r="U31" i="4"/>
  <c r="Q32" i="4"/>
  <c r="R32" i="4"/>
  <c r="S32" i="4"/>
  <c r="T32" i="4"/>
  <c r="U32" i="4"/>
  <c r="Q33" i="4"/>
  <c r="R33" i="4"/>
  <c r="S33" i="4"/>
  <c r="T33" i="4"/>
  <c r="U33" i="4"/>
  <c r="Q34" i="4"/>
  <c r="R34" i="4"/>
  <c r="S34" i="4"/>
  <c r="T34" i="4"/>
  <c r="U34" i="4"/>
  <c r="Q35" i="4"/>
  <c r="R35" i="4"/>
  <c r="S35" i="4"/>
  <c r="T35" i="4"/>
  <c r="U35" i="4"/>
  <c r="Q36" i="4"/>
  <c r="R36" i="4"/>
  <c r="S36" i="4"/>
  <c r="T36" i="4"/>
  <c r="U36" i="4"/>
  <c r="Q37" i="4"/>
  <c r="R37" i="4"/>
  <c r="S37" i="4"/>
  <c r="T37" i="4"/>
  <c r="U37" i="4"/>
  <c r="Q38" i="4"/>
  <c r="R38" i="4"/>
  <c r="S38" i="4"/>
  <c r="T38" i="4"/>
  <c r="U38" i="4"/>
  <c r="Q39" i="4"/>
  <c r="R39" i="4"/>
  <c r="S39" i="4"/>
  <c r="T39" i="4"/>
  <c r="U39" i="4"/>
  <c r="Q40" i="4"/>
  <c r="R40" i="4"/>
  <c r="S40" i="4"/>
  <c r="T40" i="4"/>
  <c r="U40" i="4"/>
  <c r="Q41" i="4"/>
  <c r="R41" i="4"/>
  <c r="S41" i="4"/>
  <c r="T41" i="4"/>
  <c r="U41" i="4"/>
  <c r="Q42" i="4"/>
  <c r="R42" i="4"/>
  <c r="S42" i="4"/>
  <c r="T42" i="4"/>
  <c r="U42" i="4"/>
  <c r="Q43" i="4"/>
  <c r="R43" i="4"/>
  <c r="S43" i="4"/>
  <c r="T43" i="4"/>
  <c r="U43" i="4"/>
  <c r="Q44" i="4"/>
  <c r="R44" i="4"/>
  <c r="S44" i="4"/>
  <c r="T44" i="4"/>
  <c r="U44" i="4"/>
  <c r="Q45" i="4"/>
  <c r="R45" i="4"/>
  <c r="S45" i="4"/>
  <c r="T45" i="4"/>
  <c r="U45" i="4"/>
  <c r="Q46" i="4"/>
  <c r="R46" i="4"/>
  <c r="S46" i="4"/>
  <c r="T46" i="4"/>
  <c r="U46" i="4"/>
  <c r="Q47" i="4"/>
  <c r="R47" i="4"/>
  <c r="S47" i="4"/>
  <c r="T47" i="4"/>
  <c r="U47" i="4"/>
  <c r="Q48" i="4"/>
  <c r="R48" i="4"/>
  <c r="S48" i="4"/>
  <c r="T48" i="4"/>
  <c r="U48" i="4"/>
  <c r="Q49" i="4"/>
  <c r="R49" i="4"/>
  <c r="S49" i="4"/>
  <c r="T49" i="4"/>
  <c r="U49" i="4"/>
  <c r="Q50" i="4"/>
  <c r="R50" i="4"/>
  <c r="S50" i="4"/>
  <c r="T50" i="4"/>
  <c r="U50" i="4"/>
  <c r="Q51" i="4"/>
  <c r="R51" i="4"/>
  <c r="S51" i="4"/>
  <c r="T51" i="4"/>
  <c r="U51" i="4"/>
  <c r="Q52" i="4"/>
  <c r="R52" i="4"/>
  <c r="S52" i="4"/>
  <c r="T52" i="4"/>
  <c r="U52" i="4"/>
  <c r="Q53" i="4"/>
  <c r="R53" i="4"/>
  <c r="S53" i="4"/>
  <c r="T53" i="4"/>
  <c r="U53" i="4"/>
  <c r="Q54" i="4"/>
  <c r="R54" i="4"/>
  <c r="S54" i="4"/>
  <c r="T54" i="4"/>
  <c r="U54" i="4"/>
  <c r="Q55" i="4"/>
  <c r="R55" i="4"/>
  <c r="S55" i="4"/>
  <c r="T55" i="4"/>
  <c r="U55" i="4"/>
  <c r="Q56" i="4"/>
  <c r="R56" i="4"/>
  <c r="S56" i="4"/>
  <c r="T56" i="4"/>
  <c r="U56" i="4"/>
  <c r="Q5" i="4"/>
  <c r="R5" i="4"/>
  <c r="S5" i="4"/>
  <c r="T5" i="4"/>
  <c r="U5" i="4"/>
  <c r="Q6" i="4"/>
  <c r="R6" i="4"/>
  <c r="S6" i="4"/>
  <c r="T6" i="4"/>
  <c r="U6" i="4"/>
  <c r="Q7" i="4"/>
  <c r="R7" i="4"/>
  <c r="S7" i="4"/>
  <c r="T7" i="4"/>
  <c r="U7" i="4"/>
  <c r="Q8" i="4"/>
  <c r="R8" i="4"/>
  <c r="S8" i="4"/>
  <c r="T8" i="4"/>
  <c r="U8" i="4"/>
  <c r="Q9" i="4"/>
  <c r="R9" i="4"/>
  <c r="S9" i="4"/>
  <c r="T9" i="4"/>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Q28" i="4"/>
  <c r="R28" i="4"/>
  <c r="S28" i="4"/>
  <c r="T28" i="4"/>
  <c r="U28" i="4"/>
  <c r="Q29" i="4"/>
  <c r="R29" i="4"/>
  <c r="S29" i="4"/>
  <c r="T29" i="4"/>
  <c r="U29" i="4"/>
  <c r="Q30" i="4"/>
  <c r="R30" i="4"/>
  <c r="S30" i="4"/>
  <c r="T30" i="4"/>
  <c r="U30" i="4"/>
  <c r="C74" i="4"/>
  <c r="D74" i="4"/>
  <c r="E74" i="4"/>
  <c r="AS74" i="4" s="1"/>
  <c r="F74" i="4"/>
  <c r="G74" i="4"/>
  <c r="AT74" i="4" s="1"/>
  <c r="H74" i="4"/>
  <c r="AQ74" i="4" s="1"/>
  <c r="I74" i="4"/>
  <c r="AM74" i="4" s="1"/>
  <c r="J74" i="4"/>
  <c r="AP74" i="4" s="1"/>
  <c r="K74" i="4"/>
  <c r="AU74" i="4" s="1"/>
  <c r="L74" i="4"/>
  <c r="AR74" i="4" s="1"/>
  <c r="M74" i="4"/>
  <c r="AN74" i="4" s="1"/>
  <c r="N74" i="4"/>
  <c r="O74" i="4"/>
  <c r="C75" i="4"/>
  <c r="D75" i="4"/>
  <c r="E75" i="4"/>
  <c r="AS75" i="4" s="1"/>
  <c r="F75" i="4"/>
  <c r="G75" i="4"/>
  <c r="AT75" i="4" s="1"/>
  <c r="H75" i="4"/>
  <c r="AQ75" i="4" s="1"/>
  <c r="I75" i="4"/>
  <c r="AM75" i="4" s="1"/>
  <c r="J75" i="4"/>
  <c r="AP75" i="4" s="1"/>
  <c r="K75" i="4"/>
  <c r="AU75" i="4" s="1"/>
  <c r="L75" i="4"/>
  <c r="AR75" i="4" s="1"/>
  <c r="M75" i="4"/>
  <c r="AN75" i="4" s="1"/>
  <c r="N75" i="4"/>
  <c r="O75" i="4"/>
  <c r="C76" i="4"/>
  <c r="D76" i="4"/>
  <c r="E76" i="4"/>
  <c r="AS76" i="4" s="1"/>
  <c r="F76" i="4"/>
  <c r="G76" i="4"/>
  <c r="AT76" i="4" s="1"/>
  <c r="H76" i="4"/>
  <c r="AQ76" i="4" s="1"/>
  <c r="I76" i="4"/>
  <c r="AM76" i="4" s="1"/>
  <c r="J76" i="4"/>
  <c r="AP76" i="4" s="1"/>
  <c r="K76" i="4"/>
  <c r="AU76" i="4" s="1"/>
  <c r="L76" i="4"/>
  <c r="AR76" i="4" s="1"/>
  <c r="M76" i="4"/>
  <c r="AN76" i="4" s="1"/>
  <c r="N76" i="4"/>
  <c r="O76" i="4"/>
  <c r="C77" i="4"/>
  <c r="D77" i="4"/>
  <c r="E77" i="4"/>
  <c r="AS77" i="4" s="1"/>
  <c r="F77" i="4"/>
  <c r="G77" i="4"/>
  <c r="AT77" i="4" s="1"/>
  <c r="H77" i="4"/>
  <c r="AQ77" i="4" s="1"/>
  <c r="I77" i="4"/>
  <c r="AM77" i="4" s="1"/>
  <c r="J77" i="4"/>
  <c r="AP77" i="4" s="1"/>
  <c r="K77" i="4"/>
  <c r="AU77" i="4" s="1"/>
  <c r="L77" i="4"/>
  <c r="AR77" i="4" s="1"/>
  <c r="M77" i="4"/>
  <c r="AN77" i="4" s="1"/>
  <c r="N77" i="4"/>
  <c r="O77" i="4"/>
  <c r="C78" i="4"/>
  <c r="D78" i="4"/>
  <c r="E78" i="4"/>
  <c r="AS78" i="4" s="1"/>
  <c r="F78" i="4"/>
  <c r="G78" i="4"/>
  <c r="AT78" i="4" s="1"/>
  <c r="H78" i="4"/>
  <c r="AQ78" i="4" s="1"/>
  <c r="I78" i="4"/>
  <c r="AM78" i="4" s="1"/>
  <c r="J78" i="4"/>
  <c r="AP78" i="4" s="1"/>
  <c r="K78" i="4"/>
  <c r="AU78" i="4" s="1"/>
  <c r="L78" i="4"/>
  <c r="AR78" i="4" s="1"/>
  <c r="M78" i="4"/>
  <c r="AN78" i="4" s="1"/>
  <c r="N78" i="4"/>
  <c r="O78" i="4"/>
  <c r="C79" i="4"/>
  <c r="D79" i="4"/>
  <c r="E79" i="4"/>
  <c r="AS79" i="4" s="1"/>
  <c r="F79" i="4"/>
  <c r="G79" i="4"/>
  <c r="AT79" i="4" s="1"/>
  <c r="H79" i="4"/>
  <c r="AQ79" i="4" s="1"/>
  <c r="I79" i="4"/>
  <c r="AM79" i="4" s="1"/>
  <c r="J79" i="4"/>
  <c r="AP79" i="4" s="1"/>
  <c r="K79" i="4"/>
  <c r="AU79" i="4" s="1"/>
  <c r="L79" i="4"/>
  <c r="AR79" i="4" s="1"/>
  <c r="M79" i="4"/>
  <c r="AN79" i="4" s="1"/>
  <c r="N79" i="4"/>
  <c r="O79" i="4"/>
  <c r="C80" i="4"/>
  <c r="D80" i="4"/>
  <c r="E80" i="4"/>
  <c r="AS80" i="4" s="1"/>
  <c r="F80" i="4"/>
  <c r="G80" i="4"/>
  <c r="AT80" i="4" s="1"/>
  <c r="H80" i="4"/>
  <c r="AQ80" i="4" s="1"/>
  <c r="I80" i="4"/>
  <c r="AM80" i="4" s="1"/>
  <c r="J80" i="4"/>
  <c r="AP80" i="4" s="1"/>
  <c r="K80" i="4"/>
  <c r="AU80" i="4" s="1"/>
  <c r="L80" i="4"/>
  <c r="AR80" i="4" s="1"/>
  <c r="AN80" i="4"/>
  <c r="N80" i="4"/>
  <c r="O80" i="4"/>
  <c r="C53" i="4"/>
  <c r="D53" i="4"/>
  <c r="E53" i="4"/>
  <c r="AS53" i="4" s="1"/>
  <c r="F53" i="4"/>
  <c r="G53" i="4"/>
  <c r="AT53" i="4" s="1"/>
  <c r="H53" i="4"/>
  <c r="AQ53" i="4" s="1"/>
  <c r="I53" i="4"/>
  <c r="AM53" i="4" s="1"/>
  <c r="J53" i="4"/>
  <c r="AP53" i="4" s="1"/>
  <c r="K53" i="4"/>
  <c r="AU53" i="4" s="1"/>
  <c r="L53" i="4"/>
  <c r="AR53" i="4" s="1"/>
  <c r="M53" i="4"/>
  <c r="AN53" i="4" s="1"/>
  <c r="N53" i="4"/>
  <c r="O53" i="4"/>
  <c r="C54" i="4"/>
  <c r="D54" i="4"/>
  <c r="E54" i="4"/>
  <c r="AS54" i="4" s="1"/>
  <c r="F54" i="4"/>
  <c r="G54" i="4"/>
  <c r="AT54" i="4" s="1"/>
  <c r="H54" i="4"/>
  <c r="AQ54" i="4" s="1"/>
  <c r="I54" i="4"/>
  <c r="AM54" i="4" s="1"/>
  <c r="J54" i="4"/>
  <c r="AP54" i="4" s="1"/>
  <c r="K54" i="4"/>
  <c r="AU54" i="4" s="1"/>
  <c r="L54" i="4"/>
  <c r="AR54" i="4" s="1"/>
  <c r="M54" i="4"/>
  <c r="AN54" i="4" s="1"/>
  <c r="N54" i="4"/>
  <c r="O54" i="4"/>
  <c r="C55" i="4"/>
  <c r="D55" i="4"/>
  <c r="E55" i="4"/>
  <c r="AS55" i="4" s="1"/>
  <c r="F55" i="4"/>
  <c r="G55" i="4"/>
  <c r="AT55" i="4" s="1"/>
  <c r="H55" i="4"/>
  <c r="AQ55" i="4" s="1"/>
  <c r="I55" i="4"/>
  <c r="AM55" i="4" s="1"/>
  <c r="J55" i="4"/>
  <c r="AP55" i="4" s="1"/>
  <c r="K55" i="4"/>
  <c r="AU55" i="4" s="1"/>
  <c r="L55" i="4"/>
  <c r="AR55" i="4" s="1"/>
  <c r="M55" i="4"/>
  <c r="AN55" i="4" s="1"/>
  <c r="N55" i="4"/>
  <c r="O55" i="4"/>
  <c r="C56" i="4"/>
  <c r="D56" i="4"/>
  <c r="E56" i="4"/>
  <c r="AS56" i="4" s="1"/>
  <c r="F56" i="4"/>
  <c r="G56" i="4"/>
  <c r="AT56" i="4" s="1"/>
  <c r="H56" i="4"/>
  <c r="AQ56" i="4" s="1"/>
  <c r="I56" i="4"/>
  <c r="AM56" i="4" s="1"/>
  <c r="J56" i="4"/>
  <c r="AP56" i="4" s="1"/>
  <c r="K56" i="4"/>
  <c r="AU56" i="4" s="1"/>
  <c r="L56" i="4"/>
  <c r="AR56" i="4" s="1"/>
  <c r="M56" i="4"/>
  <c r="AN56" i="4" s="1"/>
  <c r="N56" i="4"/>
  <c r="O56" i="4"/>
  <c r="C57" i="4"/>
  <c r="D57" i="4"/>
  <c r="E57" i="4"/>
  <c r="AS57" i="4" s="1"/>
  <c r="F57" i="4"/>
  <c r="G57" i="4"/>
  <c r="AT57" i="4" s="1"/>
  <c r="H57" i="4"/>
  <c r="AQ57" i="4" s="1"/>
  <c r="I57" i="4"/>
  <c r="AM57" i="4" s="1"/>
  <c r="J57" i="4"/>
  <c r="AP57" i="4" s="1"/>
  <c r="K57" i="4"/>
  <c r="AU57" i="4" s="1"/>
  <c r="L57" i="4"/>
  <c r="AR57" i="4" s="1"/>
  <c r="M57" i="4"/>
  <c r="AN57" i="4" s="1"/>
  <c r="N57" i="4"/>
  <c r="O57" i="4"/>
  <c r="C58" i="4"/>
  <c r="D58" i="4"/>
  <c r="E58" i="4"/>
  <c r="AS58" i="4" s="1"/>
  <c r="F58" i="4"/>
  <c r="G58" i="4"/>
  <c r="AT58" i="4" s="1"/>
  <c r="H58" i="4"/>
  <c r="AQ58" i="4" s="1"/>
  <c r="I58" i="4"/>
  <c r="AM58" i="4" s="1"/>
  <c r="J58" i="4"/>
  <c r="AP58" i="4" s="1"/>
  <c r="K58" i="4"/>
  <c r="AU58" i="4" s="1"/>
  <c r="L58" i="4"/>
  <c r="AR58" i="4" s="1"/>
  <c r="M58" i="4"/>
  <c r="AN58" i="4" s="1"/>
  <c r="N58" i="4"/>
  <c r="O58" i="4"/>
  <c r="C59" i="4"/>
  <c r="D59" i="4"/>
  <c r="E59" i="4"/>
  <c r="AS59" i="4" s="1"/>
  <c r="F59" i="4"/>
  <c r="G59" i="4"/>
  <c r="AT59" i="4" s="1"/>
  <c r="H59" i="4"/>
  <c r="AQ59" i="4" s="1"/>
  <c r="I59" i="4"/>
  <c r="AM59" i="4" s="1"/>
  <c r="J59" i="4"/>
  <c r="AP59" i="4" s="1"/>
  <c r="K59" i="4"/>
  <c r="AU59" i="4" s="1"/>
  <c r="L59" i="4"/>
  <c r="AR59" i="4" s="1"/>
  <c r="M59" i="4"/>
  <c r="AN59" i="4" s="1"/>
  <c r="N59" i="4"/>
  <c r="O59" i="4"/>
  <c r="C60" i="4"/>
  <c r="D60" i="4"/>
  <c r="E60" i="4"/>
  <c r="AS60" i="4" s="1"/>
  <c r="F60" i="4"/>
  <c r="G60" i="4"/>
  <c r="AT60" i="4" s="1"/>
  <c r="H60" i="4"/>
  <c r="AQ60" i="4" s="1"/>
  <c r="I60" i="4"/>
  <c r="AM60" i="4" s="1"/>
  <c r="J60" i="4"/>
  <c r="AP60" i="4" s="1"/>
  <c r="K60" i="4"/>
  <c r="AU60" i="4" s="1"/>
  <c r="L60" i="4"/>
  <c r="AR60" i="4" s="1"/>
  <c r="M60" i="4"/>
  <c r="AN60" i="4" s="1"/>
  <c r="N60" i="4"/>
  <c r="O60" i="4"/>
  <c r="C61" i="4"/>
  <c r="D61" i="4"/>
  <c r="E61" i="4"/>
  <c r="AS61" i="4" s="1"/>
  <c r="F61" i="4"/>
  <c r="G61" i="4"/>
  <c r="AT61" i="4" s="1"/>
  <c r="H61" i="4"/>
  <c r="AQ61" i="4" s="1"/>
  <c r="I61" i="4"/>
  <c r="AM61" i="4" s="1"/>
  <c r="J61" i="4"/>
  <c r="AP61" i="4" s="1"/>
  <c r="K61" i="4"/>
  <c r="AU61" i="4" s="1"/>
  <c r="L61" i="4"/>
  <c r="AR61" i="4" s="1"/>
  <c r="M61" i="4"/>
  <c r="AN61" i="4" s="1"/>
  <c r="N61" i="4"/>
  <c r="O61" i="4"/>
  <c r="C62" i="4"/>
  <c r="D62" i="4"/>
  <c r="E62" i="4"/>
  <c r="AS62" i="4" s="1"/>
  <c r="F62" i="4"/>
  <c r="G62" i="4"/>
  <c r="AT62" i="4" s="1"/>
  <c r="H62" i="4"/>
  <c r="AQ62" i="4" s="1"/>
  <c r="I62" i="4"/>
  <c r="AM62" i="4" s="1"/>
  <c r="J62" i="4"/>
  <c r="AP62" i="4" s="1"/>
  <c r="K62" i="4"/>
  <c r="AU62" i="4" s="1"/>
  <c r="L62" i="4"/>
  <c r="AR62" i="4" s="1"/>
  <c r="M62" i="4"/>
  <c r="AN62" i="4" s="1"/>
  <c r="N62" i="4"/>
  <c r="O62" i="4"/>
  <c r="C63" i="4"/>
  <c r="D63" i="4"/>
  <c r="E63" i="4"/>
  <c r="AS63" i="4" s="1"/>
  <c r="F63" i="4"/>
  <c r="G63" i="4"/>
  <c r="AT63" i="4" s="1"/>
  <c r="H63" i="4"/>
  <c r="AQ63" i="4" s="1"/>
  <c r="I63" i="4"/>
  <c r="AM63" i="4" s="1"/>
  <c r="J63" i="4"/>
  <c r="AP63" i="4" s="1"/>
  <c r="K63" i="4"/>
  <c r="AU63" i="4" s="1"/>
  <c r="L63" i="4"/>
  <c r="AR63" i="4" s="1"/>
  <c r="M63" i="4"/>
  <c r="AN63" i="4" s="1"/>
  <c r="N63" i="4"/>
  <c r="O63" i="4"/>
  <c r="C64" i="4"/>
  <c r="D64" i="4"/>
  <c r="E64" i="4"/>
  <c r="AS64" i="4" s="1"/>
  <c r="F64" i="4"/>
  <c r="G64" i="4"/>
  <c r="AT64" i="4" s="1"/>
  <c r="H64" i="4"/>
  <c r="AQ64" i="4" s="1"/>
  <c r="I64" i="4"/>
  <c r="AM64" i="4" s="1"/>
  <c r="J64" i="4"/>
  <c r="AP64" i="4" s="1"/>
  <c r="K64" i="4"/>
  <c r="AU64" i="4" s="1"/>
  <c r="L64" i="4"/>
  <c r="AR64" i="4" s="1"/>
  <c r="M64" i="4"/>
  <c r="AN64" i="4" s="1"/>
  <c r="N64" i="4"/>
  <c r="O64" i="4"/>
  <c r="C65" i="4"/>
  <c r="D65" i="4"/>
  <c r="E65" i="4"/>
  <c r="AS65" i="4" s="1"/>
  <c r="F65" i="4"/>
  <c r="G65" i="4"/>
  <c r="AT65" i="4" s="1"/>
  <c r="H65" i="4"/>
  <c r="AQ65" i="4" s="1"/>
  <c r="I65" i="4"/>
  <c r="AM65" i="4" s="1"/>
  <c r="J65" i="4"/>
  <c r="AP65" i="4" s="1"/>
  <c r="K65" i="4"/>
  <c r="AU65" i="4" s="1"/>
  <c r="L65" i="4"/>
  <c r="AR65" i="4" s="1"/>
  <c r="AN65" i="4"/>
  <c r="N65" i="4"/>
  <c r="O65" i="4"/>
  <c r="C66" i="4"/>
  <c r="D66" i="4"/>
  <c r="E66" i="4"/>
  <c r="AS66" i="4" s="1"/>
  <c r="F66" i="4"/>
  <c r="G66" i="4"/>
  <c r="AT66" i="4" s="1"/>
  <c r="H66" i="4"/>
  <c r="AQ66" i="4" s="1"/>
  <c r="I66" i="4"/>
  <c r="AM66" i="4" s="1"/>
  <c r="J66" i="4"/>
  <c r="AP66" i="4" s="1"/>
  <c r="K66" i="4"/>
  <c r="AU66" i="4" s="1"/>
  <c r="L66" i="4"/>
  <c r="AR66" i="4" s="1"/>
  <c r="M66" i="4"/>
  <c r="AN66" i="4" s="1"/>
  <c r="N66" i="4"/>
  <c r="O66" i="4"/>
  <c r="C67" i="4"/>
  <c r="D67" i="4"/>
  <c r="E67" i="4"/>
  <c r="AS67" i="4" s="1"/>
  <c r="F67" i="4"/>
  <c r="G67" i="4"/>
  <c r="AT67" i="4" s="1"/>
  <c r="H67" i="4"/>
  <c r="AQ67" i="4" s="1"/>
  <c r="I67" i="4"/>
  <c r="AM67" i="4" s="1"/>
  <c r="J67" i="4"/>
  <c r="AP67" i="4" s="1"/>
  <c r="K67" i="4"/>
  <c r="AU67" i="4" s="1"/>
  <c r="L67" i="4"/>
  <c r="AR67" i="4" s="1"/>
  <c r="AN67" i="4"/>
  <c r="N67" i="4"/>
  <c r="O67" i="4"/>
  <c r="C68" i="4"/>
  <c r="D68" i="4"/>
  <c r="E68" i="4"/>
  <c r="AS68" i="4" s="1"/>
  <c r="F68" i="4"/>
  <c r="G68" i="4"/>
  <c r="AT68" i="4" s="1"/>
  <c r="H68" i="4"/>
  <c r="AQ68" i="4" s="1"/>
  <c r="I68" i="4"/>
  <c r="AM68" i="4" s="1"/>
  <c r="J68" i="4"/>
  <c r="AP68" i="4" s="1"/>
  <c r="K68" i="4"/>
  <c r="AU68" i="4" s="1"/>
  <c r="L68" i="4"/>
  <c r="AR68" i="4" s="1"/>
  <c r="M68" i="4"/>
  <c r="AN68" i="4" s="1"/>
  <c r="N68" i="4"/>
  <c r="O68" i="4"/>
  <c r="C69" i="4"/>
  <c r="D69" i="4"/>
  <c r="E69" i="4"/>
  <c r="AS69" i="4" s="1"/>
  <c r="F69" i="4"/>
  <c r="G69" i="4"/>
  <c r="AT69" i="4" s="1"/>
  <c r="H69" i="4"/>
  <c r="AQ69" i="4" s="1"/>
  <c r="I69" i="4"/>
  <c r="AM69" i="4" s="1"/>
  <c r="J69" i="4"/>
  <c r="AP69" i="4" s="1"/>
  <c r="K69" i="4"/>
  <c r="AU69" i="4" s="1"/>
  <c r="L69" i="4"/>
  <c r="AR69" i="4" s="1"/>
  <c r="M69" i="4"/>
  <c r="AN69" i="4" s="1"/>
  <c r="N69" i="4"/>
  <c r="O69" i="4"/>
  <c r="C70" i="4"/>
  <c r="D70" i="4"/>
  <c r="E70" i="4"/>
  <c r="AS70" i="4" s="1"/>
  <c r="F70" i="4"/>
  <c r="G70" i="4"/>
  <c r="AT70" i="4" s="1"/>
  <c r="H70" i="4"/>
  <c r="AQ70" i="4" s="1"/>
  <c r="I70" i="4"/>
  <c r="AM70" i="4" s="1"/>
  <c r="J70" i="4"/>
  <c r="AP70" i="4" s="1"/>
  <c r="K70" i="4"/>
  <c r="AU70" i="4" s="1"/>
  <c r="L70" i="4"/>
  <c r="AR70" i="4" s="1"/>
  <c r="M70" i="4"/>
  <c r="AN70" i="4" s="1"/>
  <c r="N70" i="4"/>
  <c r="O70" i="4"/>
  <c r="C71" i="4"/>
  <c r="D71" i="4"/>
  <c r="E71" i="4"/>
  <c r="AS71" i="4" s="1"/>
  <c r="F71" i="4"/>
  <c r="G71" i="4"/>
  <c r="AT71" i="4" s="1"/>
  <c r="H71" i="4"/>
  <c r="AQ71" i="4" s="1"/>
  <c r="I71" i="4"/>
  <c r="AM71" i="4" s="1"/>
  <c r="J71" i="4"/>
  <c r="AP71" i="4" s="1"/>
  <c r="K71" i="4"/>
  <c r="AU71" i="4" s="1"/>
  <c r="L71" i="4"/>
  <c r="AR71" i="4" s="1"/>
  <c r="M71" i="4"/>
  <c r="AN71" i="4" s="1"/>
  <c r="N71" i="4"/>
  <c r="O71" i="4"/>
  <c r="C72" i="4"/>
  <c r="D72" i="4"/>
  <c r="E72" i="4"/>
  <c r="AS72" i="4" s="1"/>
  <c r="F72" i="4"/>
  <c r="G72" i="4"/>
  <c r="AT72" i="4" s="1"/>
  <c r="H72" i="4"/>
  <c r="AQ72" i="4" s="1"/>
  <c r="I72" i="4"/>
  <c r="AM72" i="4" s="1"/>
  <c r="J72" i="4"/>
  <c r="AP72" i="4" s="1"/>
  <c r="K72" i="4"/>
  <c r="AU72" i="4" s="1"/>
  <c r="L72" i="4"/>
  <c r="AR72" i="4" s="1"/>
  <c r="M72" i="4"/>
  <c r="AN72" i="4" s="1"/>
  <c r="N72" i="4"/>
  <c r="O72" i="4"/>
  <c r="C73" i="4"/>
  <c r="D73" i="4"/>
  <c r="E73" i="4"/>
  <c r="AS73" i="4" s="1"/>
  <c r="F73" i="4"/>
  <c r="G73" i="4"/>
  <c r="AT73" i="4" s="1"/>
  <c r="H73" i="4"/>
  <c r="AQ73" i="4" s="1"/>
  <c r="I73" i="4"/>
  <c r="AM73" i="4" s="1"/>
  <c r="J73" i="4"/>
  <c r="AP73" i="4" s="1"/>
  <c r="K73" i="4"/>
  <c r="AU73" i="4" s="1"/>
  <c r="L73" i="4"/>
  <c r="AR73" i="4" s="1"/>
  <c r="M73" i="4"/>
  <c r="AN73" i="4" s="1"/>
  <c r="N73" i="4"/>
  <c r="O73" i="4"/>
  <c r="C30" i="4"/>
  <c r="D30" i="4"/>
  <c r="E30" i="4"/>
  <c r="AS30" i="4" s="1"/>
  <c r="F30" i="4"/>
  <c r="G30" i="4"/>
  <c r="AT30" i="4" s="1"/>
  <c r="H30" i="4"/>
  <c r="AQ30" i="4" s="1"/>
  <c r="I30" i="4"/>
  <c r="AM30" i="4" s="1"/>
  <c r="J30" i="4"/>
  <c r="AP30" i="4" s="1"/>
  <c r="K30" i="4"/>
  <c r="AU30" i="4" s="1"/>
  <c r="L30" i="4"/>
  <c r="AR30" i="4" s="1"/>
  <c r="AN30" i="4"/>
  <c r="N30" i="4"/>
  <c r="O30" i="4"/>
  <c r="C31" i="4"/>
  <c r="D31" i="4"/>
  <c r="E31" i="4"/>
  <c r="AS31" i="4" s="1"/>
  <c r="F31" i="4"/>
  <c r="G31" i="4"/>
  <c r="AT31" i="4" s="1"/>
  <c r="H31" i="4"/>
  <c r="AQ31" i="4" s="1"/>
  <c r="I31" i="4"/>
  <c r="AM31" i="4" s="1"/>
  <c r="J31" i="4"/>
  <c r="AP31" i="4" s="1"/>
  <c r="K31" i="4"/>
  <c r="AU31" i="4" s="1"/>
  <c r="L31" i="4"/>
  <c r="AR31" i="4" s="1"/>
  <c r="AN31" i="4"/>
  <c r="N31" i="4"/>
  <c r="O31" i="4"/>
  <c r="C32" i="4"/>
  <c r="D32" i="4"/>
  <c r="E32" i="4"/>
  <c r="AS32" i="4" s="1"/>
  <c r="F32" i="4"/>
  <c r="G32" i="4"/>
  <c r="AT32" i="4" s="1"/>
  <c r="H32" i="4"/>
  <c r="AQ32" i="4" s="1"/>
  <c r="I32" i="4"/>
  <c r="AM32" i="4" s="1"/>
  <c r="J32" i="4"/>
  <c r="AP32" i="4" s="1"/>
  <c r="K32" i="4"/>
  <c r="AU32" i="4" s="1"/>
  <c r="L32" i="4"/>
  <c r="AR32" i="4" s="1"/>
  <c r="M32" i="4"/>
  <c r="AN32" i="4" s="1"/>
  <c r="N32" i="4"/>
  <c r="O32" i="4"/>
  <c r="C33" i="4"/>
  <c r="D33" i="4"/>
  <c r="E33" i="4"/>
  <c r="AS33" i="4" s="1"/>
  <c r="F33" i="4"/>
  <c r="G33" i="4"/>
  <c r="AT33" i="4" s="1"/>
  <c r="H33" i="4"/>
  <c r="AQ33" i="4" s="1"/>
  <c r="I33" i="4"/>
  <c r="AM33" i="4" s="1"/>
  <c r="J33" i="4"/>
  <c r="AP33" i="4" s="1"/>
  <c r="K33" i="4"/>
  <c r="AU33" i="4" s="1"/>
  <c r="L33" i="4"/>
  <c r="AR33" i="4" s="1"/>
  <c r="M33" i="4"/>
  <c r="AN33" i="4" s="1"/>
  <c r="N33" i="4"/>
  <c r="O33" i="4"/>
  <c r="C34" i="4"/>
  <c r="D34" i="4"/>
  <c r="E34" i="4"/>
  <c r="AS34" i="4" s="1"/>
  <c r="F34" i="4"/>
  <c r="G34" i="4"/>
  <c r="AT34" i="4" s="1"/>
  <c r="H34" i="4"/>
  <c r="AQ34" i="4" s="1"/>
  <c r="I34" i="4"/>
  <c r="AM34" i="4" s="1"/>
  <c r="J34" i="4"/>
  <c r="AP34" i="4" s="1"/>
  <c r="K34" i="4"/>
  <c r="AU34" i="4" s="1"/>
  <c r="L34" i="4"/>
  <c r="AR34" i="4" s="1"/>
  <c r="M34" i="4"/>
  <c r="AN34" i="4" s="1"/>
  <c r="N34" i="4"/>
  <c r="O34" i="4"/>
  <c r="C35" i="4"/>
  <c r="D35" i="4"/>
  <c r="E35" i="4"/>
  <c r="AS35" i="4" s="1"/>
  <c r="F35" i="4"/>
  <c r="G35" i="4"/>
  <c r="AT35" i="4" s="1"/>
  <c r="H35" i="4"/>
  <c r="AQ35" i="4" s="1"/>
  <c r="I35" i="4"/>
  <c r="AM35" i="4" s="1"/>
  <c r="J35" i="4"/>
  <c r="AP35" i="4" s="1"/>
  <c r="K35" i="4"/>
  <c r="AU35" i="4" s="1"/>
  <c r="L35" i="4"/>
  <c r="AR35" i="4" s="1"/>
  <c r="M35" i="4"/>
  <c r="AN35" i="4" s="1"/>
  <c r="N35" i="4"/>
  <c r="O35" i="4"/>
  <c r="C36" i="4"/>
  <c r="D36" i="4"/>
  <c r="E36" i="4"/>
  <c r="AS36" i="4" s="1"/>
  <c r="F36" i="4"/>
  <c r="G36" i="4"/>
  <c r="AT36" i="4" s="1"/>
  <c r="H36" i="4"/>
  <c r="AQ36" i="4" s="1"/>
  <c r="I36" i="4"/>
  <c r="AM36" i="4" s="1"/>
  <c r="J36" i="4"/>
  <c r="AP36" i="4" s="1"/>
  <c r="K36" i="4"/>
  <c r="AU36" i="4" s="1"/>
  <c r="L36" i="4"/>
  <c r="AR36" i="4" s="1"/>
  <c r="AN36" i="4"/>
  <c r="N36" i="4"/>
  <c r="O36" i="4"/>
  <c r="C37" i="4"/>
  <c r="D37" i="4"/>
  <c r="E37" i="4"/>
  <c r="AS37" i="4" s="1"/>
  <c r="F37" i="4"/>
  <c r="G37" i="4"/>
  <c r="AT37" i="4" s="1"/>
  <c r="H37" i="4"/>
  <c r="AQ37" i="4" s="1"/>
  <c r="I37" i="4"/>
  <c r="AM37" i="4" s="1"/>
  <c r="J37" i="4"/>
  <c r="AP37" i="4" s="1"/>
  <c r="K37" i="4"/>
  <c r="AU37" i="4" s="1"/>
  <c r="L37" i="4"/>
  <c r="AR37" i="4" s="1"/>
  <c r="M37" i="4"/>
  <c r="AN37" i="4" s="1"/>
  <c r="N37" i="4"/>
  <c r="O37" i="4"/>
  <c r="C38" i="4"/>
  <c r="D38" i="4"/>
  <c r="E38" i="4"/>
  <c r="AS38" i="4" s="1"/>
  <c r="F38" i="4"/>
  <c r="G38" i="4"/>
  <c r="AT38" i="4" s="1"/>
  <c r="H38" i="4"/>
  <c r="AQ38" i="4" s="1"/>
  <c r="I38" i="4"/>
  <c r="AM38" i="4" s="1"/>
  <c r="J38" i="4"/>
  <c r="AP38" i="4" s="1"/>
  <c r="K38" i="4"/>
  <c r="AU38" i="4" s="1"/>
  <c r="L38" i="4"/>
  <c r="AR38" i="4" s="1"/>
  <c r="M38" i="4"/>
  <c r="AN38" i="4" s="1"/>
  <c r="N38" i="4"/>
  <c r="O38" i="4"/>
  <c r="C39" i="4"/>
  <c r="D39" i="4"/>
  <c r="E39" i="4"/>
  <c r="AS39" i="4" s="1"/>
  <c r="F39" i="4"/>
  <c r="G39" i="4"/>
  <c r="AT39" i="4" s="1"/>
  <c r="H39" i="4"/>
  <c r="AQ39" i="4" s="1"/>
  <c r="I39" i="4"/>
  <c r="AM39" i="4" s="1"/>
  <c r="J39" i="4"/>
  <c r="AP39" i="4" s="1"/>
  <c r="K39" i="4"/>
  <c r="AU39" i="4" s="1"/>
  <c r="L39" i="4"/>
  <c r="AR39" i="4" s="1"/>
  <c r="M39" i="4"/>
  <c r="AN39" i="4" s="1"/>
  <c r="N39" i="4"/>
  <c r="O39" i="4"/>
  <c r="C40" i="4"/>
  <c r="D40" i="4"/>
  <c r="E40" i="4"/>
  <c r="AS40" i="4" s="1"/>
  <c r="F40" i="4"/>
  <c r="G40" i="4"/>
  <c r="AT40" i="4" s="1"/>
  <c r="H40" i="4"/>
  <c r="AQ40" i="4" s="1"/>
  <c r="I40" i="4"/>
  <c r="AM40" i="4" s="1"/>
  <c r="J40" i="4"/>
  <c r="AP40" i="4" s="1"/>
  <c r="K40" i="4"/>
  <c r="AU40" i="4" s="1"/>
  <c r="L40" i="4"/>
  <c r="AR40" i="4" s="1"/>
  <c r="M40" i="4"/>
  <c r="AN40" i="4" s="1"/>
  <c r="N40" i="4"/>
  <c r="O40" i="4"/>
  <c r="C41" i="4"/>
  <c r="D41" i="4"/>
  <c r="E41" i="4"/>
  <c r="AS41" i="4" s="1"/>
  <c r="F41" i="4"/>
  <c r="G41" i="4"/>
  <c r="AT41" i="4" s="1"/>
  <c r="H41" i="4"/>
  <c r="AQ41" i="4" s="1"/>
  <c r="I41" i="4"/>
  <c r="AM41" i="4" s="1"/>
  <c r="J41" i="4"/>
  <c r="AP41" i="4" s="1"/>
  <c r="K41" i="4"/>
  <c r="AU41" i="4" s="1"/>
  <c r="L41" i="4"/>
  <c r="AR41" i="4" s="1"/>
  <c r="AN41" i="4"/>
  <c r="N41" i="4"/>
  <c r="O41" i="4"/>
  <c r="C42" i="4"/>
  <c r="D42" i="4"/>
  <c r="E42" i="4"/>
  <c r="AS42" i="4" s="1"/>
  <c r="F42" i="4"/>
  <c r="G42" i="4"/>
  <c r="AT42" i="4" s="1"/>
  <c r="H42" i="4"/>
  <c r="AQ42" i="4" s="1"/>
  <c r="I42" i="4"/>
  <c r="AM42" i="4" s="1"/>
  <c r="J42" i="4"/>
  <c r="AP42" i="4" s="1"/>
  <c r="K42" i="4"/>
  <c r="AU42" i="4" s="1"/>
  <c r="L42" i="4"/>
  <c r="AR42" i="4" s="1"/>
  <c r="AN42" i="4"/>
  <c r="N42" i="4"/>
  <c r="O42" i="4"/>
  <c r="C43" i="4"/>
  <c r="D43" i="4"/>
  <c r="E43" i="4"/>
  <c r="AS43" i="4" s="1"/>
  <c r="F43" i="4"/>
  <c r="G43" i="4"/>
  <c r="AT43" i="4" s="1"/>
  <c r="H43" i="4"/>
  <c r="AQ43" i="4" s="1"/>
  <c r="I43" i="4"/>
  <c r="AM43" i="4" s="1"/>
  <c r="J43" i="4"/>
  <c r="AP43" i="4" s="1"/>
  <c r="K43" i="4"/>
  <c r="AU43" i="4" s="1"/>
  <c r="L43" i="4"/>
  <c r="AR43" i="4" s="1"/>
  <c r="M43" i="4"/>
  <c r="AN43" i="4" s="1"/>
  <c r="N43" i="4"/>
  <c r="O43" i="4"/>
  <c r="C44" i="4"/>
  <c r="D44" i="4"/>
  <c r="E44" i="4"/>
  <c r="AS44" i="4" s="1"/>
  <c r="F44" i="4"/>
  <c r="G44" i="4"/>
  <c r="AT44" i="4" s="1"/>
  <c r="H44" i="4"/>
  <c r="AQ44" i="4" s="1"/>
  <c r="I44" i="4"/>
  <c r="AM44" i="4" s="1"/>
  <c r="J44" i="4"/>
  <c r="AP44" i="4" s="1"/>
  <c r="K44" i="4"/>
  <c r="AU44" i="4" s="1"/>
  <c r="L44" i="4"/>
  <c r="AR44" i="4" s="1"/>
  <c r="M44" i="4"/>
  <c r="AN44" i="4" s="1"/>
  <c r="N44" i="4"/>
  <c r="O44" i="4"/>
  <c r="C45" i="4"/>
  <c r="D45" i="4"/>
  <c r="E45" i="4"/>
  <c r="AS45" i="4" s="1"/>
  <c r="F45" i="4"/>
  <c r="G45" i="4"/>
  <c r="AT45" i="4" s="1"/>
  <c r="H45" i="4"/>
  <c r="AQ45" i="4" s="1"/>
  <c r="I45" i="4"/>
  <c r="AM45" i="4" s="1"/>
  <c r="J45" i="4"/>
  <c r="AP45" i="4" s="1"/>
  <c r="K45" i="4"/>
  <c r="AU45" i="4" s="1"/>
  <c r="L45" i="4"/>
  <c r="AR45" i="4" s="1"/>
  <c r="M45" i="4"/>
  <c r="AN45" i="4" s="1"/>
  <c r="N45" i="4"/>
  <c r="O45" i="4"/>
  <c r="C46" i="4"/>
  <c r="D46" i="4"/>
  <c r="E46" i="4"/>
  <c r="AS46" i="4" s="1"/>
  <c r="F46" i="4"/>
  <c r="G46" i="4"/>
  <c r="AT46" i="4" s="1"/>
  <c r="H46" i="4"/>
  <c r="AQ46" i="4" s="1"/>
  <c r="I46" i="4"/>
  <c r="AM46" i="4" s="1"/>
  <c r="J46" i="4"/>
  <c r="AP46" i="4" s="1"/>
  <c r="K46" i="4"/>
  <c r="AU46" i="4" s="1"/>
  <c r="L46" i="4"/>
  <c r="AR46" i="4" s="1"/>
  <c r="M46" i="4"/>
  <c r="AN46" i="4" s="1"/>
  <c r="N46" i="4"/>
  <c r="O46" i="4"/>
  <c r="C47" i="4"/>
  <c r="D47" i="4"/>
  <c r="E47" i="4"/>
  <c r="AS47" i="4" s="1"/>
  <c r="F47" i="4"/>
  <c r="G47" i="4"/>
  <c r="AT47" i="4" s="1"/>
  <c r="H47" i="4"/>
  <c r="AQ47" i="4" s="1"/>
  <c r="I47" i="4"/>
  <c r="AM47" i="4" s="1"/>
  <c r="J47" i="4"/>
  <c r="AP47" i="4" s="1"/>
  <c r="K47" i="4"/>
  <c r="AU47" i="4" s="1"/>
  <c r="L47" i="4"/>
  <c r="AR47" i="4" s="1"/>
  <c r="M47" i="4"/>
  <c r="AN47" i="4" s="1"/>
  <c r="N47" i="4"/>
  <c r="O47" i="4"/>
  <c r="C48" i="4"/>
  <c r="D48" i="4"/>
  <c r="E48" i="4"/>
  <c r="AS48" i="4" s="1"/>
  <c r="F48" i="4"/>
  <c r="G48" i="4"/>
  <c r="AT48" i="4" s="1"/>
  <c r="H48" i="4"/>
  <c r="AQ48" i="4" s="1"/>
  <c r="I48" i="4"/>
  <c r="AM48" i="4" s="1"/>
  <c r="J48" i="4"/>
  <c r="AP48" i="4" s="1"/>
  <c r="K48" i="4"/>
  <c r="AU48" i="4" s="1"/>
  <c r="L48" i="4"/>
  <c r="AR48" i="4" s="1"/>
  <c r="M48" i="4"/>
  <c r="AN48" i="4" s="1"/>
  <c r="N48" i="4"/>
  <c r="O48" i="4"/>
  <c r="C49" i="4"/>
  <c r="D49" i="4"/>
  <c r="E49" i="4"/>
  <c r="AS49" i="4" s="1"/>
  <c r="F49" i="4"/>
  <c r="G49" i="4"/>
  <c r="AT49" i="4" s="1"/>
  <c r="H49" i="4"/>
  <c r="AQ49" i="4" s="1"/>
  <c r="I49" i="4"/>
  <c r="AM49" i="4" s="1"/>
  <c r="J49" i="4"/>
  <c r="AP49" i="4" s="1"/>
  <c r="K49" i="4"/>
  <c r="AU49" i="4" s="1"/>
  <c r="L49" i="4"/>
  <c r="AR49" i="4" s="1"/>
  <c r="M49" i="4"/>
  <c r="AN49" i="4" s="1"/>
  <c r="N49" i="4"/>
  <c r="O49" i="4"/>
  <c r="C50" i="4"/>
  <c r="D50" i="4"/>
  <c r="E50" i="4"/>
  <c r="AS50" i="4" s="1"/>
  <c r="F50" i="4"/>
  <c r="G50" i="4"/>
  <c r="AT50" i="4" s="1"/>
  <c r="H50" i="4"/>
  <c r="AQ50" i="4" s="1"/>
  <c r="I50" i="4"/>
  <c r="AM50" i="4" s="1"/>
  <c r="J50" i="4"/>
  <c r="AP50" i="4" s="1"/>
  <c r="K50" i="4"/>
  <c r="AU50" i="4" s="1"/>
  <c r="L50" i="4"/>
  <c r="AR50" i="4" s="1"/>
  <c r="M50" i="4"/>
  <c r="AN50" i="4" s="1"/>
  <c r="N50" i="4"/>
  <c r="O50" i="4"/>
  <c r="C51" i="4"/>
  <c r="D51" i="4"/>
  <c r="E51" i="4"/>
  <c r="AS51" i="4" s="1"/>
  <c r="F51" i="4"/>
  <c r="G51" i="4"/>
  <c r="AT51" i="4" s="1"/>
  <c r="H51" i="4"/>
  <c r="AQ51" i="4" s="1"/>
  <c r="I51" i="4"/>
  <c r="AM51" i="4" s="1"/>
  <c r="J51" i="4"/>
  <c r="AP51" i="4" s="1"/>
  <c r="K51" i="4"/>
  <c r="AU51" i="4" s="1"/>
  <c r="L51" i="4"/>
  <c r="AR51" i="4" s="1"/>
  <c r="M51" i="4"/>
  <c r="AN51" i="4" s="1"/>
  <c r="N51" i="4"/>
  <c r="O51" i="4"/>
  <c r="C52" i="4"/>
  <c r="D52" i="4"/>
  <c r="E52" i="4"/>
  <c r="AS52" i="4" s="1"/>
  <c r="F52" i="4"/>
  <c r="G52" i="4"/>
  <c r="AT52" i="4" s="1"/>
  <c r="H52" i="4"/>
  <c r="AQ52" i="4" s="1"/>
  <c r="I52" i="4"/>
  <c r="AM52" i="4" s="1"/>
  <c r="J52" i="4"/>
  <c r="AP52" i="4" s="1"/>
  <c r="K52" i="4"/>
  <c r="AU52" i="4" s="1"/>
  <c r="L52" i="4"/>
  <c r="AR52" i="4" s="1"/>
  <c r="M52" i="4"/>
  <c r="AN52" i="4" s="1"/>
  <c r="N52" i="4"/>
  <c r="O52" i="4"/>
  <c r="C5" i="4"/>
  <c r="D5" i="4"/>
  <c r="E5" i="4"/>
  <c r="AS5" i="4" s="1"/>
  <c r="F5" i="4"/>
  <c r="G5" i="4"/>
  <c r="AT5" i="4" s="1"/>
  <c r="H5" i="4"/>
  <c r="AQ5" i="4" s="1"/>
  <c r="I5" i="4"/>
  <c r="AM5" i="4" s="1"/>
  <c r="J5" i="4"/>
  <c r="AP5" i="4" s="1"/>
  <c r="K5" i="4"/>
  <c r="AU5" i="4" s="1"/>
  <c r="L5" i="4"/>
  <c r="AR5" i="4" s="1"/>
  <c r="M5" i="4"/>
  <c r="AN5" i="4" s="1"/>
  <c r="N5" i="4"/>
  <c r="O5" i="4"/>
  <c r="C6" i="4"/>
  <c r="D6" i="4"/>
  <c r="E6" i="4"/>
  <c r="AS6" i="4" s="1"/>
  <c r="F6" i="4"/>
  <c r="G6" i="4"/>
  <c r="AT6" i="4" s="1"/>
  <c r="H6" i="4"/>
  <c r="AQ6" i="4" s="1"/>
  <c r="I6" i="4"/>
  <c r="AM6" i="4" s="1"/>
  <c r="J6" i="4"/>
  <c r="AP6" i="4" s="1"/>
  <c r="K6" i="4"/>
  <c r="AU6" i="4" s="1"/>
  <c r="L6" i="4"/>
  <c r="AR6" i="4" s="1"/>
  <c r="AN6" i="4"/>
  <c r="N6" i="4"/>
  <c r="O6" i="4"/>
  <c r="C7" i="4"/>
  <c r="D7" i="4"/>
  <c r="E7" i="4"/>
  <c r="AS7" i="4" s="1"/>
  <c r="F7" i="4"/>
  <c r="G7" i="4"/>
  <c r="AT7" i="4" s="1"/>
  <c r="H7" i="4"/>
  <c r="AQ7" i="4" s="1"/>
  <c r="I7" i="4"/>
  <c r="AM7" i="4" s="1"/>
  <c r="J7" i="4"/>
  <c r="AP7" i="4" s="1"/>
  <c r="K7" i="4"/>
  <c r="AU7" i="4" s="1"/>
  <c r="L7" i="4"/>
  <c r="AR7" i="4" s="1"/>
  <c r="M7" i="4"/>
  <c r="AN7" i="4" s="1"/>
  <c r="N7" i="4"/>
  <c r="O7" i="4"/>
  <c r="C8" i="4"/>
  <c r="D8" i="4"/>
  <c r="E8" i="4"/>
  <c r="AS8" i="4" s="1"/>
  <c r="F8" i="4"/>
  <c r="G8" i="4"/>
  <c r="AT8" i="4" s="1"/>
  <c r="H8" i="4"/>
  <c r="AQ8" i="4" s="1"/>
  <c r="I8" i="4"/>
  <c r="AM8" i="4" s="1"/>
  <c r="J8" i="4"/>
  <c r="AP8" i="4" s="1"/>
  <c r="K8" i="4"/>
  <c r="AU8" i="4" s="1"/>
  <c r="L8" i="4"/>
  <c r="AR8" i="4" s="1"/>
  <c r="AN8" i="4"/>
  <c r="N8" i="4"/>
  <c r="O8" i="4"/>
  <c r="C9" i="4"/>
  <c r="D9" i="4"/>
  <c r="E9" i="4"/>
  <c r="AS9" i="4" s="1"/>
  <c r="F9" i="4"/>
  <c r="G9" i="4"/>
  <c r="AT9" i="4" s="1"/>
  <c r="H9" i="4"/>
  <c r="AQ9" i="4" s="1"/>
  <c r="I9" i="4"/>
  <c r="AM9" i="4" s="1"/>
  <c r="J9" i="4"/>
  <c r="AP9" i="4" s="1"/>
  <c r="K9" i="4"/>
  <c r="AU9" i="4" s="1"/>
  <c r="L9" i="4"/>
  <c r="AR9" i="4" s="1"/>
  <c r="AN9" i="4"/>
  <c r="N9" i="4"/>
  <c r="O9" i="4"/>
  <c r="C10" i="4"/>
  <c r="D10" i="4"/>
  <c r="E10" i="4"/>
  <c r="AS10" i="4" s="1"/>
  <c r="F10" i="4"/>
  <c r="G10" i="4"/>
  <c r="AT10" i="4" s="1"/>
  <c r="H10" i="4"/>
  <c r="AQ10" i="4" s="1"/>
  <c r="I10" i="4"/>
  <c r="AM10" i="4" s="1"/>
  <c r="J10" i="4"/>
  <c r="AP10" i="4" s="1"/>
  <c r="K10" i="4"/>
  <c r="AU10" i="4" s="1"/>
  <c r="L10" i="4"/>
  <c r="AR10" i="4" s="1"/>
  <c r="AN10" i="4"/>
  <c r="N10" i="4"/>
  <c r="O10" i="4"/>
  <c r="C11" i="4"/>
  <c r="D11" i="4"/>
  <c r="E11" i="4"/>
  <c r="AS11" i="4" s="1"/>
  <c r="F11" i="4"/>
  <c r="G11" i="4"/>
  <c r="AT11" i="4" s="1"/>
  <c r="H11" i="4"/>
  <c r="AQ11" i="4" s="1"/>
  <c r="I11" i="4"/>
  <c r="AM11" i="4" s="1"/>
  <c r="J11" i="4"/>
  <c r="AP11" i="4" s="1"/>
  <c r="K11" i="4"/>
  <c r="AU11" i="4" s="1"/>
  <c r="L11" i="4"/>
  <c r="AR11" i="4" s="1"/>
  <c r="M11" i="4"/>
  <c r="AN11" i="4" s="1"/>
  <c r="N11" i="4"/>
  <c r="O11" i="4"/>
  <c r="C12" i="4"/>
  <c r="D12" i="4"/>
  <c r="E12" i="4"/>
  <c r="AS12" i="4" s="1"/>
  <c r="F12" i="4"/>
  <c r="G12" i="4"/>
  <c r="AT12" i="4" s="1"/>
  <c r="H12" i="4"/>
  <c r="AQ12" i="4" s="1"/>
  <c r="I12" i="4"/>
  <c r="AM12" i="4" s="1"/>
  <c r="J12" i="4"/>
  <c r="AP12" i="4" s="1"/>
  <c r="K12" i="4"/>
  <c r="AU12" i="4" s="1"/>
  <c r="L12" i="4"/>
  <c r="AR12" i="4" s="1"/>
  <c r="AN12" i="4"/>
  <c r="N12" i="4"/>
  <c r="O12" i="4"/>
  <c r="C13" i="4"/>
  <c r="D13" i="4"/>
  <c r="E13" i="4"/>
  <c r="AS13" i="4" s="1"/>
  <c r="F13" i="4"/>
  <c r="G13" i="4"/>
  <c r="AT13" i="4" s="1"/>
  <c r="H13" i="4"/>
  <c r="AQ13" i="4" s="1"/>
  <c r="I13" i="4"/>
  <c r="AM13" i="4" s="1"/>
  <c r="J13" i="4"/>
  <c r="AP13" i="4" s="1"/>
  <c r="K13" i="4"/>
  <c r="AU13" i="4" s="1"/>
  <c r="L13" i="4"/>
  <c r="AR13" i="4" s="1"/>
  <c r="AN13" i="4"/>
  <c r="N13" i="4"/>
  <c r="O13" i="4"/>
  <c r="C14" i="4"/>
  <c r="D14" i="4"/>
  <c r="E14" i="4"/>
  <c r="AS14" i="4" s="1"/>
  <c r="F14" i="4"/>
  <c r="G14" i="4"/>
  <c r="AT14" i="4" s="1"/>
  <c r="H14" i="4"/>
  <c r="AQ14" i="4" s="1"/>
  <c r="I14" i="4"/>
  <c r="AM14" i="4" s="1"/>
  <c r="J14" i="4"/>
  <c r="AP14" i="4" s="1"/>
  <c r="K14" i="4"/>
  <c r="AU14" i="4" s="1"/>
  <c r="L14" i="4"/>
  <c r="AR14" i="4" s="1"/>
  <c r="AN14" i="4"/>
  <c r="N14" i="4"/>
  <c r="O14" i="4"/>
  <c r="C15" i="4"/>
  <c r="D15" i="4"/>
  <c r="E15" i="4"/>
  <c r="AS15" i="4" s="1"/>
  <c r="F15" i="4"/>
  <c r="G15" i="4"/>
  <c r="AT15" i="4" s="1"/>
  <c r="H15" i="4"/>
  <c r="AQ15" i="4" s="1"/>
  <c r="I15" i="4"/>
  <c r="AM15" i="4" s="1"/>
  <c r="J15" i="4"/>
  <c r="AP15" i="4" s="1"/>
  <c r="K15" i="4"/>
  <c r="AU15" i="4" s="1"/>
  <c r="L15" i="4"/>
  <c r="AR15" i="4" s="1"/>
  <c r="M15" i="4"/>
  <c r="AN15" i="4" s="1"/>
  <c r="N15" i="4"/>
  <c r="O15" i="4"/>
  <c r="C16" i="4"/>
  <c r="D16" i="4"/>
  <c r="E16" i="4"/>
  <c r="AS16" i="4" s="1"/>
  <c r="F16" i="4"/>
  <c r="G16" i="4"/>
  <c r="AT16" i="4" s="1"/>
  <c r="H16" i="4"/>
  <c r="AQ16" i="4" s="1"/>
  <c r="I16" i="4"/>
  <c r="AM16" i="4" s="1"/>
  <c r="J16" i="4"/>
  <c r="AP16" i="4" s="1"/>
  <c r="K16" i="4"/>
  <c r="AU16" i="4" s="1"/>
  <c r="L16" i="4"/>
  <c r="AR16" i="4" s="1"/>
  <c r="M16" i="4"/>
  <c r="AN16" i="4" s="1"/>
  <c r="N16" i="4"/>
  <c r="O16" i="4"/>
  <c r="C17" i="4"/>
  <c r="D17" i="4"/>
  <c r="E17" i="4"/>
  <c r="AS17" i="4" s="1"/>
  <c r="F17" i="4"/>
  <c r="G17" i="4"/>
  <c r="AT17" i="4" s="1"/>
  <c r="H17" i="4"/>
  <c r="AQ17" i="4" s="1"/>
  <c r="I17" i="4"/>
  <c r="AM17" i="4" s="1"/>
  <c r="J17" i="4"/>
  <c r="AP17" i="4" s="1"/>
  <c r="K17" i="4"/>
  <c r="AU17" i="4" s="1"/>
  <c r="L17" i="4"/>
  <c r="AR17" i="4" s="1"/>
  <c r="AN17" i="4"/>
  <c r="N17" i="4"/>
  <c r="O17" i="4"/>
  <c r="C18" i="4"/>
  <c r="D18" i="4"/>
  <c r="E18" i="4"/>
  <c r="AS18" i="4" s="1"/>
  <c r="F18" i="4"/>
  <c r="G18" i="4"/>
  <c r="AT18" i="4" s="1"/>
  <c r="H18" i="4"/>
  <c r="AQ18" i="4" s="1"/>
  <c r="I18" i="4"/>
  <c r="AM18" i="4" s="1"/>
  <c r="J18" i="4"/>
  <c r="AP18" i="4" s="1"/>
  <c r="K18" i="4"/>
  <c r="AU18" i="4" s="1"/>
  <c r="L18" i="4"/>
  <c r="AR18" i="4" s="1"/>
  <c r="AN18" i="4"/>
  <c r="N18" i="4"/>
  <c r="O18" i="4"/>
  <c r="C19" i="4"/>
  <c r="D19" i="4"/>
  <c r="E19" i="4"/>
  <c r="AS19" i="4" s="1"/>
  <c r="F19" i="4"/>
  <c r="G19" i="4"/>
  <c r="AT19" i="4" s="1"/>
  <c r="H19" i="4"/>
  <c r="AQ19" i="4" s="1"/>
  <c r="I19" i="4"/>
  <c r="AM19" i="4" s="1"/>
  <c r="J19" i="4"/>
  <c r="AP19" i="4" s="1"/>
  <c r="K19" i="4"/>
  <c r="AU19" i="4" s="1"/>
  <c r="L19" i="4"/>
  <c r="AR19" i="4" s="1"/>
  <c r="AN19" i="4"/>
  <c r="N19" i="4"/>
  <c r="O19" i="4"/>
  <c r="C20" i="4"/>
  <c r="D20" i="4"/>
  <c r="E20" i="4"/>
  <c r="AS20" i="4" s="1"/>
  <c r="F20" i="4"/>
  <c r="G20" i="4"/>
  <c r="AT20" i="4" s="1"/>
  <c r="H20" i="4"/>
  <c r="AQ20" i="4" s="1"/>
  <c r="I20" i="4"/>
  <c r="AM20" i="4" s="1"/>
  <c r="J20" i="4"/>
  <c r="AP20" i="4" s="1"/>
  <c r="K20" i="4"/>
  <c r="AU20" i="4" s="1"/>
  <c r="L20" i="4"/>
  <c r="AR20" i="4" s="1"/>
  <c r="AN20" i="4"/>
  <c r="N20" i="4"/>
  <c r="O20" i="4"/>
  <c r="C21" i="4"/>
  <c r="D21" i="4"/>
  <c r="E21" i="4"/>
  <c r="AS21" i="4" s="1"/>
  <c r="F21" i="4"/>
  <c r="G21" i="4"/>
  <c r="AT21" i="4" s="1"/>
  <c r="H21" i="4"/>
  <c r="AQ21" i="4" s="1"/>
  <c r="I21" i="4"/>
  <c r="AM21" i="4" s="1"/>
  <c r="J21" i="4"/>
  <c r="AP21" i="4" s="1"/>
  <c r="K21" i="4"/>
  <c r="AU21" i="4" s="1"/>
  <c r="L21" i="4"/>
  <c r="AR21" i="4" s="1"/>
  <c r="M21" i="4"/>
  <c r="AN21" i="4" s="1"/>
  <c r="N21" i="4"/>
  <c r="O21" i="4"/>
  <c r="C22" i="4"/>
  <c r="D22" i="4"/>
  <c r="E22" i="4"/>
  <c r="AS22" i="4" s="1"/>
  <c r="F22" i="4"/>
  <c r="G22" i="4"/>
  <c r="AT22" i="4" s="1"/>
  <c r="H22" i="4"/>
  <c r="AQ22" i="4" s="1"/>
  <c r="I22" i="4"/>
  <c r="AM22" i="4" s="1"/>
  <c r="J22" i="4"/>
  <c r="AP22" i="4" s="1"/>
  <c r="K22" i="4"/>
  <c r="AU22" i="4" s="1"/>
  <c r="L22" i="4"/>
  <c r="AR22" i="4" s="1"/>
  <c r="M22" i="4"/>
  <c r="AN22" i="4" s="1"/>
  <c r="N22" i="4"/>
  <c r="O22" i="4"/>
  <c r="C23" i="4"/>
  <c r="D23" i="4"/>
  <c r="E23" i="4"/>
  <c r="AS23" i="4" s="1"/>
  <c r="F23" i="4"/>
  <c r="G23" i="4"/>
  <c r="AT23" i="4" s="1"/>
  <c r="H23" i="4"/>
  <c r="AQ23" i="4" s="1"/>
  <c r="I23" i="4"/>
  <c r="AM23" i="4" s="1"/>
  <c r="J23" i="4"/>
  <c r="AP23" i="4" s="1"/>
  <c r="K23" i="4"/>
  <c r="AU23" i="4" s="1"/>
  <c r="L23" i="4"/>
  <c r="AR23" i="4" s="1"/>
  <c r="M23" i="4"/>
  <c r="AN23" i="4" s="1"/>
  <c r="N23" i="4"/>
  <c r="O23" i="4"/>
  <c r="C24" i="4"/>
  <c r="D24" i="4"/>
  <c r="E24" i="4"/>
  <c r="AS24" i="4" s="1"/>
  <c r="F24" i="4"/>
  <c r="G24" i="4"/>
  <c r="AT24" i="4" s="1"/>
  <c r="H24" i="4"/>
  <c r="AQ24" i="4" s="1"/>
  <c r="I24" i="4"/>
  <c r="AM24" i="4" s="1"/>
  <c r="J24" i="4"/>
  <c r="AP24" i="4" s="1"/>
  <c r="K24" i="4"/>
  <c r="AU24" i="4" s="1"/>
  <c r="L24" i="4"/>
  <c r="AR24" i="4" s="1"/>
  <c r="M24" i="4"/>
  <c r="AN24" i="4" s="1"/>
  <c r="N24" i="4"/>
  <c r="O24" i="4"/>
  <c r="C25" i="4"/>
  <c r="D25" i="4"/>
  <c r="E25" i="4"/>
  <c r="AS25" i="4" s="1"/>
  <c r="F25" i="4"/>
  <c r="G25" i="4"/>
  <c r="AT25" i="4" s="1"/>
  <c r="H25" i="4"/>
  <c r="AQ25" i="4" s="1"/>
  <c r="I25" i="4"/>
  <c r="AM25" i="4" s="1"/>
  <c r="J25" i="4"/>
  <c r="AP25" i="4" s="1"/>
  <c r="K25" i="4"/>
  <c r="AU25" i="4" s="1"/>
  <c r="L25" i="4"/>
  <c r="AR25" i="4" s="1"/>
  <c r="M25" i="4"/>
  <c r="AN25" i="4" s="1"/>
  <c r="N25" i="4"/>
  <c r="O25" i="4"/>
  <c r="C26" i="4"/>
  <c r="D26" i="4"/>
  <c r="E26" i="4"/>
  <c r="AS26" i="4" s="1"/>
  <c r="F26" i="4"/>
  <c r="G26" i="4"/>
  <c r="AT26" i="4" s="1"/>
  <c r="H26" i="4"/>
  <c r="AQ26" i="4" s="1"/>
  <c r="I26" i="4"/>
  <c r="AM26" i="4" s="1"/>
  <c r="J26" i="4"/>
  <c r="AP26" i="4" s="1"/>
  <c r="K26" i="4"/>
  <c r="AU26" i="4" s="1"/>
  <c r="L26" i="4"/>
  <c r="AR26" i="4" s="1"/>
  <c r="M26" i="4"/>
  <c r="AN26" i="4" s="1"/>
  <c r="N26" i="4"/>
  <c r="O26" i="4"/>
  <c r="C27" i="4"/>
  <c r="D27" i="4"/>
  <c r="E27" i="4"/>
  <c r="AS27" i="4" s="1"/>
  <c r="F27" i="4"/>
  <c r="G27" i="4"/>
  <c r="AT27" i="4" s="1"/>
  <c r="H27" i="4"/>
  <c r="AQ27" i="4" s="1"/>
  <c r="I27" i="4"/>
  <c r="AM27" i="4" s="1"/>
  <c r="J27" i="4"/>
  <c r="AP27" i="4" s="1"/>
  <c r="K27" i="4"/>
  <c r="AU27" i="4" s="1"/>
  <c r="L27" i="4"/>
  <c r="AR27" i="4" s="1"/>
  <c r="AN27" i="4"/>
  <c r="N27" i="4"/>
  <c r="O27" i="4"/>
  <c r="C28" i="4"/>
  <c r="D28" i="4"/>
  <c r="E28" i="4"/>
  <c r="AS28" i="4" s="1"/>
  <c r="F28" i="4"/>
  <c r="G28" i="4"/>
  <c r="AT28" i="4" s="1"/>
  <c r="H28" i="4"/>
  <c r="AQ28" i="4" s="1"/>
  <c r="I28" i="4"/>
  <c r="AM28" i="4" s="1"/>
  <c r="J28" i="4"/>
  <c r="AP28" i="4" s="1"/>
  <c r="K28" i="4"/>
  <c r="AU28" i="4" s="1"/>
  <c r="L28" i="4"/>
  <c r="AR28" i="4" s="1"/>
  <c r="M28" i="4"/>
  <c r="AN28" i="4" s="1"/>
  <c r="N28" i="4"/>
  <c r="O28" i="4"/>
  <c r="C29" i="4"/>
  <c r="D29" i="4"/>
  <c r="E29" i="4"/>
  <c r="AS29" i="4" s="1"/>
  <c r="F29" i="4"/>
  <c r="G29" i="4"/>
  <c r="AT29" i="4" s="1"/>
  <c r="H29" i="4"/>
  <c r="AQ29" i="4" s="1"/>
  <c r="I29" i="4"/>
  <c r="AM29" i="4" s="1"/>
  <c r="J29" i="4"/>
  <c r="AP29" i="4" s="1"/>
  <c r="K29" i="4"/>
  <c r="AU29" i="4" s="1"/>
  <c r="L29" i="4"/>
  <c r="AR29" i="4" s="1"/>
  <c r="M29" i="4"/>
  <c r="AN29" i="4" s="1"/>
  <c r="N29" i="4"/>
  <c r="O29" i="4"/>
  <c r="AO28" i="4" l="1"/>
  <c r="AO24" i="4"/>
  <c r="AO20" i="4"/>
  <c r="AO16" i="4"/>
  <c r="AO12" i="4"/>
  <c r="AO8" i="4"/>
  <c r="AO52" i="4"/>
  <c r="AO48" i="4"/>
  <c r="AO44" i="4"/>
  <c r="AO40" i="4"/>
  <c r="AO36" i="4"/>
  <c r="AO32" i="4"/>
  <c r="AO72" i="4"/>
  <c r="AO68" i="4"/>
  <c r="AO64" i="4"/>
  <c r="AO60" i="4"/>
  <c r="AO56" i="4"/>
  <c r="AO80" i="4"/>
  <c r="AO76" i="4"/>
  <c r="AO27" i="4"/>
  <c r="AO15" i="4"/>
  <c r="AO11" i="4"/>
  <c r="AO7" i="4"/>
  <c r="AO51" i="4"/>
  <c r="AO47" i="4"/>
  <c r="AO43" i="4"/>
  <c r="AO39" i="4"/>
  <c r="AO35" i="4"/>
  <c r="AO31" i="4"/>
  <c r="AO71" i="4"/>
  <c r="AO67" i="4"/>
  <c r="AO63" i="4"/>
  <c r="AO59" i="4"/>
  <c r="AO55" i="4"/>
  <c r="AO79" i="4"/>
  <c r="AO75" i="4"/>
  <c r="AO26" i="4"/>
  <c r="AO22" i="4"/>
  <c r="AO14" i="4"/>
  <c r="AO10" i="4"/>
  <c r="AO6" i="4"/>
  <c r="AO50" i="4"/>
  <c r="AO46" i="4"/>
  <c r="AO42" i="4"/>
  <c r="AO38" i="4"/>
  <c r="AO34" i="4"/>
  <c r="AO30" i="4"/>
  <c r="AO70" i="4"/>
  <c r="AO66" i="4"/>
  <c r="AO62" i="4"/>
  <c r="AO58" i="4"/>
  <c r="AO54" i="4"/>
  <c r="AO78" i="4"/>
  <c r="AO74" i="4"/>
  <c r="AO23" i="4"/>
  <c r="AO19" i="4"/>
  <c r="AO18" i="4"/>
  <c r="AO29" i="4"/>
  <c r="AO25" i="4"/>
  <c r="AO21" i="4"/>
  <c r="AO17" i="4"/>
  <c r="AO13" i="4"/>
  <c r="AO9" i="4"/>
  <c r="AO5" i="4"/>
  <c r="AO49" i="4"/>
  <c r="AO45" i="4"/>
  <c r="AO41" i="4"/>
  <c r="AO37" i="4"/>
  <c r="AO33" i="4"/>
  <c r="AO73" i="4"/>
  <c r="AO69" i="4"/>
  <c r="AO65" i="4"/>
  <c r="AO61" i="4"/>
  <c r="AO57" i="4"/>
  <c r="AO53" i="4"/>
  <c r="AO77" i="4"/>
  <c r="AN87" i="4"/>
  <c r="AM87" i="4"/>
  <c r="E4" i="4"/>
  <c r="AS4" i="4" s="1"/>
  <c r="D4" i="4" l="1"/>
  <c r="AM84" i="4" l="1"/>
  <c r="AN84" i="4"/>
  <c r="AN83" i="4" l="1"/>
  <c r="AN82" i="4"/>
  <c r="AM83" i="4"/>
  <c r="AM82" i="4"/>
  <c r="AN85" i="4"/>
  <c r="AM81" i="4"/>
  <c r="AN81" i="4"/>
  <c r="AM85" i="4"/>
  <c r="AN88" i="4" l="1"/>
  <c r="AM88" i="4"/>
  <c r="Q88" i="4" l="1"/>
  <c r="R88" i="4"/>
  <c r="S88" i="4"/>
  <c r="T88" i="4"/>
  <c r="U88" i="4"/>
  <c r="C88" i="4"/>
  <c r="E88" i="4"/>
  <c r="AS88" i="4" s="1"/>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AO4" i="4" s="1"/>
  <c r="AM4" i="4" l="1"/>
  <c r="AM86" i="4" s="1"/>
  <c r="AN4" i="4"/>
  <c r="AN86" i="4" s="1"/>
  <c r="AO88" i="4"/>
  <c r="W88"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E87" i="4"/>
  <c r="AS87" i="4" s="1"/>
  <c r="R87" i="4"/>
  <c r="W77" i="4"/>
  <c r="W49" i="4"/>
  <c r="W65" i="4"/>
  <c r="W33" i="4"/>
  <c r="W17" i="4"/>
  <c r="W53" i="4"/>
  <c r="W37" i="4"/>
  <c r="W73" i="4"/>
  <c r="W25" i="4"/>
  <c r="W75" i="4"/>
  <c r="W71" i="4"/>
  <c r="W56" i="4"/>
  <c r="W34" i="4"/>
  <c r="W61" i="4"/>
  <c r="W57" i="4"/>
  <c r="W45" i="4"/>
  <c r="W41" i="4"/>
  <c r="W29" i="4"/>
  <c r="W14" i="4"/>
  <c r="W78" i="4"/>
  <c r="W59" i="4"/>
  <c r="W40" i="4"/>
  <c r="W18" i="4"/>
  <c r="W69" i="4"/>
  <c r="W21" i="4"/>
  <c r="W66" i="4"/>
  <c r="W43" i="4"/>
  <c r="W24" i="4"/>
  <c r="W72" i="4"/>
  <c r="W50" i="4"/>
  <c r="W27" i="4"/>
  <c r="W68" i="4"/>
  <c r="W62" i="4"/>
  <c r="W55" i="4"/>
  <c r="W52" i="4"/>
  <c r="W46" i="4"/>
  <c r="W39" i="4"/>
  <c r="W36" i="4"/>
  <c r="W30" i="4"/>
  <c r="W23" i="4"/>
  <c r="W20" i="4"/>
  <c r="W15" i="4"/>
  <c r="W80" i="4"/>
  <c r="W74" i="4"/>
  <c r="W67" i="4"/>
  <c r="W64" i="4"/>
  <c r="W58" i="4"/>
  <c r="W51" i="4"/>
  <c r="W48" i="4"/>
  <c r="W42" i="4"/>
  <c r="W35" i="4"/>
  <c r="W32" i="4"/>
  <c r="W26" i="4"/>
  <c r="W19" i="4"/>
  <c r="W16" i="4"/>
  <c r="W79" i="4"/>
  <c r="W76" i="4"/>
  <c r="W70" i="4"/>
  <c r="W63" i="4"/>
  <c r="W60" i="4"/>
  <c r="W54" i="4"/>
  <c r="W47" i="4"/>
  <c r="W44" i="4"/>
  <c r="W38" i="4"/>
  <c r="W31" i="4"/>
  <c r="W28" i="4"/>
  <c r="W22" i="4"/>
  <c r="W13" i="4"/>
  <c r="W11" i="4"/>
  <c r="W9" i="4"/>
  <c r="W7" i="4"/>
  <c r="W5" i="4"/>
  <c r="B10" i="5" s="1"/>
  <c r="C36" i="1" s="1"/>
  <c r="W12" i="4"/>
  <c r="W10" i="4"/>
  <c r="W8" i="4"/>
  <c r="W6" i="4"/>
  <c r="C5" i="1" l="1"/>
  <c r="C6" i="2"/>
  <c r="C37" i="1"/>
  <c r="C14" i="2"/>
  <c r="C51" i="1"/>
  <c r="C29" i="1"/>
  <c r="C50" i="1"/>
  <c r="C28" i="1"/>
  <c r="C45" i="1"/>
  <c r="C26" i="1"/>
  <c r="C47" i="1"/>
  <c r="C27" i="1"/>
  <c r="C40" i="1"/>
  <c r="C35" i="1"/>
  <c r="C13" i="2"/>
  <c r="AO87" i="4"/>
  <c r="AO86" i="4"/>
  <c r="W87" i="4"/>
  <c r="U4" i="4"/>
  <c r="U86" i="4" s="1"/>
  <c r="T4" i="4"/>
  <c r="T86" i="4" s="1"/>
  <c r="S86" i="4"/>
  <c r="R4" i="4"/>
  <c r="Q4" i="4"/>
  <c r="E86" i="4"/>
  <c r="AS86" i="4" s="1"/>
  <c r="C86" i="4"/>
  <c r="Q86" i="4" l="1"/>
  <c r="R86" i="4"/>
  <c r="D55" i="3"/>
  <c r="W86" i="4" l="1"/>
  <c r="W4" i="4"/>
  <c r="P4" i="4"/>
  <c r="V4" i="4" s="1"/>
  <c r="P10" i="4"/>
  <c r="V10" i="4" s="1"/>
  <c r="P5" i="4"/>
  <c r="V5" i="4" s="1"/>
  <c r="P6" i="4"/>
  <c r="V6" i="4" s="1"/>
  <c r="P7" i="4"/>
  <c r="V7" i="4" s="1"/>
  <c r="P12" i="4"/>
  <c r="V12" i="4" s="1"/>
  <c r="P8" i="4"/>
  <c r="V8" i="4" s="1"/>
  <c r="P18" i="4"/>
  <c r="V18" i="4" s="1"/>
  <c r="P13" i="4"/>
  <c r="V13" i="4" s="1"/>
  <c r="P11" i="4"/>
  <c r="V11" i="4" s="1"/>
  <c r="P15" i="4"/>
  <c r="V15" i="4" s="1"/>
  <c r="P14" i="4"/>
  <c r="V14" i="4" s="1"/>
  <c r="P20" i="4"/>
  <c r="V20" i="4" s="1"/>
  <c r="P21" i="4"/>
  <c r="V21" i="4" s="1"/>
  <c r="P16" i="4"/>
  <c r="V16" i="4" s="1"/>
  <c r="P17" i="4"/>
  <c r="V17" i="4" s="1"/>
  <c r="P19" i="4"/>
  <c r="V19" i="4" s="1"/>
  <c r="P22" i="4"/>
  <c r="V22" i="4" s="1"/>
  <c r="P68" i="4"/>
  <c r="V68" i="4" s="1"/>
  <c r="P24" i="4"/>
  <c r="V24" i="4" s="1"/>
  <c r="P25" i="4"/>
  <c r="V25" i="4" s="1"/>
  <c r="P27" i="4"/>
  <c r="V27" i="4" s="1"/>
  <c r="P23" i="4"/>
  <c r="V23" i="4" s="1"/>
  <c r="P77" i="4"/>
  <c r="V77" i="4" s="1"/>
  <c r="P28" i="4"/>
  <c r="V28" i="4" s="1"/>
  <c r="P30" i="4"/>
  <c r="V30" i="4" s="1"/>
  <c r="P31" i="4"/>
  <c r="V31" i="4" s="1"/>
  <c r="P73" i="4"/>
  <c r="V73" i="4" s="1"/>
  <c r="P34" i="4"/>
  <c r="V34" i="4" s="1"/>
  <c r="P69" i="4"/>
  <c r="V69" i="4" s="1"/>
  <c r="P37" i="4"/>
  <c r="V37" i="4" s="1"/>
  <c r="P41" i="4"/>
  <c r="V41" i="4" s="1"/>
  <c r="P38" i="4"/>
  <c r="V38" i="4" s="1"/>
  <c r="P48" i="4"/>
  <c r="V48" i="4" s="1"/>
  <c r="P39" i="4"/>
  <c r="V39" i="4" s="1"/>
  <c r="P40" i="4"/>
  <c r="V40" i="4" s="1"/>
  <c r="P42" i="4"/>
  <c r="V42" i="4" s="1"/>
  <c r="P43" i="4"/>
  <c r="V43" i="4" s="1"/>
  <c r="P44" i="4"/>
  <c r="V44" i="4" s="1"/>
  <c r="P45" i="4"/>
  <c r="V45" i="4" s="1"/>
  <c r="P46" i="4"/>
  <c r="V46" i="4" s="1"/>
  <c r="P26" i="4"/>
  <c r="V26" i="4" s="1"/>
  <c r="P62" i="4"/>
  <c r="V62" i="4" s="1"/>
  <c r="P54" i="4"/>
  <c r="V54" i="4" s="1"/>
  <c r="P70" i="4"/>
  <c r="V70" i="4" s="1"/>
  <c r="P49" i="4"/>
  <c r="V49" i="4" s="1"/>
  <c r="P32" i="4"/>
  <c r="V32" i="4" s="1"/>
  <c r="P50" i="4"/>
  <c r="V50" i="4" s="1"/>
  <c r="P51" i="4"/>
  <c r="V51" i="4" s="1"/>
  <c r="P53" i="4"/>
  <c r="V53" i="4" s="1"/>
  <c r="P33" i="4"/>
  <c r="V33" i="4" s="1"/>
  <c r="P52" i="4"/>
  <c r="V52" i="4" s="1"/>
  <c r="P55" i="4"/>
  <c r="V55" i="4" s="1"/>
  <c r="P67" i="4"/>
  <c r="V67" i="4" s="1"/>
  <c r="P56" i="4"/>
  <c r="V56" i="4" s="1"/>
  <c r="P29" i="4"/>
  <c r="V29" i="4" s="1"/>
  <c r="P35" i="4"/>
  <c r="V35" i="4" s="1"/>
  <c r="P57" i="4"/>
  <c r="V57" i="4" s="1"/>
  <c r="P36" i="4"/>
  <c r="V36" i="4" s="1"/>
  <c r="P58" i="4"/>
  <c r="V58" i="4" s="1"/>
  <c r="P59" i="4"/>
  <c r="V59" i="4" s="1"/>
  <c r="P60" i="4"/>
  <c r="V60" i="4" s="1"/>
  <c r="P61" i="4"/>
  <c r="V61" i="4" s="1"/>
  <c r="P63" i="4"/>
  <c r="V63" i="4" s="1"/>
  <c r="P64" i="4"/>
  <c r="V64" i="4" s="1"/>
  <c r="P65" i="4"/>
  <c r="V65" i="4" s="1"/>
  <c r="P47" i="4"/>
  <c r="V47" i="4" s="1"/>
  <c r="P66" i="4"/>
  <c r="V66" i="4" s="1"/>
  <c r="P71" i="4"/>
  <c r="V71" i="4" s="1"/>
  <c r="P72" i="4"/>
  <c r="V72" i="4" s="1"/>
  <c r="P74" i="4"/>
  <c r="V74" i="4" s="1"/>
  <c r="P75" i="4"/>
  <c r="V75" i="4" s="1"/>
  <c r="P76" i="4"/>
  <c r="V76" i="4" s="1"/>
  <c r="P78" i="4"/>
  <c r="V78" i="4" s="1"/>
  <c r="P79" i="4"/>
  <c r="V79" i="4" s="1"/>
  <c r="P80" i="4"/>
  <c r="V80" i="4" s="1"/>
  <c r="P88" i="4" l="1"/>
  <c r="V88" i="4" s="1"/>
  <c r="P87" i="4"/>
  <c r="V87" i="4" s="1"/>
  <c r="P9" i="4"/>
  <c r="V9" i="4" s="1"/>
  <c r="A1" i="3"/>
  <c r="A1" i="2"/>
  <c r="A1" i="1"/>
  <c r="P86" i="4" l="1"/>
  <c r="V86" i="4" s="1"/>
  <c r="C49" i="1"/>
  <c r="C41" i="1"/>
  <c r="C39" i="1"/>
  <c r="C43" i="1"/>
  <c r="C48" i="1"/>
  <c r="C10" i="2"/>
  <c r="C8" i="2"/>
  <c r="C33" i="1"/>
  <c r="C52" i="1"/>
  <c r="C34" i="1"/>
  <c r="C9" i="2"/>
  <c r="C38" i="1"/>
  <c r="C42" i="1"/>
  <c r="C44" i="1"/>
  <c r="C46" i="1"/>
  <c r="C57" i="1"/>
  <c r="C11" i="2"/>
  <c r="C58" i="1"/>
  <c r="C15" i="2"/>
  <c r="C12" i="2"/>
  <c r="B9" i="5"/>
  <c r="F19" i="1" l="1"/>
  <c r="F18" i="1"/>
  <c r="E40" i="1"/>
  <c r="E39" i="1"/>
  <c r="F50" i="1"/>
  <c r="E13" i="1"/>
  <c r="F51" i="1"/>
  <c r="D38" i="3"/>
  <c r="D39" i="3"/>
  <c r="D41" i="3"/>
  <c r="D40" i="3"/>
  <c r="F17" i="1"/>
  <c r="F47" i="1"/>
  <c r="E42" i="1"/>
  <c r="E38" i="1"/>
  <c r="E34" i="1"/>
  <c r="F46" i="1"/>
  <c r="E41" i="1"/>
  <c r="E37" i="1"/>
  <c r="F49" i="1"/>
  <c r="F45" i="1"/>
  <c r="E36" i="1"/>
  <c r="F48" i="1"/>
  <c r="F44" i="1"/>
  <c r="E35" i="1"/>
  <c r="F43" i="1"/>
  <c r="D66" i="3" s="1"/>
  <c r="E33" i="1"/>
  <c r="D67" i="3" s="1"/>
  <c r="E12" i="1"/>
  <c r="E11" i="1"/>
  <c r="E14" i="1"/>
  <c r="E10" i="1"/>
  <c r="F16" i="1"/>
  <c r="F15" i="1"/>
  <c r="D64" i="3" s="1"/>
  <c r="D42" i="3"/>
  <c r="G18" i="3" l="1"/>
  <c r="G14" i="3"/>
  <c r="D12" i="3"/>
  <c r="F28" i="1"/>
  <c r="E26" i="1"/>
  <c r="D14" i="3"/>
  <c r="D18" i="3"/>
  <c r="E53" i="1"/>
  <c r="F52" i="1"/>
  <c r="G22" i="3"/>
  <c r="D22" i="3"/>
  <c r="G12" i="3"/>
  <c r="F29" i="1" l="1"/>
  <c r="G8" i="2" s="1"/>
  <c r="E27" i="1"/>
  <c r="E13" i="2" s="1"/>
  <c r="G13" i="2"/>
  <c r="G11" i="2"/>
  <c r="G15" i="2"/>
  <c r="G10" i="2"/>
  <c r="J18" i="3"/>
  <c r="G9" i="2"/>
  <c r="J14" i="3"/>
  <c r="D26" i="3"/>
  <c r="F53" i="1"/>
  <c r="E9" i="2"/>
  <c r="J12" i="3"/>
  <c r="G26" i="3"/>
  <c r="J22" i="3"/>
  <c r="G14" i="2" l="1"/>
  <c r="F30" i="1"/>
  <c r="E10" i="2"/>
  <c r="E8" i="2"/>
  <c r="I13" i="2"/>
  <c r="E15" i="2"/>
  <c r="E12" i="2"/>
  <c r="E30" i="1"/>
  <c r="E11" i="2"/>
  <c r="E14" i="2"/>
  <c r="J23" i="3"/>
  <c r="D68" i="3"/>
  <c r="I14" i="2" l="1"/>
  <c r="I10" i="2"/>
  <c r="I11" i="2" l="1"/>
  <c r="I8" i="2"/>
  <c r="I15" i="2"/>
  <c r="E59" i="1"/>
  <c r="I9" i="2"/>
  <c r="F58" i="1"/>
  <c r="F59" i="1" l="1"/>
  <c r="G12" i="2"/>
  <c r="I12" i="2" s="1"/>
  <c r="E16" i="2"/>
  <c r="I16" i="2" l="1"/>
  <c r="G16" i="2"/>
  <c r="D43" i="3"/>
</calcChain>
</file>

<file path=xl/sharedStrings.xml><?xml version="1.0" encoding="utf-8"?>
<sst xmlns="http://schemas.openxmlformats.org/spreadsheetml/2006/main" count="1304" uniqueCount="575">
  <si>
    <t>GASB 68 Template – TSERS</t>
  </si>
  <si>
    <t>Component Units</t>
  </si>
  <si>
    <t>Fiscal Year Ended June 30, 2024</t>
  </si>
  <si>
    <t>Choose Your Agency:</t>
  </si>
  <si>
    <t>FAYETTEVILLE STATE UNIVERSITY</t>
  </si>
  <si>
    <t>&lt;&lt; Click to see a list of agencies (sorted by agency type).</t>
  </si>
  <si>
    <t>GoTo "Detail" Tab — Enter Employer Contributions (FY2023 &amp; FY2024).</t>
  </si>
  <si>
    <t>TSERS Number:</t>
  </si>
  <si>
    <t>Entity Type:</t>
  </si>
  <si>
    <t>Needed for account numbers (NCFS/Colleague). Hidden on Summary Tab (columns Q/R). In Lookup formula, column number on data tab plus 1.</t>
  </si>
  <si>
    <t>OSA's Audit Report</t>
  </si>
  <si>
    <t>Teachers' and State Employees' Retirement System – Financial Audit of Schedules</t>
  </si>
  <si>
    <t>https://files.nc.gov/nc-auditor/documents/2024-03/FIN-2023-3400-Pension.pdf?VersionId=z5yhklGHtNXH1V0xWGsUgk7Y5wVtTSkb</t>
  </si>
  <si>
    <t>Note: This template was developed by the NC Office of the State Controller. If you have</t>
  </si>
  <si>
    <t>any questions about this template, please contact Elizabeth John at (919) 707-0690 or</t>
  </si>
  <si>
    <t>elizabeth.john@ncosc.gov</t>
  </si>
  <si>
    <t>GASB 68 Journal Entries – TSERS</t>
  </si>
  <si>
    <t>Entry</t>
  </si>
  <si>
    <t>Account Name</t>
  </si>
  <si>
    <t>Number</t>
  </si>
  <si>
    <t>Sub</t>
  </si>
  <si>
    <t>Debit</t>
  </si>
  <si>
    <t>Credit</t>
  </si>
  <si>
    <t>Description</t>
  </si>
  <si>
    <t>Notes</t>
  </si>
  <si>
    <t>Rounding</t>
  </si>
  <si>
    <t>BEGINNING BALANCES (FORMULAS)</t>
  </si>
  <si>
    <t>Deferred outflows for pensions</t>
  </si>
  <si>
    <t>Change in proportion; contributions during measurement period</t>
  </si>
  <si>
    <t>Changes of assumptions</t>
  </si>
  <si>
    <t>Difference between projected/actual investment earnings</t>
  </si>
  <si>
    <t>Difference between expected/actual experience</t>
  </si>
  <si>
    <t>FY2023 employer contributions – per actuary</t>
  </si>
  <si>
    <t>Rounded, if necessary</t>
  </si>
  <si>
    <t>Net pension liability</t>
  </si>
  <si>
    <t>Beginning net pension liability</t>
  </si>
  <si>
    <t>Deferred inflows for pensions</t>
  </si>
  <si>
    <t>Last Year's MANUAL ENTRY - FY2023 Employer Contributions</t>
  </si>
  <si>
    <t>FY2023 employer contributions – per agency/institution</t>
  </si>
  <si>
    <t>CURRENT FISCAL YEAR ENTRIES</t>
  </si>
  <si>
    <t>Adjustment for PY Contributions (FORMULAS)</t>
  </si>
  <si>
    <t>Deferred outflow for pensions</t>
  </si>
  <si>
    <t>Difference in FY2022 contributions per employer/actuary</t>
  </si>
  <si>
    <t>Miscellaneous expense</t>
  </si>
  <si>
    <t>Calculated</t>
  </si>
  <si>
    <t>See Summary tab, Note 1</t>
  </si>
  <si>
    <t>Miscellaneous income</t>
  </si>
  <si>
    <t>(To adjust for difference in FY2022 contributions per employer/actuary)</t>
  </si>
  <si>
    <t>Change in Pension Amounts (FORMULAS)</t>
  </si>
  <si>
    <t>Net pension liability–noncurrent</t>
  </si>
  <si>
    <t>Change in the net pension liability</t>
  </si>
  <si>
    <t>Calculated by OSC</t>
  </si>
  <si>
    <t>(b1) and (b2)</t>
  </si>
  <si>
    <t>(c)</t>
  </si>
  <si>
    <t>(d1), (d2), and (d3)</t>
  </si>
  <si>
    <t>Pension expense</t>
  </si>
  <si>
    <t>Change in net pension liability recognized immediately</t>
  </si>
  <si>
    <t>(f)</t>
  </si>
  <si>
    <t>(a1) and (a2)</t>
  </si>
  <si>
    <t>(d)</t>
  </si>
  <si>
    <t>Reversal of beginning deferred outflow balance – per actuary</t>
  </si>
  <si>
    <t>See entry #1 above</t>
  </si>
  <si>
    <t>(To record changes in the net pension liability, deferred outflows/inflows of resources</t>
  </si>
  <si>
    <t>for pensions, pension expense, and reversal of deferred outflow in entry 1)</t>
  </si>
  <si>
    <t>After Measurement Date (MANUAL ENTRY)</t>
  </si>
  <si>
    <t>Deferred outflows for pensions (FY2024 Employer Contributions)</t>
  </si>
  <si>
    <t>FY2024 employer contributions – per agency/institution</t>
  </si>
  <si>
    <t>Retirement contributions</t>
  </si>
  <si>
    <t>(e)</t>
  </si>
  <si>
    <t xml:space="preserve">(To record pension contributions after the measurement date) </t>
  </si>
  <si>
    <t xml:space="preserve">Calculated by multiplying the covered payroll for TSERS (on an accrual basis) </t>
  </si>
  <si>
    <t>Note: Exclude pension spike payments from this entry</t>
  </si>
  <si>
    <t>(a1)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</si>
  <si>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</si>
  <si>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(a2)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</si>
  <si>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</si>
  <si>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(b1)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</si>
  <si>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</si>
  <si>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(b2)</t>
  </si>
  <si>
    <t>Investment returns that are greater than projected decrease pension expense and increase deferred inflows of resources.</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</si>
  <si>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</si>
  <si>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(d1)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</si>
  <si>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</si>
  <si>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(d2)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</si>
  <si>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</si>
  <si>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(d3)</t>
  </si>
  <si>
    <t>If the employer's actual contributions exceed its proportionate share of total contributions, the difference increases pension expense and results in a deferred outflow of resources. (GASB 68 Implementation Guide, page 164)</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</si>
  <si>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</si>
  <si>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Components of collective pension expense include—service cost, interest on the total pension liability, effect of changes in benefit terms, projected investment income, employee contributions, expensed portions of deferred outflows/inflows of resources related to pensions, plan administrative expense, and other changes in fiduciary net position. Contributions from employers or nonemployer contributing entities should not be included in pension expense. (GASB 68, paragraph 71)</t>
  </si>
  <si>
    <t>13th Period</t>
  </si>
  <si>
    <t>Entry, Net</t>
  </si>
  <si>
    <t>Debit (Credit)</t>
  </si>
  <si>
    <t>NCFS</t>
  </si>
  <si>
    <t>Colleague</t>
  </si>
  <si>
    <t>Miscellaneous expense (see Note)</t>
  </si>
  <si>
    <t>Miscellaneous income (see Note)</t>
  </si>
  <si>
    <t>Restatement–net position</t>
  </si>
  <si>
    <t>Totals</t>
  </si>
  <si>
    <t>Note:</t>
  </si>
  <si>
    <r>
      <rPr>
        <b/>
        <sz val="10"/>
        <rFont val="Arial"/>
        <family val="2"/>
      </rPr>
      <t>(1)  Difference in Contributions Between Employer/Actuary</t>
    </r>
    <r>
      <rPr>
        <sz val="10"/>
        <rFont val="Arial"/>
        <family val="2"/>
      </rPr>
      <t xml:space="preserve"> – The difference between what your entity reported last year as your FY 2022 employer contributions (i.e., as a deferred outflow for pensions)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</si>
  <si>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GASB 68 Disclosures – TSERS</t>
  </si>
  <si>
    <t>1)</t>
  </si>
  <si>
    <t>Employer Balances of Deferred Outflows of Resources and Deferred Inflows of</t>
  </si>
  <si>
    <t>Resources Related to Pensions by Classification:</t>
  </si>
  <si>
    <t>Net Deferred</t>
  </si>
  <si>
    <t>Amount to be</t>
  </si>
  <si>
    <t>Deferred Outflows</t>
  </si>
  <si>
    <t>Deferred Inflows</t>
  </si>
  <si>
    <t xml:space="preserve">Recognized in </t>
  </si>
  <si>
    <t>of Resources</t>
  </si>
  <si>
    <t>Pension Expense</t>
  </si>
  <si>
    <t xml:space="preserve">Difference between actual and </t>
  </si>
  <si>
    <t>expected experience</t>
  </si>
  <si>
    <t>Net difference between projected and</t>
  </si>
  <si>
    <t>actual earnings on pension plan</t>
  </si>
  <si>
    <t>investments (see note below)</t>
  </si>
  <si>
    <t>Change in proportion and differences</t>
  </si>
  <si>
    <t>between agency's contributions and</t>
  </si>
  <si>
    <t>proportionate share of contributions</t>
  </si>
  <si>
    <t xml:space="preserve">Contributions subsequent to the </t>
  </si>
  <si>
    <t>measurement date</t>
  </si>
  <si>
    <t>Total</t>
  </si>
  <si>
    <r>
      <rPr>
        <i/>
        <u/>
        <sz val="10"/>
        <rFont val="Arial"/>
        <family val="2"/>
      </rPr>
      <t>Note</t>
    </r>
    <r>
      <rPr>
        <i/>
        <sz val="10"/>
        <rFont val="Arial"/>
        <family val="2"/>
      </rPr>
      <t>: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 and 80h(3))</t>
    </r>
  </si>
  <si>
    <t>Source: GASB 68, paragraph 80h(1) thru (5)</t>
  </si>
  <si>
    <t>2)</t>
  </si>
  <si>
    <t>Schedule of the Net Amount of the Employer's Balances of Deferred Outflows of</t>
  </si>
  <si>
    <t>Resources and Deferred Inflows of Resources That will be Recognized in</t>
  </si>
  <si>
    <t>Pension Expense:</t>
  </si>
  <si>
    <t>Year ended June 30:</t>
  </si>
  <si>
    <t>Note: negative amounts indicate amortization of pension deferrals that will decrease</t>
  </si>
  <si>
    <t>pension expense.</t>
  </si>
  <si>
    <t>Source: GASB 68, paragraph 80i(1)</t>
  </si>
  <si>
    <t>3)</t>
  </si>
  <si>
    <t>Amount of the Employer's Balance of Deferred Outflows of Resources That will be</t>
  </si>
  <si>
    <t>Included as a Reduction of the Net Pension Liability in the Fiscal Year Ended</t>
  </si>
  <si>
    <t>June 30, 2025:</t>
  </si>
  <si>
    <t>Deferred Outflow Amount</t>
  </si>
  <si>
    <t>d25 above</t>
  </si>
  <si>
    <t>Source: GASB 68, paragraph 80i(2)</t>
  </si>
  <si>
    <t>4)</t>
  </si>
  <si>
    <t>Changes in Long-term Liabilities (Worksheet 310)</t>
  </si>
  <si>
    <t>Net Pension</t>
  </si>
  <si>
    <t>Liability</t>
  </si>
  <si>
    <t>Balance July 1, 2023</t>
  </si>
  <si>
    <t>Prior year adjustments</t>
  </si>
  <si>
    <r>
      <t xml:space="preserve">Additions </t>
    </r>
    <r>
      <rPr>
        <i/>
        <sz val="10"/>
        <rFont val="Arial"/>
        <family val="2"/>
      </rPr>
      <t>(see Note 1)</t>
    </r>
  </si>
  <si>
    <r>
      <t>Deletions</t>
    </r>
    <r>
      <rPr>
        <i/>
        <sz val="10"/>
        <rFont val="Arial"/>
        <family val="2"/>
      </rPr>
      <t xml:space="preserve"> </t>
    </r>
  </si>
  <si>
    <t>Balance, June 30, 2024</t>
  </si>
  <si>
    <r>
      <t xml:space="preserve">Due within one year </t>
    </r>
    <r>
      <rPr>
        <i/>
        <sz val="10"/>
        <rFont val="Arial"/>
        <family val="2"/>
      </rPr>
      <t>(see Note 2)</t>
    </r>
  </si>
  <si>
    <r>
      <rPr>
        <i/>
        <u/>
        <sz val="10"/>
        <rFont val="Arial"/>
        <family val="2"/>
      </rPr>
      <t>Note 1</t>
    </r>
    <r>
      <rPr>
        <i/>
        <sz val="10"/>
        <rFont val="Arial"/>
        <family val="2"/>
      </rPr>
      <t>: Employers should disclose the net change amount (instead of both additions and deletions) and reference that more information on the net pension liability is available in the separate note on retirement plans. Since the amount reported is the employer’s proportionate share of the collective net pension liability, additions and deletions are not relevant for this disclosure. The collective net pension liability equals the total pension liability for the pension plan, net of the plan’s fiduciary net position.</t>
    </r>
  </si>
  <si>
    <r>
      <rPr>
        <i/>
        <u/>
        <sz val="10"/>
        <rFont val="Arial"/>
        <family val="2"/>
      </rPr>
      <t>Note 2</t>
    </r>
    <r>
      <rPr>
        <i/>
        <sz val="10"/>
        <rFont val="Arial"/>
        <family val="2"/>
      </rPr>
      <t>: If the employer reports a net pension liability under Statement 68, the amount of the net pension liability that is “due” within one year is the amount of benefit payments expected to be paid within one year, net of the pension plan’s fiduciary net position available to pay that amount. Therefore, there would be no amount that is “due” within one year unless the pension plan’s fiduciary net position is less than the amount of benefit payments expected to be paid within one year. (Comprehensive Implementation Guide, 7.22.6)</t>
    </r>
  </si>
  <si>
    <t>6/30/2023 Deferred Outflows of Resources</t>
  </si>
  <si>
    <t>6/30/2023 Deferred Inflows of Resources</t>
  </si>
  <si>
    <t>Amortization</t>
  </si>
  <si>
    <t>6/30/2022 Deferred Outflows of Resources</t>
  </si>
  <si>
    <t>6/30/2022 Deferred Inflows of Resources</t>
  </si>
  <si>
    <t>Net Deferred Outflow</t>
  </si>
  <si>
    <t>Net Deferred Inflow</t>
  </si>
  <si>
    <t>Net Pension Liability</t>
  </si>
  <si>
    <t>Agency Name</t>
  </si>
  <si>
    <t>Agency Num</t>
  </si>
  <si>
    <t>FY 2022-23 Contributions (DST to Actuary)</t>
  </si>
  <si>
    <t>2023 Allocation Percentage</t>
  </si>
  <si>
    <t>6/30/2023 Net Pension Liability</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</si>
  <si>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</si>
  <si>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</si>
  <si>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</si>
  <si>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</si>
  <si>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</si>
  <si>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</si>
  <si>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</si>
  <si>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Reporting Year 2025</t>
  </si>
  <si>
    <t>Reporting Year 2026</t>
  </si>
  <si>
    <t>Reporting Year 2027</t>
  </si>
  <si>
    <t>Reporting Year 2028</t>
  </si>
  <si>
    <t>Reporting Year 2029</t>
  </si>
  <si>
    <t>NPL Rounding Adjustment</t>
  </si>
  <si>
    <t>Amortization Rounding Adjustment</t>
  </si>
  <si>
    <t>Entity</t>
  </si>
  <si>
    <t>Not Needed</t>
  </si>
  <si>
    <t>6/30/2022 Net Pension Liability</t>
  </si>
  <si>
    <t>Changes of Assumptions</t>
  </si>
  <si>
    <t>APPALACHIAN STATE UNIVERSITY</t>
  </si>
  <si>
    <t>EAST CAROLINA UNIVERSITY</t>
  </si>
  <si>
    <t>ELIZABETH CITY STATE UNIVERSITY</t>
  </si>
  <si>
    <t>N C CENTRAL UNIVERSITY</t>
  </si>
  <si>
    <t>N C SCHOOL OF SCIENCE &amp; MATHEMATICS</t>
  </si>
  <si>
    <t>N C SCHOOL OF THE ARTS</t>
  </si>
  <si>
    <t>N C STATE UNIVERSITY</t>
  </si>
  <si>
    <t>NC A&amp;T UNIVERSITY</t>
  </si>
  <si>
    <t>UNC - PEMBROKE</t>
  </si>
  <si>
    <t>UNC HEALTH CARE SYSTEM</t>
  </si>
  <si>
    <t>UNC-CH CB 1260</t>
  </si>
  <si>
    <t>UNIVERSITY OF NORTH CAROLINA AT ASHEVILLE</t>
  </si>
  <si>
    <t>UNIVERSITY OF NORTH CAROLINA AT CHARLOTTE</t>
  </si>
  <si>
    <t>UNIVERSITY OF NORTH CAROLINA AT GREENSBORO</t>
  </si>
  <si>
    <t>UNIVERSITY OF NORTH CAROLINA AT WILMINGTON</t>
  </si>
  <si>
    <t>WESTERN CAROLINA UNIVERSITY</t>
  </si>
  <si>
    <t>WINSTON-SALEM STATE UNIVERSITY</t>
  </si>
  <si>
    <t>ALAMANCE COMMUNITY COLLEGE</t>
  </si>
  <si>
    <t>ASHEVILLE-BUNCOMBE TECHNICAL COLLEGE</t>
  </si>
  <si>
    <t>BEAUFORT COUNTY COMMUNITY COLLEGE</t>
  </si>
  <si>
    <t>BLADEN COMMUNITY COLLEGE</t>
  </si>
  <si>
    <t>BLUE RIDGE COMMUNITY COLLEGE</t>
  </si>
  <si>
    <t>BRUNSWICK COMMUNITY COLLEGE</t>
  </si>
  <si>
    <t>CALDWELL COMMUNITY COLLEGE</t>
  </si>
  <si>
    <t>CAPE FEAR COMMUNITY COLLEGE</t>
  </si>
  <si>
    <t>CARTERET COMMUNITY COLLEGE</t>
  </si>
  <si>
    <t>CATAWBA VALLEY COMMUNITY COLLEGE</t>
  </si>
  <si>
    <t>CENTRAL CAROLINA COMMUNITY COLLEGE</t>
  </si>
  <si>
    <t>CENTRAL PIEDMONT COMMUNITY COLLEGE</t>
  </si>
  <si>
    <t>CLEVELAND TECHNICAL COLLEGE</t>
  </si>
  <si>
    <t>COASTAL CAROLINA COMMUNITY COLLEGE</t>
  </si>
  <si>
    <t>COLLEGE OF THE ALBEMARLE</t>
  </si>
  <si>
    <t>CRAVEN COMMUNITY COLLEGE</t>
  </si>
  <si>
    <t>DAVIDSON COUNTY COMMUNITY COLLEGE</t>
  </si>
  <si>
    <t>DURHAM TECHNICAL INSTITUTE</t>
  </si>
  <si>
    <t>EDGECOMBE TECHNICAL COLLEGE</t>
  </si>
  <si>
    <t>FAYETTEVILLE TECHNICAL COMMUNITY COLLEGE</t>
  </si>
  <si>
    <t>FORSYTH TECHNICAL INSTITUTE</t>
  </si>
  <si>
    <t>GASTON COLLEGE</t>
  </si>
  <si>
    <t>GUILFORD TECHNICAL COMMUNITY COLLEGE</t>
  </si>
  <si>
    <t>HALIFAX COMMUNITY COLLEGE</t>
  </si>
  <si>
    <t>HAYWOOD TECHNICAL COLLEGE</t>
  </si>
  <si>
    <t>ISOTHERMAL COMMUNITY COLLEGE</t>
  </si>
  <si>
    <t>JAMES SPRUNT TECHNICAL COLLEGE</t>
  </si>
  <si>
    <t>JOHNSTON TECHNICAL COLLEGE</t>
  </si>
  <si>
    <t>LENOIR COUNTY COMMUNITY COLLEGE</t>
  </si>
  <si>
    <t>MARTIN COMMUNITY COLLEGE</t>
  </si>
  <si>
    <t>MAYLAND TECHNICAL COLLEGE</t>
  </si>
  <si>
    <t>MCDOWELL TECHNICAL COLLEGE</t>
  </si>
  <si>
    <t>MITCHELL COMMUNITY COLLEGE</t>
  </si>
  <si>
    <t>MONTGOMERY COMMUNITY COLLEGE</t>
  </si>
  <si>
    <t>NASH TECHNICAL COLLEGE</t>
  </si>
  <si>
    <t>PAMLICO COMMUNITY COLLEGE</t>
  </si>
  <si>
    <t>PIEDMONT COMMUNITY COLLEGE</t>
  </si>
  <si>
    <t>PITT COMMUNITY COLLEGE</t>
  </si>
  <si>
    <t>RANDOLPH COMMUNITY COLLEGE</t>
  </si>
  <si>
    <t>RICHMOND TECHNICAL COLLEGE</t>
  </si>
  <si>
    <t>ROANOKE-CHOWAN COMMUNITY COLLEGE</t>
  </si>
  <si>
    <t>ROBESON COMMUNITY COLLEGE</t>
  </si>
  <si>
    <t>ROCKINGHAM COMMUNITY COLLEGE</t>
  </si>
  <si>
    <t>ROWAN-CABARRUS COMMUNITY COLLEGE</t>
  </si>
  <si>
    <t>SAMPSON COMMUNITY COLLEGE</t>
  </si>
  <si>
    <t>SANDHILLS COMMUNITY COLLEGE</t>
  </si>
  <si>
    <t>SOUTH PIEDMONT COMMUNITY COLLEGE</t>
  </si>
  <si>
    <t>SOUTHEASTERN COMMUNITY COLLEGE</t>
  </si>
  <si>
    <t>SOUTHWESTERN COMMUNITY COLLEGE</t>
  </si>
  <si>
    <t>STANLY COMMUNITY COLLEGE</t>
  </si>
  <si>
    <t>SURRY COMMUNITY COLLEGE</t>
  </si>
  <si>
    <t>TRI-COUNTY COMMUNITY COLLEGE</t>
  </si>
  <si>
    <t>VANCE-GRANVILLE COMMUNITY COLLEGE</t>
  </si>
  <si>
    <t>WAKE TECHNICAL COLLEGE</t>
  </si>
  <si>
    <t>WAYNE COMMUNITY COLLEGE</t>
  </si>
  <si>
    <t>WESTERN PIEDMONT COMM COLLEGE</t>
  </si>
  <si>
    <t>WILKES COMMUNITY COLLEGE</t>
  </si>
  <si>
    <t>WILSON COMMUNITY COLLEGE</t>
  </si>
  <si>
    <t>NC HOUSING FINANCE AGENCY</t>
  </si>
  <si>
    <t>STATE HEALTH PLAN</t>
  </si>
  <si>
    <t>UNC-SO ONLY</t>
  </si>
  <si>
    <t>STATE EDUCATION ASSISTANCE AUTHORITY</t>
  </si>
  <si>
    <t>NC GLOBAL TRANSPARK AUTHORITY</t>
  </si>
  <si>
    <t>NC STATE PORTS AUTHORITY</t>
  </si>
  <si>
    <t>TOTAL UNC SYSTEM</t>
  </si>
  <si>
    <t>TOTAL COMMUNITY COLLEGES</t>
  </si>
  <si>
    <t>TOTAL OTHER COMPONENT UNITS</t>
  </si>
  <si>
    <t>Employer Number</t>
  </si>
  <si>
    <t>Employer Name</t>
  </si>
  <si>
    <t>Present Value Of Future Salary Allocation</t>
  </si>
  <si>
    <t>Total Contributions</t>
  </si>
  <si>
    <t>NORTH CAROLINA EDUCATION LOTTERY</t>
  </si>
  <si>
    <t>DEPARTMENT OF JUSTICE</t>
  </si>
  <si>
    <t>STATE AUDITOR</t>
  </si>
  <si>
    <t>DEPARTMENT OF NATURAL AND CULTURAL RESOURCES</t>
  </si>
  <si>
    <t>ADMINISTRATIVE OFFICE OF THE COURTS</t>
  </si>
  <si>
    <t>OFFICE OF ADMINISTRATIVE HEARING</t>
  </si>
  <si>
    <t>DEPARTMENT OF ADMINISTRATION</t>
  </si>
  <si>
    <t>OFFICE OF STATE BUDGET &amp; MANAGEMENT</t>
  </si>
  <si>
    <t>INFORMATION TECHNOLOGY SERVICES</t>
  </si>
  <si>
    <t>OFFICE OF STATE CONTROLLER</t>
  </si>
  <si>
    <t>NC DEPARTMENT OF MILITARY &amp; VETERANS AFFAIRS</t>
  </si>
  <si>
    <t>NC DEPT OF ENVIRONMENTAL QUALITY</t>
  </si>
  <si>
    <t>WILDLIFE RESOURCES COMMISSION</t>
  </si>
  <si>
    <t>STATE BOARD OF ELECTIONS</t>
  </si>
  <si>
    <t>GOVERNOR'S OFFICE</t>
  </si>
  <si>
    <t>LT GOVERNOR'S OFFICE</t>
  </si>
  <si>
    <t>GENERAL ASSEMBLY</t>
  </si>
  <si>
    <t>HEALTH AND HUMAN SVCS</t>
  </si>
  <si>
    <t>DEPARTMENT OF COMMERCE</t>
  </si>
  <si>
    <t>INSURANCE DEPARTMENT</t>
  </si>
  <si>
    <t>LABOR DEPARTMENT</t>
  </si>
  <si>
    <t>REVENUE DEPARTMENT</t>
  </si>
  <si>
    <t>SECRETARY OF STATE</t>
  </si>
  <si>
    <t>STATE TREASURER</t>
  </si>
  <si>
    <t xml:space="preserve">STATE HEALTH PLAN </t>
  </si>
  <si>
    <t>DEPT OF AGRICULTURE &amp; CONSUMER SVCS.</t>
  </si>
  <si>
    <t>BARBER EXAMINERS, STATE BOARD OF</t>
  </si>
  <si>
    <t>NORTH CAROLINA BOARD OF OPTICIANS</t>
  </si>
  <si>
    <t>N C AUCTIONEERS LICENSING BOARD</t>
  </si>
  <si>
    <t>NC BRD OF EXAMINERS OF PRACTICING PSYCOLOGISTS</t>
  </si>
  <si>
    <t>COMMUNITY COLLEGES ADMINISTRATION</t>
  </si>
  <si>
    <t>DEPARTMENT OF PUBLIC SAFETY</t>
  </si>
  <si>
    <t>UNC-CHAPEL HILL CB1260</t>
  </si>
  <si>
    <t>UNC-SYSTEM OFFICE</t>
  </si>
  <si>
    <t>SEAA</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</si>
  <si>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</si>
  <si>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</si>
  <si>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</si>
  <si>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</si>
  <si>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</si>
  <si>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</si>
  <si>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</si>
  <si>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</si>
  <si>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</si>
  <si>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</si>
  <si>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</si>
  <si>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</si>
  <si>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</si>
  <si>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</si>
  <si>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</si>
  <si>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</si>
  <si>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</si>
  <si>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F DELANY NEW SCHOOL FOR CHILDREN</t>
  </si>
  <si>
    <t>EVERGREEN COMMUNITY CHARTER SCHOOL</t>
  </si>
  <si>
    <t>ASHEVILLE CITY SCHOOLS</t>
  </si>
  <si>
    <t>BURKE COUNTY SCHOOLS</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</si>
  <si>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</si>
  <si>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</si>
  <si>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</si>
  <si>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</si>
  <si>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</si>
  <si>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</si>
  <si>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</si>
  <si>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</si>
  <si>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</si>
  <si>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</si>
  <si>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</si>
  <si>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</si>
  <si>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</si>
  <si>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</si>
  <si>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</si>
  <si>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CLEVELAND COMMUNITY COLLEGE</t>
  </si>
  <si>
    <t>COLUMBUS COUNTY SCHOOLS</t>
  </si>
  <si>
    <t>WHITEVILLE CITY SCHOOLS</t>
  </si>
  <si>
    <t>NEW BERN CRAVEN COUNTY BOARD OF EDUCATION</t>
  </si>
  <si>
    <t>CUMBERLAND COUNTY SCHOOLS</t>
  </si>
  <si>
    <t>CURRITUCK COUNTY SCHOOLS</t>
  </si>
  <si>
    <t>DARE COUNTY SCHOOLS</t>
  </si>
  <si>
    <t>DAVIDSON COUNTY SCHOOLS</t>
  </si>
  <si>
    <t>INVEST COLLEGIATE CHARTER (DAVIDSON)</t>
  </si>
  <si>
    <t>DISCOVERY CHARTER</t>
  </si>
  <si>
    <t>DAVIDSON-DAVIE COMMUNITY COLLEGE</t>
  </si>
  <si>
    <t>LEXINGTON CITY SCHOOLS</t>
  </si>
  <si>
    <t>ALAMANCE COMMUNITY SCHOOL</t>
  </si>
  <si>
    <t>THOMASVILLE CITY SCHOOLS</t>
  </si>
  <si>
    <t>DAVIE COUNTY SCHOOLS</t>
  </si>
  <si>
    <t>N.E. REGIONAL SCHOOL FOR BIOTECHNOLOGY</t>
  </si>
  <si>
    <t>CORNERSTONE ACADEMY</t>
  </si>
  <si>
    <t>DUPLIN COUNTY SCHOOLS</t>
  </si>
  <si>
    <t>DURHAM PUBLIC SCHOOLS</t>
  </si>
  <si>
    <t>CENTRAL PARK SCH FOR CHILDREN</t>
  </si>
  <si>
    <t>HEALTHY START ACADEMY</t>
  </si>
  <si>
    <t>VOYAGER ACADEMY</t>
  </si>
  <si>
    <t>BEAR GRASS CHARTER SCHOOL</t>
  </si>
  <si>
    <t>INVEST COLLEGIATE CHARTER (BUNCOMBE)</t>
  </si>
  <si>
    <t>EDGECOMBE COUNTY SCHOOLS</t>
  </si>
  <si>
    <t>WINSTON-SALEM-FORSYTH COUNTY SCHOOLS</t>
  </si>
  <si>
    <t>ARTS BASED ELEMENTARY CHARTER</t>
  </si>
  <si>
    <t>FORSYTH TECHNICAL COMMUNIITY COLLEGE</t>
  </si>
  <si>
    <t>FRANKLIN COUNTY SCHOOLS</t>
  </si>
  <si>
    <t>A CHILDS GARDEN CHARTER (AKA CROSS CREEK CHARTER)</t>
  </si>
  <si>
    <t>GASTON COUNTY SCHOOLS</t>
  </si>
  <si>
    <t>GATES COUNTY SCHOOLS</t>
  </si>
  <si>
    <t>GRAHAM COUNTY SCHOOLS</t>
  </si>
  <si>
    <t>GRANVILLE COUNTY PUBLIC SCHOOLS</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</si>
  <si>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</si>
  <si>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</si>
  <si>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</si>
  <si>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</si>
  <si>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</si>
  <si>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</si>
  <si>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</si>
  <si>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</si>
  <si>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</si>
  <si>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</si>
  <si>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</si>
  <si>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</si>
  <si>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IREDELL-STATESVILLE SCHOOLS</t>
  </si>
  <si>
    <t>AMERICAN RENAISSANCE MID SCHOOL</t>
  </si>
  <si>
    <t>SUCCESS INSTITUTE</t>
  </si>
  <si>
    <t>MOORESVILLE CITY SCHOOLS</t>
  </si>
  <si>
    <t>JACKSON COUNTY SCHOOLS</t>
  </si>
  <si>
    <t>JOHNSTON COUNTY SCHOOLS</t>
  </si>
  <si>
    <t>NEUSE CHARTER SCHOOL</t>
  </si>
  <si>
    <t>JONES COUNTY SCHOOLS</t>
  </si>
  <si>
    <t>LEE COUNTY BOARD OF EDUCATION</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</si>
  <si>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</si>
  <si>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</si>
  <si>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</si>
  <si>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</si>
  <si>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</si>
  <si>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</si>
  <si>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</si>
  <si>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</si>
  <si>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SCHOOL OF DAVIDSON</t>
  </si>
  <si>
    <t>CORVIAN COMMUNITY CHARTER SCHOOL</t>
  </si>
  <si>
    <t>LAKE NORMAN CHARTER SCHOOL</t>
  </si>
  <si>
    <t>SOCRATES ACADEMY</t>
  </si>
  <si>
    <t>PINE LAKE PREP CHARTER</t>
  </si>
  <si>
    <t>CHARLOTTE SECONDARY CHARTER</t>
  </si>
  <si>
    <t>MITCHELL COUNTY SCHOOLS</t>
  </si>
  <si>
    <t>MONTGOMERY COUNTY SCHOOLS</t>
  </si>
  <si>
    <t>MOORE COUNTY SCHOOLS</t>
  </si>
  <si>
    <t>ACADEMY OF MOORE COUNTY</t>
  </si>
  <si>
    <t>STARS CHARTER SCHOOL</t>
  </si>
  <si>
    <t>THE NORTH CAROLINA LEADERSHIP ACADEMY</t>
  </si>
  <si>
    <t>NASH COUNTY PUBLIC SCHOOLS</t>
  </si>
  <si>
    <t>NASH COMMUNITY COLLEGE</t>
  </si>
  <si>
    <t>NEW HANOVER COUNTY SCHOOLS</t>
  </si>
  <si>
    <t>CAPE FEAR CTR FOR INQUIRY</t>
  </si>
  <si>
    <t>WILMINGTON PREP ACADEMY</t>
  </si>
  <si>
    <t>NORTHAMPTON COUNTY SCHOOLS</t>
  </si>
  <si>
    <t>ONSLOW COUNTY SCHOOLS</t>
  </si>
  <si>
    <t>ZECA SCHOOL OF THE ARTS AND TECHNOLOGY</t>
  </si>
  <si>
    <t>ORANGE COUNTY SCHOOLS</t>
  </si>
  <si>
    <t>ORANGE CHARTER SCHOOL</t>
  </si>
  <si>
    <t>CHAPEL HILL - CARRBORO CITY SCHOOLS</t>
  </si>
  <si>
    <t>PAMLICO COUNTY SCHOOLS</t>
  </si>
  <si>
    <t>ARAPAHOE CHARTER SCHOOL</t>
  </si>
  <si>
    <t>ELIZABETH CITY AND PASQUOTANK COUNTY SCHOOLS</t>
  </si>
  <si>
    <t>N.E. ACADEMY OF AEROSPACE &amp; ADV.TECH</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</si>
  <si>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</si>
  <si>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</si>
  <si>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</si>
  <si>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</si>
  <si>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</si>
  <si>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</si>
  <si>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</si>
  <si>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</si>
  <si>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</si>
  <si>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</si>
  <si>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</si>
  <si>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</si>
  <si>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</si>
  <si>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</si>
  <si>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</si>
  <si>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</si>
  <si>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</si>
  <si>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</si>
  <si>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</si>
  <si>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</si>
  <si>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</si>
  <si>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</si>
  <si>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</si>
  <si>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MILLENNIUM CHARTER ACADEMY</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</si>
  <si>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</si>
  <si>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</si>
  <si>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</si>
  <si>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</si>
  <si>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</si>
  <si>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</si>
  <si>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</si>
  <si>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</si>
  <si>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</si>
  <si>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</si>
  <si>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WAKE COUNTY PUBLIC SCHOOLS SYSTEM</t>
  </si>
  <si>
    <t>ENDEAVOR CHARTER SCHOOL</t>
  </si>
  <si>
    <t>SOUTHERN WAKE ACADEMY</t>
  </si>
  <si>
    <t>EAST WAKE FIRST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</si>
  <si>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</si>
  <si>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</si>
  <si>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</si>
  <si>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</si>
  <si>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</si>
  <si>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</si>
  <si>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</si>
  <si>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 SCHOOL</t>
  </si>
  <si>
    <t>WAYNE COUNTY SCHOOLS</t>
  </si>
  <si>
    <t>WILKES COUNTY SCHOOLS</t>
  </si>
  <si>
    <t>PINNACLE CLASSICAL ACADEMY</t>
  </si>
  <si>
    <t>WILSON COUNTY SCHOOLS</t>
  </si>
  <si>
    <t>YADKIN COUNTY SCHOOLS</t>
  </si>
  <si>
    <t>HIGHWAY - ADMINISTRATIVE</t>
  </si>
  <si>
    <t>GLOBAL TRANSPARK</t>
  </si>
  <si>
    <t>PORTS AUTHORITY</t>
  </si>
  <si>
    <t>TOTALS</t>
  </si>
  <si>
    <t>Deferred Outflows Of Resources</t>
  </si>
  <si>
    <t>Deferred Inflows Of Resources</t>
  </si>
  <si>
    <t>Employer</t>
  </si>
  <si>
    <t>OFFICE OF STATE AUDITOR</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</si>
  <si>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</si>
  <si>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</si>
  <si>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</si>
  <si>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</si>
  <si>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</si>
  <si>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</si>
  <si>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</si>
  <si>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</si>
  <si>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</si>
  <si>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</si>
  <si>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</si>
  <si>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</si>
  <si>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</si>
  <si>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</si>
  <si>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</si>
  <si>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</si>
  <si>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</si>
  <si>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AUCTIONEERS LICENSING BOARD</t>
  </si>
  <si>
    <t>COMMUNITY COLLEGE SYSTEM OFFICE</t>
  </si>
  <si>
    <t>NORTH CAROLINA SCHOOL OF THE ARTS</t>
  </si>
  <si>
    <t>NORTH CAROLINA A&amp;T UNIVERSITY</t>
  </si>
  <si>
    <t>NORTH CAROLINA CENTRAL UNIVERSITY</t>
  </si>
  <si>
    <t>UNIVERSITY OF NORTH CAROLINA AT PEMBROKE</t>
  </si>
  <si>
    <t>NC STATE UNIVERSITY</t>
  </si>
  <si>
    <t>GRANDFATHER ACADEMY</t>
  </si>
  <si>
    <t>FRANCINE DELANY NEW SCHOOL FOR CHILDREN</t>
  </si>
  <si>
    <t>WESTERN PIEDMONT COMMUNITY COLLEGE</t>
  </si>
  <si>
    <t>ALAMANCE COMMUNITY SCHOOLS</t>
  </si>
  <si>
    <t>NORTHEAST REGIONAL SCHOOL FOR BIOTECHNOLOGY</t>
  </si>
  <si>
    <t>CENTRAL PARK SCHOOL FOR CHILDREN</t>
  </si>
  <si>
    <t>PIONEER SPRINGS COMMUNITY CHARTER</t>
  </si>
  <si>
    <t>AMERICAN RENAISSANCE MIDDLE SCHOOL</t>
  </si>
  <si>
    <t>KIPP CHARLOTTE CHARTER</t>
  </si>
  <si>
    <t>CAPE FEAR CENTER FOR INQUIRY</t>
  </si>
  <si>
    <t>GASTON COLLEGE PREPARATORY CHARTER</t>
  </si>
  <si>
    <t>N.E. ACADEMY OF AEROSPACE &amp; ADVANCED TECHNOLOGY</t>
  </si>
  <si>
    <t>BRIDGES CHARTER SCHOOLS</t>
  </si>
  <si>
    <t>MOUNTAIN DISCOVERY CHARTER</t>
  </si>
  <si>
    <t>TWO RIVERS COMMUNITY SCHOOL</t>
  </si>
  <si>
    <t>Reporting year 2025</t>
  </si>
  <si>
    <t>Reporting year 2026</t>
  </si>
  <si>
    <t>Reporting year 2027</t>
  </si>
  <si>
    <t>Reporting year 2028</t>
  </si>
  <si>
    <t>TOTAL Recognition of Deferred (Inflows)/Outflows</t>
  </si>
  <si>
    <t>DEPARTMENT OF CULTURAL RESOURCES</t>
  </si>
  <si>
    <t>ENVIRONMENT AND NATURAL RESOURCES</t>
  </si>
  <si>
    <t>HEALTH &amp; HUMAN SVCS</t>
  </si>
  <si>
    <t>STATE TREASURER (w/o State Health Plan)</t>
  </si>
  <si>
    <t>STATE TREASURER (State Health Plan Only)</t>
  </si>
  <si>
    <t>DEPARTMENT OF AGRICULTURE</t>
  </si>
  <si>
    <t>N C STATE BOARD OF EXAMINERS OF PRACTICING PSYCHOL</t>
  </si>
  <si>
    <t>UNC-GENERAL ADMINISTRATION (w/o SEAA)</t>
  </si>
  <si>
    <t>UNC-GENERAL ADMINISTRATION (SEAA Only)</t>
  </si>
  <si>
    <t>NEW BERN/CRAVEN COUNTY BOARD OF EDUCATION</t>
  </si>
  <si>
    <t>INVEST COLLEGIATE CHARTER SCHOOL</t>
  </si>
  <si>
    <t>GRANVILLE COUNTY SCHOOLS AND OXFORD ORPHANAGE</t>
  </si>
  <si>
    <t>IREDELL COUNTY SCHOOLS</t>
  </si>
  <si>
    <t>AMERICAN RENAISSANCE MIDDLE SCH</t>
  </si>
  <si>
    <t>SANFORD-LEE COUNTY BOARD OF EDUCATION</t>
  </si>
  <si>
    <t>COMMUNITY CHARTER SCHOOL</t>
  </si>
  <si>
    <t>CORVIAN COMMUNITY SCHOOL</t>
  </si>
  <si>
    <t>FERNLEAF COMMUNITY CHARTER</t>
  </si>
  <si>
    <t>NASH-ROCKY MOUNT SCHOOLS</t>
  </si>
  <si>
    <t>CHAPEL HILL - CARBORO CITY SCHOOLS</t>
  </si>
  <si>
    <t>WAKE COUNTY SCHOOLS</t>
  </si>
  <si>
    <t>EAST WAKE ACADEMY</t>
  </si>
  <si>
    <t>HIGHWAY - ADMINISTRATIVE (w/o Global Transpark or Ports Authority)</t>
  </si>
  <si>
    <t>HIGHWAY - ADMINISTRATIVE (Global Transpark Only)</t>
  </si>
  <si>
    <t>HIGHWAY - ADMINISTRATIVE (Ports Authority Only)</t>
  </si>
  <si>
    <t>DEPARTMENT OF ADULT CORRECTIONS</t>
  </si>
  <si>
    <t>has own allocation</t>
  </si>
  <si>
    <t>dst</t>
  </si>
  <si>
    <t>shp</t>
  </si>
  <si>
    <t>total</t>
  </si>
  <si>
    <t>UNIVERSITY OF NORTH CAROLINA  AT GREENSBORO</t>
  </si>
  <si>
    <t>unc</t>
  </si>
  <si>
    <t>seaa</t>
  </si>
  <si>
    <t>highway</t>
  </si>
  <si>
    <t>ports</t>
  </si>
  <si>
    <t>glb trnsrk</t>
  </si>
  <si>
    <t>Non 2023 Participation</t>
  </si>
  <si>
    <t xml:space="preserve">NC STATE BOARD OF EXAMINERS OF PRACTICING PSYCHOLOGISTS  </t>
  </si>
  <si>
    <t>DEPARTMENT OF ADULT CORRECTION</t>
  </si>
  <si>
    <t>GRANVILLE COUNTY SCHOOLS</t>
  </si>
  <si>
    <t xml:space="preserve">by 17.64% (the 2023-24 employer contribution rate for TSERS)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</si>
</sst>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_(* #,##0_);_(* \(#,##0\);_(* &quot;-&quot;????_);_(@_)"/>
    <numFmt numFmtId="173" formatCode="_(&quot;$&quot;* #,##0_);_(&quot;$&quot;* \(#,##0\);_(&quot;$&quot;* &quot;-&quot;??_);_(@_)"/>
    <numFmt numFmtId="174" formatCode="&quot;$&quot;#,##0.0"/>
  </numFmts>
  <fonts count="49">
    <font>
      <sz val="10"/>
      <name val="Arial"/>
    </font>
    <font>
      <sz val="11"/>
      <color theme="1"/>
      <name val="Calibri"/>
      <family val="2"/>
      <scheme val="minor"/>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sz val="11"/>
      <name val="Calibri"/>
      <family val="2"/>
      <scheme val="minor"/>
    </font>
    <font>
      <sz val="10"/>
      <color theme="1"/>
      <name val="Arial"/>
      <family val="2"/>
    </font>
    <font>
      <b/>
      <sz val="10"/>
      <color theme="1"/>
      <name val="Arial"/>
      <family val="2"/>
    </font>
    <font>
      <sz val="11"/>
      <name val="Arial"/>
      <family val="2"/>
    </font>
    <font>
      <sz val="10"/>
      <name val="Arial"/>
      <family val="2"/>
    </font>
    <font>
      <sz val="11"/>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7FFD8"/>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9"/>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bottom>
      <diagonal/>
    </border>
  </borders>
  <cellStyleXfs count="12">
    <xf numFmtId="0" fontId="0" fillId="0" borderId="0"/>
    <xf numFmtId="0" fontId="12" fillId="0" borderId="0"/>
    <xf numFmtId="43" fontId="23" fillId="0" borderId="0" applyFont="0" applyFill="0" applyBorder="0" applyAlignment="0" applyProtection="0"/>
    <xf numFmtId="9" fontId="23" fillId="0" borderId="0" applyFont="0" applyFill="0" applyBorder="0" applyAlignment="0" applyProtection="0"/>
    <xf numFmtId="0" fontId="34" fillId="0" borderId="0" applyNumberFormat="0" applyFill="0" applyBorder="0" applyAlignment="0" applyProtection="0"/>
    <xf numFmtId="43" fontId="2" fillId="0" borderId="0" applyFont="0" applyFill="0" applyBorder="0" applyAlignment="0" applyProtection="0"/>
    <xf numFmtId="39" fontId="15" fillId="0" borderId="0"/>
    <xf numFmtId="9" fontId="2" fillId="0" borderId="0" applyFont="0" applyFill="0" applyBorder="0" applyAlignment="0" applyProtection="0"/>
    <xf numFmtId="0" fontId="2" fillId="0" borderId="0"/>
    <xf numFmtId="39" fontId="15" fillId="0" borderId="0"/>
    <xf numFmtId="0" fontId="1" fillId="0" borderId="0"/>
    <xf numFmtId="44" fontId="47" fillId="0" borderId="0" applyFont="0" applyFill="0" applyBorder="0" applyAlignment="0" applyProtection="0"/>
  </cellStyleXfs>
  <cellXfs count="277">
    <xf numFmtId="0" fontId="0" fillId="0" borderId="0" xfId="0"/>
    <xf numFmtId="0" fontId="13" fillId="0" borderId="0" xfId="0" applyFont="1"/>
    <xf numFmtId="0" fontId="15" fillId="0" borderId="0" xfId="0" applyFont="1"/>
    <xf numFmtId="166" fontId="13" fillId="0" borderId="0" xfId="0" applyNumberFormat="1" applyFont="1" applyAlignment="1">
      <alignment horizontal="center"/>
    </xf>
    <xf numFmtId="37" fontId="0" fillId="0" borderId="0" xfId="0" applyNumberFormat="1"/>
    <xf numFmtId="170" fontId="0" fillId="0" borderId="0" xfId="0" applyNumberFormat="1"/>
    <xf numFmtId="3" fontId="0" fillId="0" borderId="0" xfId="0" applyNumberFormat="1"/>
    <xf numFmtId="0" fontId="15" fillId="0" borderId="3" xfId="0" applyFont="1" applyBorder="1" applyAlignment="1">
      <alignment horizontal="center" wrapText="1"/>
    </xf>
    <xf numFmtId="0" fontId="0" fillId="0" borderId="3" xfId="0" applyBorder="1" applyAlignment="1">
      <alignment horizontal="center" wrapText="1"/>
    </xf>
    <xf numFmtId="0" fontId="15" fillId="0" borderId="3" xfId="0" quotePrefix="1" applyFont="1" applyBorder="1" applyAlignment="1">
      <alignment horizontal="center" wrapText="1"/>
    </xf>
    <xf numFmtId="0" fontId="0" fillId="0" borderId="3" xfId="0" applyBorder="1" applyAlignment="1">
      <alignment horizontal="center"/>
    </xf>
    <xf numFmtId="0" fontId="15" fillId="0" borderId="3" xfId="0" applyFont="1" applyBorder="1" applyAlignment="1">
      <alignment horizontal="center"/>
    </xf>
    <xf numFmtId="168" fontId="0" fillId="0" borderId="0" xfId="0" applyNumberFormat="1"/>
    <xf numFmtId="169" fontId="0" fillId="0" borderId="0" xfId="0" applyNumberFormat="1"/>
    <xf numFmtId="0" fontId="6" fillId="3" borderId="0" xfId="0" applyFont="1" applyFill="1" applyAlignment="1">
      <alignment horizontal="center"/>
    </xf>
    <xf numFmtId="0" fontId="0" fillId="4" borderId="0" xfId="0" applyFill="1"/>
    <xf numFmtId="0" fontId="4" fillId="4" borderId="0" xfId="0" applyFont="1" applyFill="1" applyAlignment="1">
      <alignment horizontal="center"/>
    </xf>
    <xf numFmtId="0" fontId="5" fillId="4" borderId="0" xfId="0" applyFont="1" applyFill="1" applyAlignment="1">
      <alignment horizontal="center"/>
    </xf>
    <xf numFmtId="0" fontId="6" fillId="4" borderId="0" xfId="0" applyFont="1" applyFill="1" applyAlignment="1">
      <alignment horizontal="center"/>
    </xf>
    <xf numFmtId="0" fontId="7" fillId="4" borderId="0" xfId="0" applyFont="1" applyFill="1" applyAlignment="1">
      <alignment horizontal="center"/>
    </xf>
    <xf numFmtId="0" fontId="11" fillId="4" borderId="0" xfId="1" applyFont="1" applyFill="1" applyAlignment="1">
      <alignment horizontal="left"/>
    </xf>
    <xf numFmtId="0" fontId="11" fillId="4" borderId="0" xfId="1" applyFont="1" applyFill="1"/>
    <xf numFmtId="0" fontId="0" fillId="4" borderId="0" xfId="0" applyFill="1" applyAlignment="1">
      <alignment wrapText="1"/>
    </xf>
    <xf numFmtId="0" fontId="11" fillId="4" borderId="0" xfId="1" applyFont="1" applyFill="1" applyAlignment="1">
      <alignment horizontal="left" wrapText="1"/>
    </xf>
    <xf numFmtId="0" fontId="11" fillId="4" borderId="0" xfId="1" applyFont="1" applyFill="1" applyAlignment="1">
      <alignment wrapText="1"/>
    </xf>
    <xf numFmtId="0" fontId="8" fillId="4" borderId="0" xfId="0" applyFont="1" applyFill="1" applyAlignment="1">
      <alignment horizontal="center"/>
    </xf>
    <xf numFmtId="0" fontId="0" fillId="2" borderId="0" xfId="0" applyFill="1"/>
    <xf numFmtId="0" fontId="4" fillId="2" borderId="0" xfId="0" applyFont="1" applyFill="1" applyAlignment="1">
      <alignment horizontal="center"/>
    </xf>
    <xf numFmtId="164" fontId="4" fillId="2" borderId="0" xfId="0" applyNumberFormat="1" applyFont="1" applyFill="1" applyAlignment="1">
      <alignment horizontal="center"/>
    </xf>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7" fillId="2" borderId="0" xfId="0" applyFont="1" applyFill="1" applyAlignment="1">
      <alignment horizontal="center"/>
    </xf>
    <xf numFmtId="0" fontId="17" fillId="2" borderId="0" xfId="0" applyFont="1" applyFill="1" applyAlignment="1">
      <alignment horizontal="center"/>
    </xf>
    <xf numFmtId="165" fontId="18" fillId="2" borderId="0" xfId="0" applyNumberFormat="1" applyFont="1" applyFill="1" applyAlignment="1">
      <alignment horizontal="center"/>
    </xf>
    <xf numFmtId="167" fontId="5" fillId="2" borderId="0" xfId="0" applyNumberFormat="1" applyFont="1" applyFill="1"/>
    <xf numFmtId="0" fontId="5" fillId="2" borderId="0" xfId="0" applyFont="1" applyFill="1" applyAlignment="1">
      <alignment horizontal="left" indent="2"/>
    </xf>
    <xf numFmtId="0" fontId="7" fillId="2" borderId="0" xfId="0" applyFont="1" applyFill="1"/>
    <xf numFmtId="167" fontId="7" fillId="2" borderId="0" xfId="0" applyNumberFormat="1" applyFont="1" applyFill="1" applyAlignment="1">
      <alignment horizontal="center"/>
    </xf>
    <xf numFmtId="0" fontId="15" fillId="2" borderId="0" xfId="0" applyFont="1" applyFill="1"/>
    <xf numFmtId="0" fontId="16" fillId="2" borderId="0" xfId="0" applyFont="1" applyFill="1" applyAlignment="1">
      <alignment horizontal="center"/>
    </xf>
    <xf numFmtId="167" fontId="5" fillId="2" borderId="0" xfId="0" applyNumberFormat="1" applyFont="1" applyFill="1" applyProtection="1">
      <protection locked="0"/>
    </xf>
    <xf numFmtId="167" fontId="5" fillId="2" borderId="1" xfId="0" applyNumberFormat="1" applyFont="1" applyFill="1" applyBorder="1"/>
    <xf numFmtId="168" fontId="15" fillId="2" borderId="0" xfId="0" applyNumberFormat="1" applyFont="1" applyFill="1"/>
    <xf numFmtId="169" fontId="15" fillId="2" borderId="0" xfId="0" applyNumberFormat="1" applyFont="1" applyFill="1"/>
    <xf numFmtId="170" fontId="25" fillId="0" borderId="0" xfId="3" applyNumberFormat="1" applyFont="1" applyFill="1" applyBorder="1" applyAlignment="1">
      <alignment horizontal="center" wrapText="1"/>
    </xf>
    <xf numFmtId="0" fontId="26" fillId="0" borderId="0" xfId="0" applyFont="1" applyAlignment="1">
      <alignment horizontal="center" wrapText="1"/>
    </xf>
    <xf numFmtId="169" fontId="15" fillId="4" borderId="0" xfId="0" applyNumberFormat="1" applyFont="1" applyFill="1"/>
    <xf numFmtId="0" fontId="28" fillId="2" borderId="0" xfId="0" applyFont="1" applyFill="1" applyAlignment="1">
      <alignment horizontal="center"/>
    </xf>
    <xf numFmtId="42" fontId="0" fillId="4" borderId="0" xfId="0" applyNumberFormat="1" applyFill="1"/>
    <xf numFmtId="0" fontId="13" fillId="4" borderId="0" xfId="0" applyFont="1" applyFill="1"/>
    <xf numFmtId="0" fontId="13" fillId="4" borderId="0" xfId="0" quotePrefix="1" applyFont="1" applyFill="1"/>
    <xf numFmtId="0" fontId="32" fillId="4" borderId="0" xfId="0" applyFont="1" applyFill="1"/>
    <xf numFmtId="0" fontId="32" fillId="4" borderId="0" xfId="0" applyFont="1" applyFill="1" applyAlignment="1">
      <alignment horizontal="center"/>
    </xf>
    <xf numFmtId="0" fontId="13" fillId="4" borderId="0" xfId="0" applyFont="1" applyFill="1" applyAlignment="1">
      <alignment horizontal="left"/>
    </xf>
    <xf numFmtId="0" fontId="31" fillId="4" borderId="0" xfId="0" applyFont="1" applyFill="1" applyAlignment="1">
      <alignment horizontal="left" indent="3"/>
    </xf>
    <xf numFmtId="0" fontId="30" fillId="4" borderId="0" xfId="0" applyFont="1" applyFill="1" applyAlignment="1">
      <alignment horizontal="left" indent="4"/>
    </xf>
    <xf numFmtId="165" fontId="18" fillId="4" borderId="0" xfId="0" applyNumberFormat="1" applyFont="1" applyFill="1" applyAlignment="1">
      <alignment horizontal="center"/>
    </xf>
    <xf numFmtId="0" fontId="9" fillId="4" borderId="0" xfId="0" applyFont="1" applyFill="1"/>
    <xf numFmtId="166" fontId="5" fillId="4" borderId="0" xfId="0" applyNumberFormat="1" applyFont="1" applyFill="1"/>
    <xf numFmtId="0" fontId="5" fillId="4" borderId="0" xfId="0" applyFont="1" applyFill="1" applyAlignment="1">
      <alignment horizontal="center" vertical="top"/>
    </xf>
    <xf numFmtId="0" fontId="5" fillId="4" borderId="0" xfId="0" applyFont="1" applyFill="1"/>
    <xf numFmtId="0" fontId="5" fillId="4" borderId="0" xfId="0" applyFont="1" applyFill="1" applyAlignment="1">
      <alignment horizontal="left" vertical="top"/>
    </xf>
    <xf numFmtId="0" fontId="5" fillId="4" borderId="0" xfId="0" applyFont="1" applyFill="1" applyAlignment="1">
      <alignment vertical="top"/>
    </xf>
    <xf numFmtId="49" fontId="5" fillId="4" borderId="0" xfId="0" quotePrefix="1" applyNumberFormat="1" applyFont="1" applyFill="1" applyAlignment="1">
      <alignment horizontal="center" vertical="top"/>
    </xf>
    <xf numFmtId="0" fontId="13" fillId="2" borderId="0" xfId="0" quotePrefix="1" applyFont="1" applyFill="1" applyAlignment="1">
      <alignment horizontal="center"/>
    </xf>
    <xf numFmtId="0" fontId="13" fillId="2" borderId="3" xfId="0" quotePrefix="1" applyFont="1" applyFill="1" applyBorder="1" applyAlignment="1">
      <alignment horizontal="center"/>
    </xf>
    <xf numFmtId="169" fontId="15" fillId="2" borderId="3" xfId="0" applyNumberFormat="1" applyFont="1" applyFill="1" applyBorder="1"/>
    <xf numFmtId="168" fontId="15" fillId="2" borderId="2" xfId="0" applyNumberFormat="1" applyFont="1" applyFill="1" applyBorder="1"/>
    <xf numFmtId="0" fontId="13" fillId="4" borderId="0" xfId="0" applyFont="1" applyFill="1" applyAlignment="1">
      <alignment horizontal="center"/>
    </xf>
    <xf numFmtId="166" fontId="13" fillId="4" borderId="3" xfId="0" applyNumberFormat="1" applyFont="1" applyFill="1" applyBorder="1" applyAlignment="1">
      <alignment horizontal="center"/>
    </xf>
    <xf numFmtId="166" fontId="19" fillId="4" borderId="0" xfId="0" applyNumberFormat="1" applyFont="1" applyFill="1" applyAlignment="1">
      <alignment horizontal="center"/>
    </xf>
    <xf numFmtId="166" fontId="13" fillId="4" borderId="0" xfId="0" applyNumberFormat="1" applyFont="1" applyFill="1" applyAlignment="1">
      <alignment horizontal="center"/>
    </xf>
    <xf numFmtId="0" fontId="15" fillId="4" borderId="0" xfId="1" applyFont="1" applyFill="1"/>
    <xf numFmtId="1" fontId="15" fillId="4" borderId="0" xfId="0" applyNumberFormat="1" applyFont="1" applyFill="1" applyAlignment="1">
      <alignment horizontal="center"/>
    </xf>
    <xf numFmtId="168" fontId="15" fillId="4" borderId="0" xfId="0" applyNumberFormat="1" applyFont="1" applyFill="1"/>
    <xf numFmtId="167" fontId="15" fillId="4" borderId="0" xfId="0" applyNumberFormat="1" applyFont="1" applyFill="1"/>
    <xf numFmtId="169" fontId="15" fillId="4" borderId="3" xfId="0" applyNumberFormat="1" applyFont="1" applyFill="1" applyBorder="1"/>
    <xf numFmtId="0" fontId="15" fillId="4" borderId="0" xfId="1" applyFont="1" applyFill="1" applyAlignment="1">
      <alignment horizontal="left" indent="1"/>
    </xf>
    <xf numFmtId="0" fontId="15" fillId="4" borderId="0" xfId="0" applyFont="1" applyFill="1" applyAlignment="1">
      <alignment horizontal="center"/>
    </xf>
    <xf numFmtId="168" fontId="15" fillId="4" borderId="2" xfId="0" applyNumberFormat="1" applyFont="1" applyFill="1" applyBorder="1"/>
    <xf numFmtId="0" fontId="33" fillId="4" borderId="0" xfId="0" applyFont="1" applyFill="1"/>
    <xf numFmtId="0" fontId="22" fillId="4" borderId="12" xfId="0" applyFont="1" applyFill="1" applyBorder="1" applyAlignment="1" applyProtection="1">
      <alignment horizontal="center"/>
      <protection locked="0"/>
    </xf>
    <xf numFmtId="168" fontId="0" fillId="0" borderId="2" xfId="0" applyNumberFormat="1" applyBorder="1"/>
    <xf numFmtId="0" fontId="15" fillId="4" borderId="0" xfId="0" applyFont="1" applyFill="1"/>
    <xf numFmtId="0" fontId="15" fillId="4" borderId="5" xfId="0" applyFont="1" applyFill="1" applyBorder="1"/>
    <xf numFmtId="0" fontId="0" fillId="4" borderId="6" xfId="0" applyFill="1" applyBorder="1"/>
    <xf numFmtId="0" fontId="0" fillId="4" borderId="7" xfId="0" applyFill="1" applyBorder="1"/>
    <xf numFmtId="0" fontId="15" fillId="4" borderId="8" xfId="0" applyFont="1" applyFill="1" applyBorder="1"/>
    <xf numFmtId="0" fontId="0" fillId="4" borderId="9" xfId="0" applyFill="1" applyBorder="1"/>
    <xf numFmtId="15" fontId="13" fillId="4" borderId="8" xfId="0" quotePrefix="1" applyNumberFormat="1" applyFont="1" applyFill="1" applyBorder="1"/>
    <xf numFmtId="0" fontId="0" fillId="4" borderId="8" xfId="0" applyFill="1" applyBorder="1"/>
    <xf numFmtId="0" fontId="20" fillId="4" borderId="0" xfId="0" applyFont="1" applyFill="1" applyAlignment="1">
      <alignment horizontal="center"/>
    </xf>
    <xf numFmtId="0" fontId="15" fillId="4" borderId="3" xfId="0" applyFont="1" applyFill="1" applyBorder="1" applyAlignment="1">
      <alignment horizontal="center"/>
    </xf>
    <xf numFmtId="0" fontId="0" fillId="4" borderId="0" xfId="0" applyFill="1" applyAlignment="1">
      <alignment horizontal="center"/>
    </xf>
    <xf numFmtId="42" fontId="15" fillId="4" borderId="0" xfId="0" applyNumberFormat="1" applyFont="1" applyFill="1"/>
    <xf numFmtId="41" fontId="15" fillId="4" borderId="0" xfId="0" applyNumberFormat="1" applyFont="1" applyFill="1"/>
    <xf numFmtId="41" fontId="0" fillId="4" borderId="0" xfId="0" applyNumberFormat="1" applyFill="1"/>
    <xf numFmtId="0" fontId="15" fillId="4" borderId="8" xfId="0" applyFont="1" applyFill="1" applyBorder="1" applyAlignment="1">
      <alignment horizontal="left" indent="2"/>
    </xf>
    <xf numFmtId="42" fontId="0" fillId="4" borderId="2" xfId="0" applyNumberFormat="1" applyFill="1" applyBorder="1"/>
    <xf numFmtId="15" fontId="21"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169" fontId="0" fillId="4" borderId="3" xfId="0" applyNumberFormat="1" applyFill="1" applyBorder="1"/>
    <xf numFmtId="0" fontId="15" fillId="4" borderId="8" xfId="0" applyFont="1" applyFill="1" applyBorder="1" applyAlignment="1">
      <alignment horizontal="left" indent="3"/>
    </xf>
    <xf numFmtId="168" fontId="0" fillId="4" borderId="2" xfId="0" applyNumberFormat="1" applyFill="1" applyBorder="1"/>
    <xf numFmtId="0" fontId="21" fillId="4" borderId="8" xfId="0" applyFont="1" applyFill="1" applyBorder="1"/>
    <xf numFmtId="0" fontId="15" fillId="4" borderId="11" xfId="0" applyFont="1" applyFill="1" applyBorder="1"/>
    <xf numFmtId="0" fontId="15" fillId="4" borderId="8" xfId="0" quotePrefix="1" applyFont="1" applyFill="1" applyBorder="1"/>
    <xf numFmtId="168" fontId="15" fillId="4" borderId="4" xfId="0" applyNumberFormat="1" applyFont="1" applyFill="1" applyBorder="1"/>
    <xf numFmtId="0" fontId="0" fillId="4" borderId="5" xfId="0" applyFill="1" applyBorder="1"/>
    <xf numFmtId="0" fontId="0" fillId="4" borderId="8" xfId="0" applyFill="1" applyBorder="1" applyAlignment="1">
      <alignment horizontal="center"/>
    </xf>
    <xf numFmtId="15" fontId="0" fillId="4" borderId="0" xfId="0" quotePrefix="1" applyNumberFormat="1" applyFill="1" applyAlignment="1">
      <alignment horizontal="center"/>
    </xf>
    <xf numFmtId="0" fontId="0" fillId="4" borderId="3" xfId="0" applyFill="1" applyBorder="1" applyAlignment="1">
      <alignment horizontal="center"/>
    </xf>
    <xf numFmtId="168" fontId="0" fillId="4" borderId="0" xfId="0" applyNumberFormat="1" applyFill="1"/>
    <xf numFmtId="168" fontId="0" fillId="4" borderId="3" xfId="0" applyNumberFormat="1" applyFill="1" applyBorder="1"/>
    <xf numFmtId="0" fontId="35" fillId="4" borderId="0" xfId="4" applyFont="1" applyFill="1"/>
    <xf numFmtId="0" fontId="36" fillId="2" borderId="0" xfId="0" applyFont="1" applyFill="1"/>
    <xf numFmtId="0" fontId="37" fillId="0" borderId="0" xfId="0" applyFont="1"/>
    <xf numFmtId="0" fontId="5" fillId="0" borderId="0" xfId="0" applyFont="1"/>
    <xf numFmtId="167" fontId="5" fillId="4" borderId="0" xfId="0" applyNumberFormat="1" applyFont="1" applyFill="1" applyProtection="1">
      <protection locked="0"/>
    </xf>
    <xf numFmtId="0" fontId="24" fillId="0" borderId="13" xfId="0" applyFont="1" applyBorder="1" applyAlignment="1">
      <alignment horizontal="centerContinuous"/>
    </xf>
    <xf numFmtId="0" fontId="24" fillId="0" borderId="1" xfId="0" applyFont="1" applyBorder="1" applyAlignment="1">
      <alignment horizontal="centerContinuous"/>
    </xf>
    <xf numFmtId="0" fontId="24" fillId="0" borderId="14" xfId="0" applyFont="1" applyBorder="1" applyAlignment="1">
      <alignment horizontal="centerContinuous"/>
    </xf>
    <xf numFmtId="0" fontId="13" fillId="0" borderId="0" xfId="0" applyFont="1" applyAlignment="1">
      <alignment horizontal="center" wrapText="1"/>
    </xf>
    <xf numFmtId="0" fontId="19" fillId="4" borderId="0" xfId="0" applyFont="1" applyFill="1"/>
    <xf numFmtId="0" fontId="38" fillId="4" borderId="0" xfId="0" applyFont="1" applyFill="1"/>
    <xf numFmtId="0" fontId="27" fillId="0" borderId="1" xfId="0" applyFont="1" applyBorder="1" applyAlignment="1">
      <alignment horizontal="center" wrapText="1"/>
    </xf>
    <xf numFmtId="0" fontId="15" fillId="6" borderId="0" xfId="0" applyFont="1" applyFill="1"/>
    <xf numFmtId="0" fontId="0" fillId="6" borderId="0" xfId="0" applyFill="1"/>
    <xf numFmtId="37" fontId="0" fillId="6" borderId="0" xfId="0" applyNumberFormat="1" applyFill="1"/>
    <xf numFmtId="3" fontId="0" fillId="6" borderId="0" xfId="0" applyNumberFormat="1" applyFill="1"/>
    <xf numFmtId="170" fontId="0" fillId="6" borderId="0" xfId="0" applyNumberFormat="1" applyFill="1"/>
    <xf numFmtId="0" fontId="0" fillId="7" borderId="0" xfId="0" applyFill="1"/>
    <xf numFmtId="37" fontId="0" fillId="7" borderId="0" xfId="0" applyNumberFormat="1" applyFill="1"/>
    <xf numFmtId="0" fontId="15" fillId="7" borderId="0" xfId="0" applyFont="1" applyFill="1"/>
    <xf numFmtId="0" fontId="0" fillId="0" borderId="0" xfId="0" applyAlignment="1">
      <alignment horizontal="center" wrapText="1"/>
    </xf>
    <xf numFmtId="0" fontId="0" fillId="6" borderId="15" xfId="0" applyFill="1" applyBorder="1" applyAlignment="1">
      <alignment horizontal="center"/>
    </xf>
    <xf numFmtId="167" fontId="5" fillId="2" borderId="3" xfId="0" applyNumberFormat="1" applyFont="1" applyFill="1" applyBorder="1"/>
    <xf numFmtId="0" fontId="37" fillId="4" borderId="0" xfId="0" applyFont="1" applyFill="1"/>
    <xf numFmtId="0" fontId="39" fillId="7" borderId="0" xfId="0" applyFont="1" applyFill="1" applyAlignment="1">
      <alignment horizontal="left"/>
    </xf>
    <xf numFmtId="0" fontId="39" fillId="7" borderId="0" xfId="0" applyFont="1" applyFill="1"/>
    <xf numFmtId="0" fontId="41" fillId="4" borderId="0" xfId="0" applyFont="1" applyFill="1" applyAlignment="1">
      <alignment horizontal="left"/>
    </xf>
    <xf numFmtId="0" fontId="42" fillId="4" borderId="0" xfId="0" applyFont="1" applyFill="1" applyAlignment="1">
      <alignment horizontal="left" indent="1"/>
    </xf>
    <xf numFmtId="0" fontId="42" fillId="0" borderId="0" xfId="0" applyFont="1" applyAlignment="1">
      <alignment horizontal="left" indent="1"/>
    </xf>
    <xf numFmtId="1" fontId="15" fillId="0" borderId="0" xfId="0" applyNumberFormat="1" applyFont="1" applyAlignment="1">
      <alignment horizontal="center"/>
    </xf>
    <xf numFmtId="0" fontId="19" fillId="4" borderId="0" xfId="1" applyFont="1" applyFill="1"/>
    <xf numFmtId="0" fontId="21" fillId="4" borderId="0" xfId="1" applyFont="1" applyFill="1" applyAlignment="1">
      <alignment horizontal="left"/>
    </xf>
    <xf numFmtId="166" fontId="14" fillId="2" borderId="0" xfId="0" applyNumberFormat="1" applyFont="1" applyFill="1"/>
    <xf numFmtId="166" fontId="39" fillId="2" borderId="0" xfId="0" applyNumberFormat="1" applyFont="1" applyFill="1"/>
    <xf numFmtId="0" fontId="14" fillId="2" borderId="0" xfId="0" applyFont="1" applyFill="1"/>
    <xf numFmtId="166" fontId="14" fillId="2" borderId="0" xfId="0" quotePrefix="1" applyNumberFormat="1" applyFont="1" applyFill="1"/>
    <xf numFmtId="10" fontId="0" fillId="6" borderId="0" xfId="0" applyNumberFormat="1" applyFill="1"/>
    <xf numFmtId="3" fontId="0" fillId="7" borderId="0" xfId="0" applyNumberFormat="1" applyFill="1"/>
    <xf numFmtId="0" fontId="44" fillId="0" borderId="0" xfId="0" applyFont="1"/>
    <xf numFmtId="43" fontId="15" fillId="8" borderId="0" xfId="2" applyFont="1" applyFill="1" applyBorder="1" applyAlignment="1">
      <alignment horizontal="right"/>
    </xf>
    <xf numFmtId="0" fontId="15" fillId="0" borderId="0" xfId="0" applyFont="1" applyAlignment="1">
      <alignment horizontal="left"/>
    </xf>
    <xf numFmtId="43" fontId="15" fillId="0" borderId="0" xfId="2" applyFont="1" applyFill="1" applyAlignment="1">
      <alignment horizontal="right"/>
    </xf>
    <xf numFmtId="43" fontId="15" fillId="0" borderId="0" xfId="2" applyFont="1" applyFill="1" applyBorder="1" applyAlignment="1">
      <alignment horizontal="right"/>
    </xf>
    <xf numFmtId="171" fontId="13" fillId="0" borderId="4" xfId="2" applyNumberFormat="1" applyFont="1" applyFill="1" applyBorder="1"/>
    <xf numFmtId="171" fontId="43" fillId="0" borderId="0" xfId="0" applyNumberFormat="1" applyFont="1"/>
    <xf numFmtId="171" fontId="43" fillId="8" borderId="0" xfId="0" applyNumberFormat="1" applyFont="1" applyFill="1"/>
    <xf numFmtId="37" fontId="15" fillId="0" borderId="0" xfId="0" applyNumberFormat="1" applyFont="1"/>
    <xf numFmtId="37" fontId="0" fillId="0" borderId="0" xfId="0" applyNumberFormat="1" applyAlignment="1">
      <alignment horizontal="center"/>
    </xf>
    <xf numFmtId="37" fontId="15" fillId="6" borderId="15" xfId="0" applyNumberFormat="1" applyFont="1" applyFill="1" applyBorder="1" applyAlignment="1">
      <alignment horizontal="center"/>
    </xf>
    <xf numFmtId="0" fontId="15" fillId="6" borderId="15" xfId="0" applyFont="1" applyFill="1" applyBorder="1" applyAlignment="1">
      <alignment horizontal="center"/>
    </xf>
    <xf numFmtId="167" fontId="5" fillId="2" borderId="12" xfId="0" applyNumberFormat="1" applyFont="1" applyFill="1" applyBorder="1" applyProtection="1">
      <protection locked="0"/>
    </xf>
    <xf numFmtId="173" fontId="0" fillId="0" borderId="0" xfId="0" applyNumberFormat="1"/>
    <xf numFmtId="171" fontId="15" fillId="0" borderId="0" xfId="2" applyNumberFormat="1" applyFont="1" applyFill="1" applyBorder="1" applyAlignment="1">
      <alignment horizontal="right"/>
    </xf>
    <xf numFmtId="171" fontId="15" fillId="0" borderId="3" xfId="2" applyNumberFormat="1" applyFont="1" applyFill="1" applyBorder="1" applyAlignment="1">
      <alignment horizontal="right"/>
    </xf>
    <xf numFmtId="43" fontId="15" fillId="0" borderId="3" xfId="2" applyFont="1" applyFill="1" applyBorder="1" applyAlignment="1">
      <alignment horizontal="right"/>
    </xf>
    <xf numFmtId="172" fontId="15" fillId="0" borderId="0" xfId="0" applyNumberFormat="1" applyFont="1"/>
    <xf numFmtId="172" fontId="15" fillId="0" borderId="3" xfId="0" applyNumberFormat="1" applyFont="1" applyBorder="1"/>
    <xf numFmtId="0" fontId="15" fillId="0" borderId="0" xfId="0" applyFont="1" applyAlignment="1">
      <alignment horizontal="center" wrapText="1"/>
    </xf>
    <xf numFmtId="0" fontId="15" fillId="0" borderId="1" xfId="0" applyFont="1" applyBorder="1" applyAlignment="1">
      <alignment horizontal="center" wrapText="1"/>
    </xf>
    <xf numFmtId="0" fontId="15" fillId="0" borderId="8" xfId="0" applyFont="1" applyBorder="1"/>
    <xf numFmtId="37" fontId="0" fillId="0" borderId="0" xfId="0" applyNumberFormat="1" applyAlignment="1">
      <alignment horizontal="center" wrapText="1"/>
    </xf>
    <xf numFmtId="168" fontId="13" fillId="0" borderId="0" xfId="0" applyNumberFormat="1" applyFont="1" applyAlignment="1">
      <alignment horizontal="center"/>
    </xf>
    <xf numFmtId="169" fontId="13" fillId="0" borderId="0" xfId="0" applyNumberFormat="1" applyFont="1" applyAlignment="1">
      <alignment horizontal="center"/>
    </xf>
    <xf numFmtId="0" fontId="15" fillId="8" borderId="0" xfId="0" applyFont="1" applyFill="1" applyAlignment="1">
      <alignment horizontal="center"/>
    </xf>
    <xf numFmtId="0" fontId="15" fillId="8" borderId="0" xfId="0" applyFont="1" applyFill="1" applyAlignment="1">
      <alignment horizontal="left"/>
    </xf>
    <xf numFmtId="171" fontId="15" fillId="8" borderId="0" xfId="2" applyNumberFormat="1" applyFont="1" applyFill="1" applyBorder="1" applyAlignment="1">
      <alignment horizontal="right"/>
    </xf>
    <xf numFmtId="171" fontId="15" fillId="8" borderId="3" xfId="2" applyNumberFormat="1" applyFont="1" applyFill="1" applyBorder="1" applyAlignment="1">
      <alignment horizontal="right"/>
    </xf>
    <xf numFmtId="0" fontId="44" fillId="0" borderId="0" xfId="0" applyFont="1" applyAlignment="1">
      <alignment horizontal="center"/>
    </xf>
    <xf numFmtId="170" fontId="44" fillId="0" borderId="0" xfId="0" applyNumberFormat="1" applyFont="1"/>
    <xf numFmtId="37" fontId="0" fillId="0" borderId="0" xfId="2" applyNumberFormat="1" applyFont="1"/>
    <xf numFmtId="0" fontId="34" fillId="0" borderId="0" xfId="4" applyFill="1"/>
    <xf numFmtId="170" fontId="45" fillId="0" borderId="0" xfId="0" applyNumberFormat="1" applyFont="1"/>
    <xf numFmtId="37" fontId="13" fillId="0" borderId="0" xfId="2" applyNumberFormat="1" applyFont="1"/>
    <xf numFmtId="0" fontId="24" fillId="0" borderId="0" xfId="0" applyFont="1" applyAlignment="1">
      <alignment horizontal="left"/>
    </xf>
    <xf numFmtId="0" fontId="46" fillId="8" borderId="0" xfId="0" applyFont="1" applyFill="1" applyAlignment="1">
      <alignment horizontal="center"/>
    </xf>
    <xf numFmtId="0" fontId="46" fillId="8" borderId="0" xfId="0" applyFont="1" applyFill="1" applyAlignment="1">
      <alignment horizontal="left"/>
    </xf>
    <xf numFmtId="0" fontId="34" fillId="0" borderId="0" xfId="4"/>
    <xf numFmtId="0" fontId="5"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5" fillId="4" borderId="0" xfId="0" applyFont="1" applyFill="1" applyAlignment="1">
      <alignment horizontal="left" vertical="top" wrapText="1"/>
    </xf>
    <xf numFmtId="0" fontId="13" fillId="4" borderId="0" xfId="0" quotePrefix="1" applyFont="1" applyFill="1" applyAlignment="1">
      <alignment horizontal="center"/>
    </xf>
    <xf numFmtId="0" fontId="13"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13" fillId="0" borderId="0" xfId="0" quotePrefix="1" applyFont="1" applyAlignment="1">
      <alignment horizontal="center"/>
    </xf>
    <xf numFmtId="0" fontId="13" fillId="0" borderId="3" xfId="0" applyFont="1" applyBorder="1" applyAlignment="1">
      <alignment horizontal="center"/>
    </xf>
    <xf numFmtId="0" fontId="13" fillId="0" borderId="3" xfId="0" applyFont="1" applyBorder="1"/>
    <xf numFmtId="0" fontId="1" fillId="0" borderId="0" xfId="10"/>
    <xf numFmtId="169" fontId="15" fillId="0" borderId="0" xfId="0" applyNumberFormat="1" applyFont="1"/>
    <xf numFmtId="168" fontId="15" fillId="0" borderId="0" xfId="0" applyNumberFormat="1" applyFont="1"/>
    <xf numFmtId="165" fontId="18" fillId="0" borderId="0" xfId="0" applyNumberFormat="1" applyFont="1" applyAlignment="1">
      <alignment horizontal="center"/>
    </xf>
    <xf numFmtId="0" fontId="5" fillId="0" borderId="0" xfId="0" applyFont="1" applyAlignment="1">
      <alignment horizontal="center"/>
    </xf>
    <xf numFmtId="167" fontId="5" fillId="0" borderId="0" xfId="0" applyNumberFormat="1" applyFont="1"/>
    <xf numFmtId="0" fontId="6" fillId="0" borderId="0" xfId="0" applyFont="1"/>
    <xf numFmtId="166" fontId="5" fillId="0" borderId="0" xfId="0" applyNumberFormat="1" applyFont="1"/>
    <xf numFmtId="0" fontId="0" fillId="0" borderId="0" xfId="0" applyAlignment="1">
      <alignment horizontal="center" vertical="center"/>
    </xf>
    <xf numFmtId="0" fontId="0" fillId="9" borderId="16" xfId="0" applyFill="1" applyBorder="1"/>
    <xf numFmtId="173" fontId="0" fillId="0" borderId="0" xfId="11" applyNumberFormat="1" applyFont="1"/>
    <xf numFmtId="44" fontId="0" fillId="0" borderId="0" xfId="11" applyFont="1"/>
    <xf numFmtId="170" fontId="0" fillId="0" borderId="0" xfId="3" applyNumberFormat="1" applyFont="1"/>
    <xf numFmtId="170" fontId="0" fillId="7" borderId="0" xfId="3" applyNumberFormat="1" applyFont="1" applyFill="1"/>
    <xf numFmtId="173" fontId="0" fillId="7" borderId="0" xfId="0" applyNumberFormat="1" applyFill="1"/>
    <xf numFmtId="173" fontId="0" fillId="0" borderId="17" xfId="11" applyNumberFormat="1" applyFont="1" applyBorder="1"/>
    <xf numFmtId="0" fontId="0" fillId="0" borderId="18" xfId="0" applyBorder="1"/>
    <xf numFmtId="173" fontId="0" fillId="0" borderId="19" xfId="11" applyNumberFormat="1" applyFont="1" applyBorder="1"/>
    <xf numFmtId="0" fontId="0" fillId="0" borderId="20" xfId="0" applyBorder="1"/>
    <xf numFmtId="173" fontId="0" fillId="0" borderId="21" xfId="11" applyNumberFormat="1" applyFont="1" applyBorder="1"/>
    <xf numFmtId="0" fontId="0" fillId="0" borderId="22" xfId="0" applyBorder="1"/>
    <xf numFmtId="0" fontId="0" fillId="0" borderId="23" xfId="0" applyBorder="1"/>
    <xf numFmtId="0" fontId="0" fillId="0" borderId="24" xfId="0" applyBorder="1"/>
    <xf numFmtId="173" fontId="0" fillId="0" borderId="0" xfId="2" applyNumberFormat="1" applyFont="1"/>
    <xf numFmtId="174" fontId="0" fillId="0" borderId="0" xfId="0" applyNumberFormat="1"/>
    <xf numFmtId="174" fontId="0" fillId="0" borderId="0" xfId="2" applyNumberFormat="1" applyFont="1"/>
    <xf numFmtId="174" fontId="43" fillId="0" borderId="0" xfId="0" applyNumberFormat="1" applyFont="1"/>
    <xf numFmtId="174" fontId="24" fillId="0" borderId="0" xfId="0" applyNumberFormat="1" applyFont="1"/>
    <xf numFmtId="44" fontId="0" fillId="10" borderId="0" xfId="0" applyNumberFormat="1" applyFill="1"/>
    <xf numFmtId="0" fontId="48" fillId="0" borderId="0" xfId="0" applyFont="1" applyAlignment="1">
      <alignment horizontal="center"/>
    </xf>
    <xf numFmtId="0" fontId="48" fillId="0" borderId="0" xfId="0" applyFont="1"/>
    <xf numFmtId="0" fontId="46" fillId="0" borderId="0" xfId="0" applyFont="1"/>
    <xf numFmtId="171" fontId="46" fillId="8" borderId="0" xfId="2" applyNumberFormat="1" applyFont="1" applyFill="1" applyAlignment="1">
      <alignment horizontal="center"/>
    </xf>
    <xf numFmtId="171" fontId="48" fillId="0" borderId="0" xfId="2" applyNumberFormat="1" applyFont="1"/>
    <xf numFmtId="171" fontId="48" fillId="0" borderId="0" xfId="2" applyNumberFormat="1" applyFont="1" applyFill="1"/>
    <xf numFmtId="171" fontId="48" fillId="0" borderId="3" xfId="2" applyNumberFormat="1" applyFont="1" applyBorder="1"/>
    <xf numFmtId="171" fontId="48" fillId="0" borderId="25" xfId="2" applyNumberFormat="1" applyFont="1" applyBorder="1"/>
    <xf numFmtId="0" fontId="21" fillId="4" borderId="0" xfId="0" applyFont="1" applyFill="1" applyAlignment="1">
      <alignment horizontal="left"/>
    </xf>
    <xf numFmtId="0" fontId="34" fillId="0" borderId="0" xfId="4" applyAlignment="1"/>
    <xf numFmtId="0" fontId="0" fillId="0" borderId="0" xfId="0"/>
    <xf numFmtId="0" fontId="40" fillId="7" borderId="0" xfId="0" applyFont="1" applyFill="1" applyAlignment="1">
      <alignment horizontal="center"/>
    </xf>
    <xf numFmtId="0" fontId="16" fillId="4" borderId="0" xfId="0" applyFont="1" applyFill="1" applyAlignment="1">
      <alignment horizontal="left" vertical="center"/>
    </xf>
    <xf numFmtId="0" fontId="0" fillId="4" borderId="0" xfId="0" applyFill="1" applyAlignment="1">
      <alignment vertical="center"/>
    </xf>
    <xf numFmtId="0" fontId="5"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5" fillId="4" borderId="0" xfId="0" applyFont="1" applyFill="1" applyAlignment="1">
      <alignment horizontal="left" vertical="top" wrapText="1"/>
    </xf>
    <xf numFmtId="0" fontId="13" fillId="4" borderId="0" xfId="0" quotePrefix="1" applyFont="1" applyFill="1" applyAlignment="1">
      <alignment horizontal="center"/>
    </xf>
    <xf numFmtId="0" fontId="13" fillId="0" borderId="0" xfId="0" applyFont="1" applyAlignment="1">
      <alignment horizontal="center"/>
    </xf>
    <xf numFmtId="0" fontId="15" fillId="4" borderId="0" xfId="1" applyFont="1" applyFill="1" applyAlignment="1">
      <alignment horizontal="left" wrapText="1"/>
    </xf>
    <xf numFmtId="0" fontId="0" fillId="0" borderId="0" xfId="0" applyAlignment="1">
      <alignment horizontal="left" wrapText="1"/>
    </xf>
    <xf numFmtId="0" fontId="0" fillId="0" borderId="0" xfId="0" applyAlignment="1">
      <alignment horizontal="center"/>
    </xf>
    <xf numFmtId="0" fontId="21" fillId="4" borderId="8" xfId="0" applyFont="1" applyFill="1" applyBorder="1" applyAlignment="1">
      <alignment wrapText="1"/>
    </xf>
    <xf numFmtId="0" fontId="21" fillId="4" borderId="0" xfId="0" applyFont="1" applyFill="1" applyAlignment="1">
      <alignment wrapText="1"/>
    </xf>
    <xf numFmtId="0" fontId="21" fillId="4" borderId="9" xfId="0" applyFont="1" applyFill="1" applyBorder="1" applyAlignment="1">
      <alignment wrapText="1"/>
    </xf>
    <xf numFmtId="0" fontId="21" fillId="4" borderId="8" xfId="0" applyFont="1" applyFill="1" applyBorder="1" applyAlignment="1">
      <alignment vertical="top" wrapText="1"/>
    </xf>
    <xf numFmtId="0" fontId="0" fillId="4" borderId="9" xfId="0" applyFill="1" applyBorder="1" applyAlignment="1">
      <alignment vertical="top" wrapText="1"/>
    </xf>
    <xf numFmtId="0" fontId="15" fillId="0" borderId="0" xfId="0" applyFont="1" applyAlignment="1">
      <alignment horizontal="center"/>
    </xf>
    <xf numFmtId="0" fontId="0" fillId="0" borderId="0" xfId="0" applyAlignment="1">
      <alignment vertical="top"/>
    </xf>
    <xf numFmtId="0" fontId="0" fillId="0" borderId="0" xfId="0" applyAlignment="1">
      <alignment wrapText="1"/>
    </xf>
    <xf numFmtId="0" fontId="21" fillId="4" borderId="0" xfId="0" applyFont="1" applyFill="1"/>
    <xf numFmtId="0" fontId="21" fillId="7" borderId="8" xfId="0" quotePrefix="1" applyFont="1" applyFill="1" applyBorder="1" applyAlignment="1">
      <alignment horizontal="left" wrapText="1"/>
    </xf>
    <xf numFmtId="0" fontId="21" fillId="7" borderId="0" xfId="0" applyFont="1" applyFill="1"/>
    <xf numFmtId="0" fontId="21" fillId="7" borderId="9" xfId="0" applyFont="1" applyFill="1" applyBorder="1"/>
    <xf numFmtId="0" fontId="15" fillId="5" borderId="13" xfId="0" applyFont="1" applyFill="1" applyBorder="1" applyAlignment="1">
      <alignment horizontal="center"/>
    </xf>
    <xf numFmtId="0" fontId="15" fillId="5" borderId="1" xfId="0" applyFont="1" applyFill="1" applyBorder="1" applyAlignment="1">
      <alignment horizontal="center"/>
    </xf>
    <xf numFmtId="0" fontId="15" fillId="5" borderId="14" xfId="0" applyFont="1"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36" fillId="11" borderId="0" xfId="0" applyFont="1" applyFill="1"/>
  </cellXfs>
  <cellStyles count="12">
    <cellStyle name="Comma" xfId="2" builtinId="3"/>
    <cellStyle name="Comma 3" xfId="5" xr:uid="{00000000-0005-0000-0000-000001000000}"/>
    <cellStyle name="Currency" xfId="11" builtinId="4"/>
    <cellStyle name="Hyperlink" xfId="4" builtinId="8"/>
    <cellStyle name="Normal" xfId="0" builtinId="0"/>
    <cellStyle name="Normal 2" xfId="10" xr:uid="{B77999AD-8026-40CD-BE4D-CF135E3A834A}"/>
    <cellStyle name="Normal 3" xfId="6" xr:uid="{00000000-0005-0000-0000-000004000000}"/>
    <cellStyle name="Normal 5" xfId="8" xr:uid="{00000000-0005-0000-0000-000005000000}"/>
    <cellStyle name="Normal 5 4" xfId="9" xr:uid="{B47D1F6C-1A08-4A55-AC50-B208009D86F8}"/>
    <cellStyle name="Normal_2006gfa x" xfId="1" xr:uid="{00000000-0005-0000-0000-000006000000}"/>
    <cellStyle name="Percent" xfId="3" builtinId="5"/>
    <cellStyle name="Percent 3" xfId="7" xr:uid="{00000000-0005-0000-0000-000008000000}"/>
  </cellStyles>
  <dxfs count="2">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68 journal entries (13th period) and certain note disclosures (see below) for the following component units that participate in the </a:t>
          </a:r>
          <a:r>
            <a:rPr lang="en-US" sz="950" b="1" baseline="0">
              <a:latin typeface="Arial" panose="020B0604020202020204" pitchFamily="34" charset="0"/>
              <a:cs typeface="Arial" panose="020B0604020202020204" pitchFamily="34" charset="0"/>
            </a:rPr>
            <a:t>Teachers' and State Employees' Retirement System </a:t>
          </a:r>
          <a:r>
            <a:rPr lang="en-US" sz="950" baseline="0">
              <a:latin typeface="Arial" panose="020B0604020202020204" pitchFamily="34" charset="0"/>
              <a:cs typeface="Arial" panose="020B0604020202020204" pitchFamily="34" charset="0"/>
            </a:rPr>
            <a:t>(TSERS):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68, paragraphs 80h(1) thru (5), 80i(1), and 80i(2). It also provides information needed to complete package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pension data in this template was obtained from the Department of State Treasurer. The Office of the State Auditor (OSA) has completed a financial audit of the TSERS Schedule of Employer Allocations and the TSERS Schedule of Pension Amounts by Employer for the year ended June 30, 2023. Component units will report the FY2023 pension allocations for TSERS in their FY2024 financial statements. </a:t>
          </a:r>
          <a:r>
            <a:rPr lang="en-US" sz="950" b="1" u="sng" baseline="0">
              <a:latin typeface="Arial" panose="020B0604020202020204" pitchFamily="34" charset="0"/>
              <a:cs typeface="Arial" panose="020B0604020202020204" pitchFamily="34" charset="0"/>
            </a:rPr>
            <a:t>Each component unit should verify that the pension amounts provided by this template agree with the pension schedules in OSA's audit report (see link below)</a:t>
          </a:r>
          <a:r>
            <a:rPr lang="en-US" sz="950" b="1" baseline="0">
              <a:latin typeface="Arial" panose="020B0604020202020204" pitchFamily="34" charset="0"/>
              <a:cs typeface="Arial" panose="020B0604020202020204" pitchFamily="34" charset="0"/>
            </a:rPr>
            <a:t>.</a:t>
          </a:r>
        </a:p>
        <a:p>
          <a:endParaRPr lang="en-US" sz="1000" b="1"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nc.gov/nc-auditor/documents/2024-03/FIN-2023-3400-Pension.pdf?VersionId=z5yhklGHtNXH1V0xWGsUgk7Y5wVtTSkb" TargetMode="External"/><Relationship Id="rId1" Type="http://schemas.openxmlformats.org/officeDocument/2006/relationships/hyperlink" Target="mailto:elizabeth.joh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zoomScaleNormal="100" workbookViewId="0">
      <selection activeCell="C16" sqref="C16"/>
    </sheetView>
  </sheetViews>
  <sheetFormatPr defaultRowHeight="13.2"/>
  <cols>
    <col min="1" max="1" width="24.6640625" customWidth="1"/>
    <col min="2" max="2" width="53.6640625" customWidth="1"/>
    <col min="3" max="3" width="46.6640625" customWidth="1"/>
  </cols>
  <sheetData>
    <row r="1" spans="1:4">
      <c r="A1" s="51" t="s">
        <v>0</v>
      </c>
      <c r="B1" s="15"/>
      <c r="C1" s="15"/>
      <c r="D1" s="2"/>
    </row>
    <row r="2" spans="1:4">
      <c r="A2" s="51" t="s">
        <v>1</v>
      </c>
      <c r="B2" s="15"/>
    </row>
    <row r="3" spans="1:4">
      <c r="A3" s="50" t="s">
        <v>2</v>
      </c>
      <c r="B3" s="15"/>
      <c r="C3" s="15"/>
    </row>
    <row r="4" spans="1:4" ht="14.1" customHeight="1">
      <c r="A4" s="50"/>
      <c r="B4" s="15"/>
      <c r="C4" s="53"/>
    </row>
    <row r="5" spans="1:4" ht="13.8">
      <c r="A5" s="54" t="s">
        <v>3</v>
      </c>
      <c r="B5" s="82" t="s">
        <v>183</v>
      </c>
      <c r="C5" s="146" t="s">
        <v>5</v>
      </c>
    </row>
    <row r="6" spans="1:4" ht="12.75" customHeight="1">
      <c r="A6" s="15"/>
      <c r="B6" s="15"/>
      <c r="C6" s="55"/>
    </row>
    <row r="7" spans="1:4" ht="12.75" customHeight="1">
      <c r="A7" s="247" t="s">
        <v>6</v>
      </c>
      <c r="B7" s="247"/>
      <c r="C7" s="147"/>
    </row>
    <row r="8" spans="1:4" ht="39" customHeight="1">
      <c r="A8" s="15"/>
      <c r="B8" s="15"/>
      <c r="C8" s="55"/>
    </row>
    <row r="9" spans="1:4">
      <c r="A9" s="15" t="s">
        <v>7</v>
      </c>
      <c r="B9" s="15">
        <f>VLOOKUP(B5,Data!A:B,2,FALSE)</f>
        <v>20300</v>
      </c>
      <c r="C9" s="56"/>
    </row>
    <row r="10" spans="1:4" ht="13.8">
      <c r="A10" s="84" t="s">
        <v>8</v>
      </c>
      <c r="B10" s="15">
        <f>VLOOKUP(B5,Data!A:X,24,FALSE)</f>
        <v>1</v>
      </c>
      <c r="C10" s="145" t="s">
        <v>9</v>
      </c>
    </row>
    <row r="11" spans="1:4">
      <c r="A11" s="15"/>
      <c r="B11" s="15"/>
      <c r="C11" s="142"/>
    </row>
    <row r="12" spans="1:4">
      <c r="A12" s="15"/>
      <c r="B12" s="15"/>
      <c r="C12" s="15"/>
    </row>
    <row r="13" spans="1:4">
      <c r="A13" s="15"/>
      <c r="B13" s="15"/>
      <c r="C13" s="15"/>
    </row>
    <row r="14" spans="1:4">
      <c r="A14" s="15"/>
      <c r="B14" s="15"/>
      <c r="C14" s="15"/>
    </row>
    <row r="15" spans="1:4">
      <c r="A15" s="15"/>
      <c r="B15" s="15"/>
      <c r="C15" s="15"/>
    </row>
    <row r="16" spans="1:4">
      <c r="A16" s="15"/>
      <c r="B16" s="15"/>
      <c r="C16" s="15"/>
    </row>
    <row r="17" spans="1:3">
      <c r="A17" s="15"/>
      <c r="B17" s="15"/>
      <c r="C17" s="15"/>
    </row>
    <row r="18" spans="1:3">
      <c r="A18" s="15"/>
      <c r="B18" s="15"/>
      <c r="C18" s="15"/>
    </row>
    <row r="19" spans="1:3">
      <c r="A19" s="15"/>
      <c r="B19" s="15"/>
      <c r="C19" s="15"/>
    </row>
    <row r="20" spans="1:3">
      <c r="A20" s="15"/>
      <c r="B20" s="15"/>
      <c r="C20" s="15"/>
    </row>
    <row r="21" spans="1:3">
      <c r="A21" s="15"/>
      <c r="B21" s="15"/>
      <c r="C21" s="15"/>
    </row>
    <row r="22" spans="1:3">
      <c r="A22" s="15"/>
      <c r="B22" s="15"/>
      <c r="C22" s="15"/>
    </row>
    <row r="23" spans="1:3">
      <c r="A23" s="15"/>
      <c r="B23" s="15"/>
      <c r="C23" s="15"/>
    </row>
    <row r="24" spans="1:3">
      <c r="A24" s="15"/>
      <c r="B24" s="15"/>
      <c r="C24" s="15"/>
    </row>
    <row r="25" spans="1:3">
      <c r="A25" s="15"/>
      <c r="B25" s="15"/>
      <c r="C25" s="15"/>
    </row>
    <row r="26" spans="1:3">
      <c r="A26" s="15"/>
      <c r="B26" s="15"/>
      <c r="C26" s="15"/>
    </row>
    <row r="27" spans="1:3">
      <c r="A27" s="15"/>
      <c r="B27" s="15"/>
      <c r="C27" s="15"/>
    </row>
    <row r="28" spans="1:3">
      <c r="A28" s="15"/>
      <c r="B28" s="15"/>
      <c r="C28" s="15"/>
    </row>
    <row r="29" spans="1:3">
      <c r="A29" s="15"/>
      <c r="B29" s="15"/>
      <c r="C29" s="15"/>
    </row>
    <row r="30" spans="1:3">
      <c r="A30" s="15"/>
      <c r="B30" s="15"/>
      <c r="C30" s="15"/>
    </row>
    <row r="31" spans="1:3">
      <c r="A31" s="15"/>
      <c r="B31" s="15"/>
      <c r="C31" s="15"/>
    </row>
    <row r="32" spans="1:3" ht="12.75" customHeight="1">
      <c r="A32" s="128" t="s">
        <v>10</v>
      </c>
      <c r="B32" s="15"/>
      <c r="C32" s="15"/>
    </row>
    <row r="33" spans="1:3" ht="14.1" customHeight="1">
      <c r="A33" s="129" t="s">
        <v>11</v>
      </c>
      <c r="B33" s="15"/>
      <c r="C33" s="15"/>
    </row>
    <row r="34" spans="1:3" ht="12.75" customHeight="1">
      <c r="A34" s="195" t="s">
        <v>12</v>
      </c>
      <c r="C34" s="189"/>
    </row>
    <row r="35" spans="1:3" ht="15.75" customHeight="1">
      <c r="A35" s="119"/>
      <c r="B35" s="15"/>
      <c r="C35" s="15"/>
    </row>
    <row r="36" spans="1:3" ht="12" customHeight="1">
      <c r="A36" s="244" t="s">
        <v>13</v>
      </c>
      <c r="B36" s="244"/>
      <c r="C36" s="15"/>
    </row>
    <row r="37" spans="1:3" ht="12" customHeight="1">
      <c r="A37" s="244" t="s">
        <v>14</v>
      </c>
      <c r="B37" s="244"/>
      <c r="C37" s="15"/>
    </row>
    <row r="38" spans="1:3" ht="12" customHeight="1">
      <c r="A38" s="245" t="s">
        <v>15</v>
      </c>
      <c r="B38" s="246"/>
      <c r="C38" s="15"/>
    </row>
    <row r="39" spans="1:3">
      <c r="A39" s="203"/>
    </row>
  </sheetData>
  <mergeCells count="4">
    <mergeCell ref="A36:B36"/>
    <mergeCell ref="A37:B37"/>
    <mergeCell ref="A38:B38"/>
    <mergeCell ref="A7:B7"/>
  </mergeCells>
  <hyperlinks>
    <hyperlink ref="A38" r:id="rId1" xr:uid="{00000000-0004-0000-0000-000000000000}"/>
    <hyperlink ref="A34" r:id="rId2" xr:uid="{28CAAB3E-9551-41F3-BD8B-C42B30DAB42A}"/>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1"/>
  <sheetViews>
    <sheetView showGridLines="0" tabSelected="1" topLeftCell="A46" zoomScaleNormal="100" workbookViewId="0">
      <selection activeCell="J63" sqref="J63"/>
    </sheetView>
  </sheetViews>
  <sheetFormatPr defaultColWidth="9.109375" defaultRowHeight="13.2"/>
  <cols>
    <col min="1" max="1" width="4.44140625" style="15" customWidth="1"/>
    <col min="2" max="2" width="50.6640625" style="15" customWidth="1"/>
    <col min="3" max="3" width="7.6640625" style="15" customWidth="1"/>
    <col min="4" max="4" width="3.6640625" style="15" hidden="1" customWidth="1"/>
    <col min="5" max="6" width="10" style="15" bestFit="1" customWidth="1"/>
    <col min="7" max="7" width="40.6640625" style="15" customWidth="1"/>
    <col min="8" max="8" width="16.33203125" style="15" customWidth="1"/>
    <col min="9" max="9" width="14" style="15" customWidth="1"/>
    <col min="10" max="10" width="88.109375" style="15" customWidth="1"/>
    <col min="11" max="16384" width="9.109375" style="15"/>
  </cols>
  <sheetData>
    <row r="1" spans="1:9">
      <c r="A1" s="50" t="str">
        <f>Info!B5</f>
        <v>EAST CAROLINA UNIVERSITY</v>
      </c>
    </row>
    <row r="2" spans="1:9">
      <c r="A2" s="50" t="s">
        <v>16</v>
      </c>
    </row>
    <row r="3" spans="1:9">
      <c r="A3" s="50" t="s">
        <v>2</v>
      </c>
    </row>
    <row r="4" spans="1:9" ht="9.9" customHeight="1">
      <c r="A4" s="50"/>
      <c r="G4" s="53"/>
    </row>
    <row r="5" spans="1:9" ht="12" customHeight="1">
      <c r="A5" s="26"/>
      <c r="B5" s="26"/>
      <c r="C5" s="32" t="str">
        <f>IF(Info!B$10=2,"Colleague","NCFS")</f>
        <v>NCFS</v>
      </c>
      <c r="D5" s="26"/>
      <c r="E5" s="26"/>
      <c r="F5" s="26"/>
      <c r="G5" s="26"/>
      <c r="H5" s="26"/>
      <c r="I5" s="26"/>
    </row>
    <row r="6" spans="1:9" ht="12" customHeight="1">
      <c r="A6" s="27" t="s">
        <v>17</v>
      </c>
      <c r="B6" s="27" t="s">
        <v>18</v>
      </c>
      <c r="C6" s="28" t="s">
        <v>19</v>
      </c>
      <c r="D6" s="28" t="s">
        <v>20</v>
      </c>
      <c r="E6" s="28" t="s">
        <v>21</v>
      </c>
      <c r="F6" s="28" t="s">
        <v>22</v>
      </c>
      <c r="G6" s="28" t="s">
        <v>23</v>
      </c>
      <c r="H6" s="28" t="s">
        <v>24</v>
      </c>
      <c r="I6" s="28" t="s">
        <v>25</v>
      </c>
    </row>
    <row r="7" spans="1:9" ht="3" customHeight="1">
      <c r="A7" s="29"/>
      <c r="B7" s="30"/>
      <c r="C7" s="31"/>
      <c r="D7" s="31"/>
      <c r="E7" s="28"/>
      <c r="F7" s="28"/>
      <c r="G7" s="26"/>
      <c r="H7" s="26"/>
      <c r="I7" s="26"/>
    </row>
    <row r="8" spans="1:9" ht="13.8">
      <c r="A8" s="26"/>
      <c r="B8" s="14" t="s">
        <v>26</v>
      </c>
      <c r="C8" s="31"/>
      <c r="D8" s="31"/>
      <c r="E8" s="32"/>
      <c r="F8" s="32"/>
      <c r="G8" s="30"/>
      <c r="H8" s="30"/>
      <c r="I8" s="26"/>
    </row>
    <row r="9" spans="1:9" ht="3.9" customHeight="1">
      <c r="A9" s="26"/>
      <c r="B9" s="33"/>
      <c r="C9" s="31"/>
      <c r="D9" s="31"/>
      <c r="E9" s="32"/>
      <c r="F9" s="32"/>
      <c r="G9" s="30"/>
      <c r="H9" s="30"/>
      <c r="I9" s="26"/>
    </row>
    <row r="10" spans="1:9" ht="13.8">
      <c r="A10" s="34"/>
      <c r="B10" s="30" t="s">
        <v>27</v>
      </c>
      <c r="C10" s="31"/>
      <c r="D10" s="31">
        <v>4</v>
      </c>
      <c r="E10" s="35">
        <f>VLOOKUP(Info!B9,Data!B:AP,32,FALSE)</f>
        <v>0</v>
      </c>
      <c r="F10" s="35"/>
      <c r="G10" s="151" t="s">
        <v>28</v>
      </c>
      <c r="H10" s="151"/>
      <c r="I10" s="151"/>
    </row>
    <row r="11" spans="1:9" ht="13.8">
      <c r="A11" s="34"/>
      <c r="B11" s="30" t="s">
        <v>27</v>
      </c>
      <c r="C11" s="31"/>
      <c r="D11" s="31">
        <v>2</v>
      </c>
      <c r="E11" s="35">
        <f>VLOOKUP(Info!B9,Data!B:AP,31,FALSE)</f>
        <v>14554661</v>
      </c>
      <c r="F11" s="35"/>
      <c r="G11" s="151" t="s">
        <v>29</v>
      </c>
      <c r="H11" s="151"/>
      <c r="I11" s="151"/>
    </row>
    <row r="12" spans="1:9" ht="13.8">
      <c r="A12" s="34"/>
      <c r="B12" s="30" t="s">
        <v>27</v>
      </c>
      <c r="C12" s="31"/>
      <c r="D12" s="31">
        <v>3</v>
      </c>
      <c r="E12" s="35">
        <f>VLOOKUP(Info!B9,Data!B:AP,30,FALSE)</f>
        <v>60590178</v>
      </c>
      <c r="F12" s="35"/>
      <c r="G12" s="151" t="s">
        <v>30</v>
      </c>
      <c r="H12" s="151"/>
      <c r="I12" s="151"/>
    </row>
    <row r="13" spans="1:9" ht="13.8">
      <c r="A13" s="34"/>
      <c r="B13" s="30" t="s">
        <v>27</v>
      </c>
      <c r="C13" s="31"/>
      <c r="D13" s="31">
        <v>1</v>
      </c>
      <c r="E13" s="35">
        <f>VLOOKUP(Info!B9,Data!B:AP,29,FALSE)</f>
        <v>803231</v>
      </c>
      <c r="F13" s="35"/>
      <c r="G13" s="151" t="s">
        <v>31</v>
      </c>
      <c r="H13" s="151"/>
      <c r="I13" s="151"/>
    </row>
    <row r="14" spans="1:9" ht="13.8">
      <c r="A14" s="34"/>
      <c r="B14" s="30" t="s">
        <v>27</v>
      </c>
      <c r="C14" s="31"/>
      <c r="D14" s="31"/>
      <c r="E14" s="35">
        <f>VLOOKUP(Info!B9,Data!B:AP,2,FALSE)+VLOOKUP(Info!B9,Data!B:AP,21,FALSE)</f>
        <v>39714367</v>
      </c>
      <c r="F14" s="35"/>
      <c r="G14" s="152" t="s">
        <v>32</v>
      </c>
      <c r="H14" s="151"/>
      <c r="I14" s="151" t="s">
        <v>33</v>
      </c>
    </row>
    <row r="15" spans="1:9" ht="13.8">
      <c r="A15" s="34"/>
      <c r="B15" s="36" t="s">
        <v>34</v>
      </c>
      <c r="C15" s="31"/>
      <c r="D15" s="31"/>
      <c r="E15" s="35"/>
      <c r="F15" s="35">
        <f>VLOOKUP(Info!B9,Data!B:AP,28,FALSE)</f>
        <v>184478629</v>
      </c>
      <c r="G15" s="151" t="s">
        <v>35</v>
      </c>
      <c r="H15" s="151"/>
      <c r="I15" s="151"/>
    </row>
    <row r="16" spans="1:9" ht="13.8">
      <c r="A16" s="34"/>
      <c r="B16" s="36" t="s">
        <v>36</v>
      </c>
      <c r="C16" s="31"/>
      <c r="D16" s="31">
        <v>6</v>
      </c>
      <c r="E16" s="35"/>
      <c r="F16" s="35">
        <f>VLOOKUP(Info!B9,Data!B:AP,33,FALSE)</f>
        <v>2514472</v>
      </c>
      <c r="G16" s="151" t="s">
        <v>31</v>
      </c>
      <c r="H16" s="151"/>
      <c r="I16" s="151"/>
    </row>
    <row r="17" spans="1:9" ht="13.8">
      <c r="A17" s="34"/>
      <c r="B17" s="36" t="s">
        <v>36</v>
      </c>
      <c r="C17" s="31"/>
      <c r="D17" s="31">
        <v>8</v>
      </c>
      <c r="E17" s="26"/>
      <c r="F17" s="35">
        <f>VLOOKUP(Info!B9,Data!B:AP,34,FALSE)</f>
        <v>0</v>
      </c>
      <c r="G17" s="151" t="s">
        <v>30</v>
      </c>
      <c r="H17" s="151"/>
      <c r="I17" s="151"/>
    </row>
    <row r="18" spans="1:9" ht="13.8">
      <c r="A18" s="34"/>
      <c r="B18" s="36" t="s">
        <v>36</v>
      </c>
      <c r="C18" s="31"/>
      <c r="D18" s="31">
        <v>7</v>
      </c>
      <c r="E18" s="26"/>
      <c r="F18" s="35">
        <f>VLOOKUP(Info!B9,Data!B:AP,35,FALSE)</f>
        <v>0</v>
      </c>
      <c r="G18" s="151" t="s">
        <v>29</v>
      </c>
      <c r="H18" s="151"/>
      <c r="I18" s="151"/>
    </row>
    <row r="19" spans="1:9" ht="13.8">
      <c r="A19" s="34"/>
      <c r="B19" s="36" t="s">
        <v>36</v>
      </c>
      <c r="C19" s="31"/>
      <c r="D19" s="31">
        <v>9</v>
      </c>
      <c r="E19" s="35"/>
      <c r="F19" s="35">
        <f>VLOOKUP(Info!B9,Data!B:AP,36,FALSE)</f>
        <v>7646007</v>
      </c>
      <c r="G19" s="151" t="s">
        <v>28</v>
      </c>
      <c r="H19" s="151"/>
      <c r="I19" s="151"/>
    </row>
    <row r="20" spans="1:9" ht="5.0999999999999996" customHeight="1">
      <c r="A20" s="34"/>
      <c r="B20" s="36"/>
      <c r="C20" s="31"/>
      <c r="D20" s="31"/>
      <c r="E20" s="35"/>
      <c r="F20" s="35"/>
      <c r="G20" s="151"/>
      <c r="H20" s="151"/>
      <c r="I20" s="151"/>
    </row>
    <row r="21" spans="1:9" ht="13.8">
      <c r="A21" s="34"/>
      <c r="B21" s="143" t="s">
        <v>37</v>
      </c>
      <c r="C21" s="31"/>
      <c r="D21" s="31"/>
      <c r="E21" s="169">
        <v>0</v>
      </c>
      <c r="F21" s="35"/>
      <c r="G21" s="152" t="s">
        <v>38</v>
      </c>
      <c r="H21" s="151" t="str">
        <f>IF(E21=0,"ERROR – Enter Amount"," ")</f>
        <v>ERROR – Enter Amount</v>
      </c>
      <c r="I21" s="26"/>
    </row>
    <row r="22" spans="1:9" ht="5.0999999999999996" customHeight="1">
      <c r="A22" s="34"/>
      <c r="B22" s="37"/>
      <c r="C22" s="32"/>
      <c r="D22" s="32"/>
      <c r="E22" s="35"/>
      <c r="F22" s="35"/>
      <c r="G22" s="26"/>
      <c r="H22" s="26"/>
      <c r="I22" s="26"/>
    </row>
    <row r="23" spans="1:9" ht="13.8">
      <c r="A23" s="34"/>
      <c r="B23" s="14" t="s">
        <v>39</v>
      </c>
      <c r="C23" s="26"/>
      <c r="D23" s="26"/>
      <c r="E23" s="38"/>
      <c r="F23" s="38"/>
      <c r="G23" s="151"/>
      <c r="H23" s="151"/>
      <c r="I23" s="26"/>
    </row>
    <row r="24" spans="1:9" ht="3" customHeight="1">
      <c r="A24" s="34"/>
      <c r="B24" s="30"/>
      <c r="C24" s="31"/>
      <c r="D24" s="31"/>
      <c r="E24" s="35"/>
      <c r="F24" s="35"/>
      <c r="G24" s="26"/>
      <c r="H24" s="26"/>
      <c r="I24" s="26"/>
    </row>
    <row r="25" spans="1:9" ht="13.8">
      <c r="A25" s="39"/>
      <c r="B25" s="40" t="s">
        <v>40</v>
      </c>
      <c r="C25" s="27"/>
      <c r="D25" s="27"/>
      <c r="E25" s="35"/>
      <c r="F25" s="35"/>
      <c r="G25" s="26"/>
      <c r="H25" s="26"/>
      <c r="I25" s="26"/>
    </row>
    <row r="26" spans="1:9" ht="13.5" customHeight="1">
      <c r="A26" s="34">
        <v>1</v>
      </c>
      <c r="B26" s="30" t="s">
        <v>41</v>
      </c>
      <c r="C26" s="31">
        <f>IF(Info!B$10=2,Summary!R9,Summary!Q9)</f>
        <v>61100008</v>
      </c>
      <c r="D26" s="27"/>
      <c r="E26" s="35">
        <f>IF(E21=0,0,IF(E21&lt;E14,E14-E21,0))</f>
        <v>0</v>
      </c>
      <c r="F26" s="35"/>
      <c r="G26" s="151" t="s">
        <v>42</v>
      </c>
      <c r="H26" s="151"/>
      <c r="I26" s="151"/>
    </row>
    <row r="27" spans="1:9" ht="13.5" customHeight="1">
      <c r="A27" s="39"/>
      <c r="B27" s="30" t="s">
        <v>43</v>
      </c>
      <c r="C27" s="31">
        <f>IF(Info!B$10=2,Summary!R13,Summary!Q13)</f>
        <v>55900000</v>
      </c>
      <c r="D27" s="27"/>
      <c r="E27" s="35">
        <f>F28</f>
        <v>0</v>
      </c>
      <c r="F27" s="35"/>
      <c r="G27" s="151" t="s">
        <v>44</v>
      </c>
      <c r="H27" s="151" t="s">
        <v>45</v>
      </c>
      <c r="I27" s="26"/>
    </row>
    <row r="28" spans="1:9" ht="13.5" customHeight="1">
      <c r="A28" s="39"/>
      <c r="B28" s="36" t="s">
        <v>41</v>
      </c>
      <c r="C28" s="31">
        <f>IF(Info!B$10=2,Summary!R9,Summary!Q9)</f>
        <v>61100008</v>
      </c>
      <c r="D28" s="27"/>
      <c r="E28" s="35"/>
      <c r="F28" s="35">
        <f>IF(E21=0,0,IF(E21&gt;E14,E21-E14,0))</f>
        <v>0</v>
      </c>
      <c r="G28" s="151" t="s">
        <v>42</v>
      </c>
      <c r="H28" s="151"/>
      <c r="I28" s="26"/>
    </row>
    <row r="29" spans="1:9" ht="13.5" customHeight="1">
      <c r="A29" s="39"/>
      <c r="B29" s="36" t="s">
        <v>46</v>
      </c>
      <c r="C29" s="31">
        <f>IF(Info!B$10=2,Summary!R14,Summary!Q14)</f>
        <v>47995000</v>
      </c>
      <c r="D29" s="27"/>
      <c r="E29" s="141"/>
      <c r="F29" s="141">
        <f>E26</f>
        <v>0</v>
      </c>
      <c r="G29" s="151" t="s">
        <v>44</v>
      </c>
      <c r="H29" s="151" t="s">
        <v>45</v>
      </c>
      <c r="I29" s="26"/>
    </row>
    <row r="30" spans="1:9" ht="13.8">
      <c r="A30" s="39"/>
      <c r="B30" s="36" t="s">
        <v>47</v>
      </c>
      <c r="C30" s="27"/>
      <c r="D30" s="27"/>
      <c r="E30" s="42">
        <f>SUM(E26:E29)</f>
        <v>0</v>
      </c>
      <c r="F30" s="42">
        <f>SUM(F26:F29)</f>
        <v>0</v>
      </c>
      <c r="G30" s="26"/>
      <c r="H30" s="26"/>
      <c r="I30" s="26"/>
    </row>
    <row r="31" spans="1:9" ht="3" customHeight="1">
      <c r="A31" s="39"/>
      <c r="B31" s="40"/>
      <c r="C31" s="27"/>
      <c r="D31" s="27"/>
      <c r="E31" s="35"/>
      <c r="F31" s="35"/>
      <c r="G31" s="26"/>
      <c r="H31" s="26"/>
      <c r="I31" s="26"/>
    </row>
    <row r="32" spans="1:9" ht="13.8">
      <c r="A32" s="39"/>
      <c r="B32" s="40" t="s">
        <v>48</v>
      </c>
      <c r="C32" s="27"/>
      <c r="D32" s="27"/>
      <c r="E32" s="35"/>
      <c r="F32" s="35"/>
      <c r="G32" s="26"/>
      <c r="H32" s="26"/>
      <c r="I32" s="26"/>
    </row>
    <row r="33" spans="1:9" ht="13.8">
      <c r="A33" s="34"/>
      <c r="B33" s="30" t="s">
        <v>49</v>
      </c>
      <c r="C33" s="31">
        <f>IF(Info!B$10=2,Summary!R8,Summary!Q8)</f>
        <v>22915000</v>
      </c>
      <c r="D33" s="31"/>
      <c r="E33" s="35">
        <f>IF(VLOOKUP(Info!B9,Data!B:AS,44,FALSE)&lt;0, -VLOOKUP(Info!B9,Data!B:AS,44,FALSE),0)</f>
        <v>0</v>
      </c>
      <c r="F33" s="35"/>
      <c r="G33" s="151" t="s">
        <v>50</v>
      </c>
      <c r="H33" s="151" t="s">
        <v>51</v>
      </c>
      <c r="I33" s="153"/>
    </row>
    <row r="34" spans="1:9" ht="13.8">
      <c r="A34" s="34"/>
      <c r="B34" s="30" t="s">
        <v>27</v>
      </c>
      <c r="C34" s="31">
        <f>IF(Info!B$10=2,Summary!R9,Summary!Q9)</f>
        <v>61100008</v>
      </c>
      <c r="D34" s="31">
        <v>1</v>
      </c>
      <c r="E34" s="35">
        <f>IF(VLOOKUP(Info!B9,Data!B:AS,40,FALSE)&gt;0, VLOOKUP(Info!B9,Data!B:AS,40,FALSE),0)</f>
        <v>17173848</v>
      </c>
      <c r="F34" s="35"/>
      <c r="G34" s="151" t="s">
        <v>31</v>
      </c>
      <c r="H34" s="151" t="s">
        <v>52</v>
      </c>
      <c r="I34" s="151"/>
    </row>
    <row r="35" spans="1:9" ht="13.8">
      <c r="A35" s="34">
        <v>2</v>
      </c>
      <c r="B35" s="30" t="s">
        <v>36</v>
      </c>
      <c r="C35" s="31">
        <f>IF(Info!B$10=2,Summary!R10,Summary!Q10)</f>
        <v>71100010</v>
      </c>
      <c r="D35" s="31">
        <v>6</v>
      </c>
      <c r="E35" s="35">
        <f>IF(VLOOKUP(Info!B9,Data!B:AS,41,FALSE)&lt;0, -VLOOKUP(Info!B9,Data!B:AS,41,FALSE),0)</f>
        <v>886926</v>
      </c>
      <c r="F35" s="35"/>
      <c r="G35" s="151" t="s">
        <v>31</v>
      </c>
      <c r="H35" s="151" t="s">
        <v>52</v>
      </c>
      <c r="I35" s="151"/>
    </row>
    <row r="36" spans="1:9" ht="13.8">
      <c r="A36" s="26"/>
      <c r="B36" s="30" t="s">
        <v>27</v>
      </c>
      <c r="C36" s="31">
        <f>IF(Info!B$10=2,Summary!R9,Summary!Q9)</f>
        <v>61100008</v>
      </c>
      <c r="D36" s="31">
        <v>2</v>
      </c>
      <c r="E36" s="35">
        <f>IF(VLOOKUP(Info!B9,Data!B:AS,42,FALSE)&gt;0, VLOOKUP(Info!B9,Data!B:AS,42,FALSE),0)</f>
        <v>0</v>
      </c>
      <c r="F36" s="35"/>
      <c r="G36" s="151" t="s">
        <v>29</v>
      </c>
      <c r="H36" s="151" t="s">
        <v>53</v>
      </c>
      <c r="I36" s="153"/>
    </row>
    <row r="37" spans="1:9" ht="13.8">
      <c r="A37" s="26"/>
      <c r="B37" s="30" t="s">
        <v>36</v>
      </c>
      <c r="C37" s="31">
        <f>IF(Info!B$10=2,Summary!R10,Summary!Q10)</f>
        <v>71100010</v>
      </c>
      <c r="D37" s="31">
        <v>7</v>
      </c>
      <c r="E37" s="35">
        <f>IF(VLOOKUP(Info!B9,Data!B:AS,43,FALSE)&lt;0, -VLOOKUP(Info!B9,Data!B:AS,43,FALSE),0)</f>
        <v>0</v>
      </c>
      <c r="F37" s="35"/>
      <c r="G37" s="151" t="s">
        <v>29</v>
      </c>
      <c r="H37" s="151"/>
      <c r="I37" s="153"/>
    </row>
    <row r="38" spans="1:9" ht="13.8">
      <c r="A38" s="34"/>
      <c r="B38" s="30" t="s">
        <v>27</v>
      </c>
      <c r="C38" s="31">
        <f>IF(Info!B$10=2,Summary!R9,Summary!Q9)</f>
        <v>61100008</v>
      </c>
      <c r="D38" s="31">
        <v>4</v>
      </c>
      <c r="E38" s="35">
        <f>IF(VLOOKUP(Info!B9,Data!B:AS,38,FALSE)&gt;0, VLOOKUP(Info!B9,Data!B:AS,38,FALSE),0)</f>
        <v>5109839</v>
      </c>
      <c r="F38" s="35"/>
      <c r="G38" s="151" t="s">
        <v>28</v>
      </c>
      <c r="H38" s="151" t="s">
        <v>54</v>
      </c>
      <c r="I38" s="153"/>
    </row>
    <row r="39" spans="1:9" ht="13.8">
      <c r="A39" s="34"/>
      <c r="B39" s="30" t="s">
        <v>36</v>
      </c>
      <c r="C39" s="31">
        <f>IF(Info!B$10=2,Summary!R10,Summary!Q10)</f>
        <v>71100010</v>
      </c>
      <c r="D39" s="31">
        <v>8</v>
      </c>
      <c r="E39" s="35">
        <f>IF(VLOOKUP(Info!B9,Data!B:AU,46,FALSE)&lt;0, -VLOOKUP(Info!B9,Data!B:AU,46,FALSE),0)</f>
        <v>0</v>
      </c>
      <c r="F39" s="35"/>
      <c r="G39" s="151" t="s">
        <v>30</v>
      </c>
      <c r="H39" s="151" t="s">
        <v>52</v>
      </c>
      <c r="I39" s="153"/>
    </row>
    <row r="40" spans="1:9" ht="13.8">
      <c r="A40" s="34"/>
      <c r="B40" s="30" t="s">
        <v>27</v>
      </c>
      <c r="C40" s="31">
        <f>IF(Info!B$10=2,Summary!R9,Summary!Q9)</f>
        <v>61100008</v>
      </c>
      <c r="D40" s="31">
        <v>3</v>
      </c>
      <c r="E40" s="35">
        <f>IF(VLOOKUP(Info!B9,Data!B:AU,45,FALSE)&gt;0, VLOOKUP(Info!B9,Data!B:AU,45,FALSE),0)</f>
        <v>822857</v>
      </c>
      <c r="F40" s="35"/>
      <c r="G40" s="151" t="s">
        <v>30</v>
      </c>
      <c r="H40" s="151" t="s">
        <v>52</v>
      </c>
      <c r="I40" s="153"/>
    </row>
    <row r="41" spans="1:9" ht="13.8">
      <c r="A41" s="34"/>
      <c r="B41" s="30" t="s">
        <v>36</v>
      </c>
      <c r="C41" s="31">
        <f>IF(Info!B$10=2,Summary!R10,Summary!Q10)</f>
        <v>71100010</v>
      </c>
      <c r="D41" s="31">
        <v>9</v>
      </c>
      <c r="E41" s="35">
        <f>IF(VLOOKUP(Info!B9,Data!B:AS,39,FALSE)&lt;0, -VLOOKUP(Info!B9,Data!B:AS,39,FALSE),0)</f>
        <v>3266150</v>
      </c>
      <c r="F41" s="35"/>
      <c r="G41" s="151" t="s">
        <v>28</v>
      </c>
      <c r="H41" s="151" t="s">
        <v>54</v>
      </c>
      <c r="I41" s="153"/>
    </row>
    <row r="42" spans="1:9" ht="13.8">
      <c r="A42" s="34"/>
      <c r="B42" s="30" t="s">
        <v>55</v>
      </c>
      <c r="C42" s="31">
        <f>IF(Info!B$10=2,Summary!R11,Summary!Q11)</f>
        <v>51595000</v>
      </c>
      <c r="D42" s="31"/>
      <c r="E42" s="35">
        <f>VLOOKUP(Info!B9,Data!B:AS,15,FALSE)</f>
        <v>55300281</v>
      </c>
      <c r="F42" s="35"/>
      <c r="G42" s="151" t="s">
        <v>56</v>
      </c>
      <c r="H42" s="154" t="s">
        <v>57</v>
      </c>
      <c r="I42" s="151"/>
    </row>
    <row r="43" spans="1:9" ht="13.8">
      <c r="A43" s="34"/>
      <c r="B43" s="36" t="s">
        <v>49</v>
      </c>
      <c r="C43" s="31">
        <f>IF(Info!B$10=2,Summary!R8,Summary!Q8)</f>
        <v>22915000</v>
      </c>
      <c r="D43" s="31"/>
      <c r="E43" s="35"/>
      <c r="F43" s="35">
        <f>IF(VLOOKUP(Info!B9,Data!B:AS,44,FALSE)&gt;0, VLOOKUP(Info!B9,Data!B:AS,44,FALSE),0)</f>
        <v>36035021</v>
      </c>
      <c r="G43" s="151" t="s">
        <v>50</v>
      </c>
      <c r="H43" s="151" t="s">
        <v>51</v>
      </c>
      <c r="I43" s="151"/>
    </row>
    <row r="44" spans="1:9" ht="13.8">
      <c r="A44" s="34"/>
      <c r="B44" s="36" t="s">
        <v>36</v>
      </c>
      <c r="C44" s="31">
        <f>IF(Info!B$10=2,Summary!R10,Summary!Q10)</f>
        <v>71100010</v>
      </c>
      <c r="D44" s="31">
        <v>6</v>
      </c>
      <c r="E44" s="41"/>
      <c r="F44" s="35">
        <f>IF(VLOOKUP(Info!B9,Data!B:AS,41,FALSE)&gt;0, VLOOKUP(Info!B9,Data!B:AS,41,FALSE),0)</f>
        <v>0</v>
      </c>
      <c r="G44" s="151" t="s">
        <v>31</v>
      </c>
      <c r="H44" s="151" t="s">
        <v>58</v>
      </c>
      <c r="I44" s="26"/>
    </row>
    <row r="45" spans="1:9" ht="13.8">
      <c r="A45" s="34"/>
      <c r="B45" s="36" t="s">
        <v>27</v>
      </c>
      <c r="C45" s="31">
        <f>IF(Info!B$10=2,Summary!R9,Summary!Q9)</f>
        <v>61100008</v>
      </c>
      <c r="D45" s="31">
        <v>1</v>
      </c>
      <c r="E45" s="41"/>
      <c r="F45" s="35">
        <f>IF(VLOOKUP(Info!B9,Data!B:AS,40,FALSE)&lt;0, -VLOOKUP(Info!B9,Data!B:AS,40,FALSE),0)</f>
        <v>0</v>
      </c>
      <c r="G45" s="151" t="s">
        <v>31</v>
      </c>
      <c r="H45" s="151" t="s">
        <v>58</v>
      </c>
      <c r="I45" s="26"/>
    </row>
    <row r="46" spans="1:9" ht="13.8">
      <c r="A46" s="34"/>
      <c r="B46" s="36" t="s">
        <v>36</v>
      </c>
      <c r="C46" s="31">
        <f>IF(Info!B$10=2,Summary!R10,Summary!Q10)</f>
        <v>71100010</v>
      </c>
      <c r="D46" s="31">
        <v>7</v>
      </c>
      <c r="E46" s="41"/>
      <c r="F46" s="35">
        <f>IF(VLOOKUP(Info!B9,Data!B:AS,43,FALSE)&gt;0, VLOOKUP(Info!B9,Data!B:AS,43,FALSE),0)</f>
        <v>0</v>
      </c>
      <c r="G46" s="151" t="s">
        <v>29</v>
      </c>
      <c r="H46" s="151" t="s">
        <v>59</v>
      </c>
      <c r="I46" s="26"/>
    </row>
    <row r="47" spans="1:9" ht="13.8">
      <c r="A47" s="34"/>
      <c r="B47" s="36" t="s">
        <v>27</v>
      </c>
      <c r="C47" s="31">
        <f>IF(Info!B$10=2,Summary!R9,Summary!Q9)</f>
        <v>61100008</v>
      </c>
      <c r="D47" s="31">
        <v>2</v>
      </c>
      <c r="E47" s="41"/>
      <c r="F47" s="35">
        <f>IF(VLOOKUP(Info!B9,Data!B:AS,42,FALSE)&lt;0, -VLOOKUP(Info!B9,Data!B:AS,42,FALSE),0)</f>
        <v>6810513</v>
      </c>
      <c r="G47" s="151" t="s">
        <v>29</v>
      </c>
      <c r="H47" s="151"/>
      <c r="I47" s="26"/>
    </row>
    <row r="48" spans="1:9" ht="13.8">
      <c r="A48" s="34"/>
      <c r="B48" s="36" t="s">
        <v>36</v>
      </c>
      <c r="C48" s="31">
        <f>IF(Info!B$10=2,Summary!R10,Summary!Q10)</f>
        <v>71100010</v>
      </c>
      <c r="D48" s="31">
        <v>9</v>
      </c>
      <c r="E48" s="41"/>
      <c r="F48" s="35">
        <f>IF(VLOOKUP(Info!B9,Data!B:AS,39,FALSE)&gt;0, VLOOKUP(Info!B9,Data!B:AS,39,FALSE),0)</f>
        <v>0</v>
      </c>
      <c r="G48" s="151" t="s">
        <v>28</v>
      </c>
      <c r="H48" s="151" t="s">
        <v>54</v>
      </c>
      <c r="I48" s="26"/>
    </row>
    <row r="49" spans="1:9" ht="13.8">
      <c r="A49" s="34"/>
      <c r="B49" s="36" t="s">
        <v>27</v>
      </c>
      <c r="C49" s="31">
        <f>IF(Info!B$10=2,Summary!R9,Summary!Q9)</f>
        <v>61100008</v>
      </c>
      <c r="D49" s="31">
        <v>4</v>
      </c>
      <c r="E49" s="41"/>
      <c r="F49" s="35">
        <f>IF(VLOOKUP(Info!B9,Data!B:AS,38,FALSE)&lt;0, -VLOOKUP(Info!B9,Data!B:AS,38,FALSE),0)</f>
        <v>0</v>
      </c>
      <c r="G49" s="151" t="s">
        <v>28</v>
      </c>
      <c r="H49" s="151" t="s">
        <v>54</v>
      </c>
      <c r="I49" s="26"/>
    </row>
    <row r="50" spans="1:9" ht="13.8">
      <c r="A50" s="34"/>
      <c r="B50" s="36" t="s">
        <v>36</v>
      </c>
      <c r="C50" s="31">
        <f>IF(Info!B$10=2,Summary!R10,Summary!Q10)</f>
        <v>71100010</v>
      </c>
      <c r="D50" s="31">
        <v>8</v>
      </c>
      <c r="E50" s="41"/>
      <c r="F50" s="35">
        <f>IF(VLOOKUP(Info!B9,Data!B:AU,46,FALSE)&gt;0, VLOOKUP(Info!B9,Data!B:AU,46,FALSE),0)</f>
        <v>0</v>
      </c>
      <c r="G50" s="151" t="s">
        <v>30</v>
      </c>
      <c r="H50" s="151" t="s">
        <v>52</v>
      </c>
      <c r="I50" s="26"/>
    </row>
    <row r="51" spans="1:9" ht="13.8">
      <c r="A51" s="34"/>
      <c r="B51" s="36" t="s">
        <v>27</v>
      </c>
      <c r="C51" s="31">
        <f>IF(Info!B$10=2,Summary!R9,Summary!Q9)</f>
        <v>61100008</v>
      </c>
      <c r="D51" s="31">
        <v>3</v>
      </c>
      <c r="E51" s="41"/>
      <c r="F51" s="35">
        <f>IF(VLOOKUP(Info!B9,Data!B:AU,45,FALSE)&lt;0, -VLOOKUP(Info!B9,Data!B:AU,45,FALSE),0)</f>
        <v>0</v>
      </c>
      <c r="G51" s="151" t="s">
        <v>30</v>
      </c>
      <c r="H51" s="151" t="s">
        <v>52</v>
      </c>
      <c r="I51" s="26"/>
    </row>
    <row r="52" spans="1:9" ht="13.8">
      <c r="A52" s="34"/>
      <c r="B52" s="36" t="s">
        <v>27</v>
      </c>
      <c r="C52" s="31">
        <f>IF(Info!B$10=2,Summary!R9,Summary!Q9)</f>
        <v>61100008</v>
      </c>
      <c r="D52" s="31"/>
      <c r="E52" s="41"/>
      <c r="F52" s="35">
        <f>E14</f>
        <v>39714367</v>
      </c>
      <c r="G52" s="151" t="s">
        <v>60</v>
      </c>
      <c r="H52" s="151" t="s">
        <v>61</v>
      </c>
      <c r="I52" s="151" t="s">
        <v>33</v>
      </c>
    </row>
    <row r="53" spans="1:9" ht="13.8">
      <c r="A53" s="34"/>
      <c r="B53" s="30" t="s">
        <v>62</v>
      </c>
      <c r="C53" s="31"/>
      <c r="D53" s="31"/>
      <c r="E53" s="42">
        <f>SUM(E33:E52)</f>
        <v>82559901</v>
      </c>
      <c r="F53" s="42">
        <f>SUM(F33:F52)</f>
        <v>82559901</v>
      </c>
      <c r="G53" s="26"/>
      <c r="H53" s="26"/>
      <c r="I53" s="26"/>
    </row>
    <row r="54" spans="1:9" ht="13.8">
      <c r="A54" s="34"/>
      <c r="B54" s="30" t="s">
        <v>63</v>
      </c>
      <c r="C54" s="31"/>
      <c r="D54" s="31"/>
      <c r="E54" s="35"/>
      <c r="F54" s="41"/>
      <c r="G54" s="26"/>
      <c r="H54" s="26"/>
      <c r="I54" s="26"/>
    </row>
    <row r="55" spans="1:9" ht="3" customHeight="1">
      <c r="A55" s="34"/>
      <c r="B55" s="37"/>
      <c r="C55" s="31"/>
      <c r="D55" s="31"/>
      <c r="E55" s="35"/>
      <c r="F55" s="41"/>
      <c r="G55" s="26"/>
      <c r="H55" s="26"/>
      <c r="I55" s="26"/>
    </row>
    <row r="56" spans="1:9" ht="13.8">
      <c r="A56" s="34"/>
      <c r="B56" s="48" t="s">
        <v>64</v>
      </c>
      <c r="C56" s="32"/>
      <c r="D56" s="32"/>
      <c r="E56" s="35"/>
      <c r="F56" s="35"/>
      <c r="G56" s="26"/>
      <c r="H56" s="26"/>
      <c r="I56" s="26"/>
    </row>
    <row r="57" spans="1:9" ht="13.8">
      <c r="A57" s="34">
        <v>3</v>
      </c>
      <c r="B57" s="144" t="s">
        <v>65</v>
      </c>
      <c r="C57" s="31">
        <f>IF(Info!B$10=2,Summary!R9,Summary!Q9)</f>
        <v>61100008</v>
      </c>
      <c r="D57" s="31">
        <v>5</v>
      </c>
      <c r="E57" s="169">
        <v>0</v>
      </c>
      <c r="F57" s="35"/>
      <c r="G57" s="152" t="s">
        <v>66</v>
      </c>
      <c r="H57" s="153" t="str">
        <f>IF(E57=0,"ERROR – Enter Amount"," ")</f>
        <v>ERROR – Enter Amount</v>
      </c>
      <c r="I57" s="26"/>
    </row>
    <row r="58" spans="1:9" ht="13.8">
      <c r="A58" s="34"/>
      <c r="B58" s="36" t="s">
        <v>67</v>
      </c>
      <c r="C58" s="31">
        <f>IF(Info!B$10=2,Summary!R12,Summary!Q12)</f>
        <v>51520000</v>
      </c>
      <c r="D58" s="31"/>
      <c r="E58" s="35"/>
      <c r="F58" s="35">
        <f>E57</f>
        <v>0</v>
      </c>
      <c r="G58" s="151" t="s">
        <v>44</v>
      </c>
      <c r="H58" s="151" t="s">
        <v>68</v>
      </c>
      <c r="I58" s="26"/>
    </row>
    <row r="59" spans="1:9" ht="13.8">
      <c r="A59" s="34"/>
      <c r="B59" s="30" t="s">
        <v>69</v>
      </c>
      <c r="C59" s="31"/>
      <c r="D59" s="31"/>
      <c r="E59" s="42">
        <f>SUM(E57:E58)</f>
        <v>0</v>
      </c>
      <c r="F59" s="42">
        <f>SUM(F57:F58)</f>
        <v>0</v>
      </c>
      <c r="G59" s="26"/>
      <c r="H59" s="26"/>
      <c r="I59" s="26"/>
    </row>
    <row r="60" spans="1:9" ht="12.6" customHeight="1">
      <c r="A60" s="34"/>
      <c r="B60" s="120" t="s">
        <v>70</v>
      </c>
      <c r="C60" s="31"/>
      <c r="D60" s="31"/>
      <c r="E60" s="35"/>
      <c r="F60" s="35"/>
      <c r="G60" s="26"/>
      <c r="H60" s="26"/>
      <c r="I60" s="26"/>
    </row>
    <row r="61" spans="1:9" customFormat="1" ht="12.6" customHeight="1">
      <c r="A61" s="210"/>
      <c r="B61" s="276" t="s">
        <v>574</v>
      </c>
      <c r="C61" s="211"/>
      <c r="D61" s="211"/>
      <c r="E61" s="212"/>
      <c r="F61" s="212"/>
    </row>
    <row r="62" spans="1:9" customFormat="1" ht="13.8">
      <c r="A62" s="210"/>
      <c r="B62" s="213" t="s">
        <v>71</v>
      </c>
      <c r="C62" s="211"/>
      <c r="D62" s="211"/>
      <c r="E62" s="214"/>
      <c r="F62" s="214"/>
    </row>
    <row r="63" spans="1:9" ht="13.8">
      <c r="A63" s="57"/>
      <c r="B63" s="58"/>
      <c r="C63" s="17"/>
      <c r="D63" s="17"/>
      <c r="E63" s="59"/>
      <c r="F63" s="59"/>
    </row>
    <row r="64" spans="1:9" ht="15.9" customHeight="1">
      <c r="A64" s="248" t="s">
        <v>24</v>
      </c>
      <c r="B64" s="249"/>
      <c r="C64" s="17"/>
      <c r="D64" s="17"/>
      <c r="E64" s="59"/>
      <c r="F64" s="59"/>
    </row>
    <row r="65" spans="1:13" ht="54.9" customHeight="1">
      <c r="A65" s="60" t="s">
        <v>72</v>
      </c>
      <c r="B65" s="250" t="s">
        <v>73</v>
      </c>
      <c r="C65" s="250"/>
      <c r="D65" s="250"/>
      <c r="E65" s="250"/>
      <c r="F65" s="250"/>
      <c r="G65" s="250"/>
      <c r="H65" s="197"/>
      <c r="I65" s="198"/>
    </row>
    <row r="66" spans="1:13" ht="6" customHeight="1">
      <c r="A66" s="61"/>
      <c r="B66" s="62"/>
      <c r="C66" s="63"/>
      <c r="D66" s="63"/>
      <c r="E66" s="63"/>
      <c r="F66" s="63"/>
      <c r="G66" s="63"/>
      <c r="H66" s="63"/>
    </row>
    <row r="67" spans="1:13" ht="29.1" customHeight="1">
      <c r="A67" s="60" t="s">
        <v>74</v>
      </c>
      <c r="B67" s="253" t="s">
        <v>75</v>
      </c>
      <c r="C67" s="252"/>
      <c r="D67" s="252"/>
      <c r="E67" s="252"/>
      <c r="F67" s="252"/>
      <c r="G67" s="252"/>
      <c r="H67" s="198"/>
      <c r="I67" s="197"/>
    </row>
    <row r="68" spans="1:13" ht="6" customHeight="1">
      <c r="A68" s="61"/>
      <c r="B68" s="62"/>
      <c r="C68" s="63"/>
      <c r="D68" s="63"/>
      <c r="E68" s="63"/>
      <c r="F68" s="63"/>
      <c r="G68" s="63"/>
      <c r="H68" s="63"/>
    </row>
    <row r="69" spans="1:13" ht="54.9" customHeight="1">
      <c r="A69" s="60" t="s">
        <v>76</v>
      </c>
      <c r="B69" s="250" t="s">
        <v>77</v>
      </c>
      <c r="C69" s="252"/>
      <c r="D69" s="252"/>
      <c r="E69" s="252"/>
      <c r="F69" s="252"/>
      <c r="G69" s="252"/>
      <c r="H69" s="198"/>
      <c r="I69" s="197"/>
    </row>
    <row r="70" spans="1:13" ht="6" customHeight="1">
      <c r="A70" s="61"/>
      <c r="B70" s="197"/>
      <c r="C70" s="197"/>
      <c r="D70" s="197"/>
      <c r="E70" s="197"/>
      <c r="F70" s="197"/>
      <c r="G70" s="197"/>
      <c r="H70" s="197"/>
    </row>
    <row r="71" spans="1:13" ht="15" customHeight="1">
      <c r="A71" s="60" t="s">
        <v>78</v>
      </c>
      <c r="B71" s="253" t="s">
        <v>79</v>
      </c>
      <c r="C71" s="252"/>
      <c r="D71" s="252"/>
      <c r="E71" s="252"/>
      <c r="F71" s="252"/>
      <c r="G71" s="252"/>
      <c r="H71" s="198"/>
      <c r="I71" s="63"/>
    </row>
    <row r="72" spans="1:13" ht="6" customHeight="1">
      <c r="A72" s="61"/>
      <c r="B72" s="63"/>
      <c r="C72" s="197"/>
      <c r="D72" s="197"/>
      <c r="E72" s="197"/>
      <c r="F72" s="197"/>
      <c r="G72" s="197"/>
      <c r="H72" s="197"/>
    </row>
    <row r="73" spans="1:13" ht="54" customHeight="1">
      <c r="A73" s="60" t="s">
        <v>53</v>
      </c>
      <c r="B73" s="250" t="s">
        <v>80</v>
      </c>
      <c r="C73" s="250"/>
      <c r="D73" s="250"/>
      <c r="E73" s="250"/>
      <c r="F73" s="250"/>
      <c r="G73" s="250"/>
      <c r="H73" s="196"/>
    </row>
    <row r="74" spans="1:13" ht="6" customHeight="1">
      <c r="A74" s="61"/>
      <c r="B74" s="197"/>
      <c r="C74" s="197"/>
      <c r="D74" s="197"/>
      <c r="E74" s="197"/>
      <c r="F74" s="197"/>
      <c r="G74" s="197"/>
      <c r="H74" s="197"/>
      <c r="J74" s="20"/>
      <c r="L74" s="21"/>
      <c r="M74" s="21"/>
    </row>
    <row r="75" spans="1:13" ht="81.900000000000006" customHeight="1">
      <c r="A75" s="64" t="s">
        <v>81</v>
      </c>
      <c r="B75" s="250" t="s">
        <v>82</v>
      </c>
      <c r="C75" s="251"/>
      <c r="D75" s="251"/>
      <c r="E75" s="251"/>
      <c r="F75" s="251"/>
      <c r="G75" s="251"/>
      <c r="H75" s="197"/>
      <c r="L75" s="21"/>
      <c r="M75" s="21"/>
    </row>
    <row r="76" spans="1:13" ht="6" customHeight="1">
      <c r="A76" s="61"/>
      <c r="B76" s="197"/>
      <c r="C76" s="197"/>
      <c r="D76" s="197"/>
      <c r="E76" s="197"/>
      <c r="F76" s="197"/>
      <c r="G76" s="197"/>
      <c r="H76" s="197"/>
      <c r="J76" s="20"/>
      <c r="L76" s="21"/>
      <c r="M76" s="21"/>
    </row>
    <row r="77" spans="1:13" ht="95.1" customHeight="1">
      <c r="A77" s="60" t="s">
        <v>83</v>
      </c>
      <c r="B77" s="250" t="s">
        <v>84</v>
      </c>
      <c r="C77" s="252"/>
      <c r="D77" s="252"/>
      <c r="E77" s="252"/>
      <c r="F77" s="252"/>
      <c r="G77" s="252"/>
      <c r="H77" s="198"/>
      <c r="J77" s="20"/>
      <c r="L77" s="21"/>
      <c r="M77" s="21"/>
    </row>
    <row r="78" spans="1:13" ht="6" customHeight="1">
      <c r="A78" s="61"/>
      <c r="B78" s="197"/>
      <c r="C78" s="197"/>
      <c r="D78" s="197"/>
      <c r="E78" s="197"/>
      <c r="F78" s="197"/>
      <c r="G78" s="197"/>
      <c r="H78" s="197"/>
      <c r="J78" s="20"/>
      <c r="L78" s="21"/>
      <c r="M78" s="21"/>
    </row>
    <row r="79" spans="1:13" ht="27" customHeight="1">
      <c r="A79" s="64" t="s">
        <v>85</v>
      </c>
      <c r="B79" s="253" t="s">
        <v>86</v>
      </c>
      <c r="C79" s="252"/>
      <c r="D79" s="252"/>
      <c r="E79" s="252"/>
      <c r="F79" s="252"/>
      <c r="G79" s="252"/>
      <c r="H79" s="198"/>
      <c r="J79" s="20"/>
      <c r="L79" s="21"/>
      <c r="M79" s="21"/>
    </row>
    <row r="80" spans="1:13" ht="6" customHeight="1">
      <c r="A80" s="61"/>
      <c r="B80" s="197"/>
      <c r="C80" s="197"/>
      <c r="D80" s="197"/>
      <c r="E80" s="197"/>
      <c r="F80" s="197"/>
      <c r="G80" s="197"/>
      <c r="H80" s="197"/>
      <c r="J80" s="20"/>
      <c r="L80" s="21"/>
      <c r="M80" s="21"/>
    </row>
    <row r="81" spans="1:13" s="22" customFormat="1" ht="27" customHeight="1">
      <c r="A81" s="64" t="s">
        <v>68</v>
      </c>
      <c r="B81" s="253" t="s">
        <v>87</v>
      </c>
      <c r="C81" s="252"/>
      <c r="D81" s="252"/>
      <c r="E81" s="252"/>
      <c r="F81" s="252"/>
      <c r="G81" s="252"/>
      <c r="H81" s="198"/>
      <c r="J81" s="23"/>
      <c r="L81" s="24"/>
      <c r="M81" s="24"/>
    </row>
    <row r="82" spans="1:13" s="22" customFormat="1" ht="6" customHeight="1">
      <c r="A82" s="64"/>
      <c r="B82" s="199"/>
      <c r="C82" s="198"/>
      <c r="D82" s="198"/>
      <c r="E82" s="198"/>
      <c r="F82" s="198"/>
      <c r="G82" s="198"/>
      <c r="H82" s="198"/>
      <c r="J82" s="23"/>
      <c r="L82" s="24"/>
      <c r="M82" s="24"/>
    </row>
    <row r="83" spans="1:13" ht="42" customHeight="1">
      <c r="A83" s="64" t="s">
        <v>57</v>
      </c>
      <c r="B83" s="253" t="s">
        <v>88</v>
      </c>
      <c r="C83" s="252"/>
      <c r="D83" s="252"/>
      <c r="E83" s="252"/>
      <c r="F83" s="252"/>
      <c r="G83" s="252"/>
      <c r="J83" s="20"/>
      <c r="L83" s="21"/>
      <c r="M83" s="21"/>
    </row>
    <row r="84" spans="1:13" ht="6" customHeight="1">
      <c r="A84" s="64"/>
      <c r="B84" s="199"/>
      <c r="C84" s="198"/>
      <c r="D84" s="198"/>
      <c r="E84" s="198"/>
      <c r="F84" s="198"/>
      <c r="G84" s="198"/>
      <c r="J84" s="20"/>
      <c r="L84" s="21"/>
      <c r="M84" s="21"/>
    </row>
    <row r="85" spans="1:13" ht="30" customHeight="1">
      <c r="A85" s="64"/>
      <c r="B85" s="253"/>
      <c r="C85" s="252"/>
      <c r="D85" s="252"/>
      <c r="E85" s="252"/>
      <c r="F85" s="252"/>
      <c r="G85" s="252"/>
      <c r="J85" s="20"/>
      <c r="L85" s="21"/>
      <c r="M85" s="21"/>
    </row>
    <row r="92" spans="1:13" ht="13.8">
      <c r="C92" s="19"/>
      <c r="D92" s="19"/>
    </row>
    <row r="93" spans="1:13" ht="13.8">
      <c r="C93" s="19"/>
      <c r="D93" s="19"/>
    </row>
    <row r="94" spans="1:13" ht="13.8">
      <c r="C94" s="19"/>
      <c r="D94" s="19"/>
    </row>
    <row r="95" spans="1:13" ht="13.8">
      <c r="C95" s="19"/>
      <c r="D95" s="19"/>
    </row>
    <row r="96" spans="1:13" ht="13.8">
      <c r="C96" s="19"/>
      <c r="D96" s="19"/>
    </row>
    <row r="97" spans="3:4" ht="13.8">
      <c r="C97" s="18"/>
      <c r="D97" s="18"/>
    </row>
    <row r="98" spans="3:4" ht="13.8">
      <c r="C98" s="25"/>
      <c r="D98" s="25"/>
    </row>
    <row r="99" spans="3:4" ht="13.8">
      <c r="C99" s="17"/>
      <c r="D99" s="17"/>
    </row>
    <row r="100" spans="3:4" ht="13.8">
      <c r="C100" s="16"/>
      <c r="D100" s="16"/>
    </row>
    <row r="101" spans="3:4" ht="13.8">
      <c r="C101" s="19"/>
      <c r="D101" s="19"/>
    </row>
    <row r="102" spans="3:4" ht="13.8">
      <c r="C102" s="17"/>
      <c r="D102" s="17"/>
    </row>
    <row r="103" spans="3:4" ht="13.8">
      <c r="C103" s="16"/>
      <c r="D103" s="16"/>
    </row>
    <row r="104" spans="3:4" ht="13.8">
      <c r="C104" s="17"/>
      <c r="D104" s="17"/>
    </row>
    <row r="105" spans="3:4" ht="13.8">
      <c r="C105" s="17"/>
      <c r="D105" s="17"/>
    </row>
    <row r="106" spans="3:4" ht="13.8">
      <c r="C106" s="19"/>
      <c r="D106" s="19"/>
    </row>
    <row r="107" spans="3:4" ht="13.8">
      <c r="C107" s="17"/>
      <c r="D107" s="17"/>
    </row>
    <row r="108" spans="3:4" ht="13.8">
      <c r="C108" s="19"/>
      <c r="D108" s="19"/>
    </row>
    <row r="109" spans="3:4" ht="13.8">
      <c r="C109" s="16"/>
      <c r="D109" s="16"/>
    </row>
    <row r="110" spans="3:4" ht="13.8">
      <c r="C110" s="17"/>
      <c r="D110" s="17"/>
    </row>
    <row r="111" spans="3:4" ht="13.8">
      <c r="C111" s="17"/>
      <c r="D111" s="17"/>
    </row>
    <row r="112" spans="3:4" ht="13.8">
      <c r="C112" s="19"/>
      <c r="D112" s="19"/>
    </row>
    <row r="113" spans="3:4" ht="13.8">
      <c r="C113" s="17"/>
      <c r="D113" s="17"/>
    </row>
    <row r="114" spans="3:4" ht="13.8">
      <c r="C114" s="16"/>
      <c r="D114" s="16"/>
    </row>
    <row r="115" spans="3:4" ht="13.8">
      <c r="C115" s="19"/>
      <c r="D115" s="19"/>
    </row>
    <row r="116" spans="3:4" ht="13.8">
      <c r="C116" s="17"/>
      <c r="D116" s="17"/>
    </row>
    <row r="117" spans="3:4" ht="13.8">
      <c r="C117" s="17"/>
      <c r="D117" s="17"/>
    </row>
    <row r="118" spans="3:4" ht="13.8">
      <c r="C118" s="16"/>
      <c r="D118" s="16"/>
    </row>
    <row r="119" spans="3:4" ht="13.8">
      <c r="C119" s="19"/>
      <c r="D119" s="19"/>
    </row>
    <row r="120" spans="3:4" ht="13.8">
      <c r="C120" s="19"/>
      <c r="D120" s="19"/>
    </row>
    <row r="121" spans="3:4" ht="13.8">
      <c r="C121" s="19"/>
      <c r="D121" s="19"/>
    </row>
    <row r="122" spans="3:4" ht="13.8">
      <c r="C122" s="19"/>
      <c r="D122" s="19"/>
    </row>
    <row r="123" spans="3:4" ht="13.8">
      <c r="C123" s="19"/>
      <c r="D123" s="19"/>
    </row>
    <row r="124" spans="3:4" ht="13.8">
      <c r="C124" s="19"/>
      <c r="D124" s="19"/>
    </row>
    <row r="125" spans="3:4" ht="13.8">
      <c r="C125" s="19"/>
      <c r="D125" s="19"/>
    </row>
    <row r="126" spans="3:4" ht="13.8">
      <c r="C126" s="16"/>
      <c r="D126" s="16"/>
    </row>
    <row r="127" spans="3:4" ht="13.8">
      <c r="C127" s="19"/>
      <c r="D127" s="19"/>
    </row>
    <row r="128" spans="3:4" ht="13.8">
      <c r="C128" s="19"/>
      <c r="D128" s="19"/>
    </row>
    <row r="129" spans="3:4" ht="13.8">
      <c r="C129" s="19"/>
      <c r="D129" s="19"/>
    </row>
    <row r="130" spans="3:4" ht="13.8">
      <c r="C130" s="19"/>
      <c r="D130" s="19"/>
    </row>
    <row r="131" spans="3:4" ht="13.8">
      <c r="C131" s="19"/>
      <c r="D131" s="19"/>
    </row>
    <row r="132" spans="3:4" ht="13.8">
      <c r="C132" s="16"/>
      <c r="D132" s="16"/>
    </row>
    <row r="133" spans="3:4" ht="13.8">
      <c r="C133" s="19"/>
      <c r="D133" s="19"/>
    </row>
    <row r="134" spans="3:4" ht="13.8">
      <c r="C134" s="17"/>
      <c r="D134" s="17"/>
    </row>
    <row r="135" spans="3:4" ht="13.8">
      <c r="C135" s="19"/>
      <c r="D135" s="19"/>
    </row>
    <row r="136" spans="3:4" ht="13.8">
      <c r="C136" s="19"/>
      <c r="D136" s="19"/>
    </row>
    <row r="137" spans="3:4" ht="13.8">
      <c r="C137" s="19"/>
      <c r="D137" s="19"/>
    </row>
    <row r="138" spans="3:4" ht="13.8">
      <c r="C138" s="19"/>
      <c r="D138" s="19"/>
    </row>
    <row r="139" spans="3:4" ht="13.8">
      <c r="C139" s="19"/>
      <c r="D139" s="19"/>
    </row>
    <row r="140" spans="3:4" ht="13.8">
      <c r="C140" s="16"/>
      <c r="D140" s="16"/>
    </row>
    <row r="141" spans="3:4" ht="13.8">
      <c r="C141" s="19"/>
      <c r="D141" s="19"/>
    </row>
    <row r="142" spans="3:4" ht="13.8">
      <c r="C142" s="19"/>
      <c r="D142" s="19"/>
    </row>
    <row r="143" spans="3:4" ht="13.8">
      <c r="C143" s="17"/>
      <c r="D143" s="17"/>
    </row>
    <row r="144" spans="3:4" ht="13.8">
      <c r="C144" s="17"/>
      <c r="D144" s="17"/>
    </row>
    <row r="145" spans="3:4" ht="13.8">
      <c r="C145" s="17"/>
      <c r="D145" s="17"/>
    </row>
    <row r="146" spans="3:4" ht="13.8">
      <c r="C146" s="19"/>
      <c r="D146" s="19"/>
    </row>
    <row r="147" spans="3:4" ht="13.8">
      <c r="C147" s="17"/>
      <c r="D147" s="17"/>
    </row>
    <row r="148" spans="3:4" ht="13.8">
      <c r="C148" s="19"/>
      <c r="D148" s="19"/>
    </row>
    <row r="149" spans="3:4" ht="13.8">
      <c r="C149" s="17"/>
      <c r="D149" s="17"/>
    </row>
    <row r="150" spans="3:4" ht="13.8">
      <c r="C150" s="17"/>
      <c r="D150" s="17"/>
    </row>
    <row r="151" spans="3:4" ht="13.8">
      <c r="C151" s="17"/>
      <c r="D151" s="17"/>
    </row>
  </sheetData>
  <mergeCells count="12">
    <mergeCell ref="B85:G85"/>
    <mergeCell ref="B71:G71"/>
    <mergeCell ref="B83:G83"/>
    <mergeCell ref="B73:G73"/>
    <mergeCell ref="B77:G77"/>
    <mergeCell ref="B81:G81"/>
    <mergeCell ref="A64:B64"/>
    <mergeCell ref="B75:G75"/>
    <mergeCell ref="B69:G69"/>
    <mergeCell ref="B79:G79"/>
    <mergeCell ref="B67:G67"/>
    <mergeCell ref="B65:G65"/>
  </mergeCells>
  <phoneticPr fontId="10" type="noConversion"/>
  <conditionalFormatting sqref="H21">
    <cfRule type="expression" dxfId="1" priority="4">
      <formula>$E$21=0</formula>
    </cfRule>
  </conditionalFormatting>
  <conditionalFormatting sqref="H57">
    <cfRule type="expression" dxfId="0" priority="1">
      <formula>$E$57=0</formula>
    </cfRule>
  </conditionalFormatting>
  <pageMargins left="0.5" right="0.5" top="0.2" bottom="0.2" header="0.5" footer="0.15"/>
  <pageSetup orientation="landscape" r:id="rId1"/>
  <headerFooter alignWithMargins="0"/>
  <rowBreaks count="1" manualBreakCount="1">
    <brk id="63" max="8" man="1"/>
  </rowBreaks>
  <ignoredErrors>
    <ignoredError sqref="C27 C39:C40 C35 C4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0"/>
  <sheetViews>
    <sheetView showGridLines="0" workbookViewId="0">
      <selection activeCell="E11" sqref="E11:G11"/>
    </sheetView>
  </sheetViews>
  <sheetFormatPr defaultRowHeight="13.2"/>
  <cols>
    <col min="1" max="1" width="36.6640625" customWidth="1"/>
    <col min="2" max="2" width="1.33203125" customWidth="1"/>
    <col min="3" max="3" width="9.88671875" bestFit="1" customWidth="1"/>
    <col min="4" max="4" width="1.33203125" customWidth="1"/>
    <col min="5" max="5" width="15.109375" bestFit="1" customWidth="1"/>
    <col min="6" max="6" width="1.33203125" customWidth="1"/>
    <col min="7" max="7" width="15.109375" bestFit="1" customWidth="1"/>
    <col min="8" max="8" width="1.33203125" customWidth="1"/>
    <col min="9" max="9" width="15.109375" bestFit="1" customWidth="1"/>
    <col min="10" max="10" width="6.6640625" customWidth="1"/>
    <col min="11" max="11" width="12.6640625" customWidth="1"/>
    <col min="12" max="12" width="1.33203125" customWidth="1"/>
    <col min="13" max="13" width="12.6640625" customWidth="1"/>
    <col min="14" max="14" width="1.33203125" customWidth="1"/>
    <col min="15" max="15" width="12.6640625" customWidth="1"/>
    <col min="16" max="16" width="6.6640625" customWidth="1"/>
    <col min="17" max="18" width="9.109375" hidden="1" customWidth="1"/>
  </cols>
  <sheetData>
    <row r="1" spans="1:21">
      <c r="A1" s="50" t="str">
        <f>Info!B5</f>
        <v>EAST CAROLINA UNIVERSITY</v>
      </c>
      <c r="B1" s="50"/>
      <c r="C1" s="15"/>
      <c r="D1" s="15"/>
      <c r="E1" s="15"/>
      <c r="F1" s="15"/>
      <c r="G1" s="15"/>
      <c r="H1" s="15"/>
      <c r="I1" s="15"/>
      <c r="K1" s="1"/>
    </row>
    <row r="2" spans="1:21" ht="15" customHeight="1">
      <c r="A2" s="51" t="s">
        <v>16</v>
      </c>
      <c r="B2" s="51"/>
      <c r="C2" s="15"/>
      <c r="D2" s="15"/>
      <c r="E2" s="15"/>
      <c r="F2" s="15"/>
      <c r="H2" s="15"/>
      <c r="I2" s="15"/>
    </row>
    <row r="3" spans="1:21" ht="15" customHeight="1">
      <c r="A3" s="50" t="s">
        <v>2</v>
      </c>
      <c r="B3" s="50"/>
      <c r="C3" s="15"/>
      <c r="D3" s="15"/>
      <c r="E3" s="15"/>
      <c r="F3" s="15"/>
      <c r="G3" s="15"/>
      <c r="H3" s="15"/>
    </row>
    <row r="4" spans="1:21" ht="15" customHeight="1">
      <c r="A4" s="50"/>
      <c r="B4" s="50"/>
      <c r="C4" s="15"/>
      <c r="D4" s="15"/>
      <c r="E4" s="15"/>
      <c r="F4" s="15"/>
      <c r="G4" s="81"/>
      <c r="H4" s="15"/>
    </row>
    <row r="5" spans="1:21" ht="15" customHeight="1">
      <c r="A5" s="50"/>
      <c r="B5" s="50"/>
      <c r="C5" s="15"/>
      <c r="D5" s="15"/>
      <c r="E5" s="15"/>
      <c r="F5" s="15"/>
      <c r="G5" s="15"/>
      <c r="H5" s="15"/>
      <c r="I5" s="65" t="s">
        <v>89</v>
      </c>
      <c r="K5" s="254"/>
      <c r="L5" s="254"/>
      <c r="M5" s="254"/>
      <c r="N5" s="254"/>
      <c r="O5" s="254"/>
      <c r="P5" s="204"/>
      <c r="Q5" s="204"/>
      <c r="R5" s="204"/>
      <c r="S5" s="204"/>
      <c r="T5" s="204"/>
      <c r="U5" s="200"/>
    </row>
    <row r="6" spans="1:21" ht="15" customHeight="1">
      <c r="A6" s="15"/>
      <c r="B6" s="15"/>
      <c r="C6" s="72" t="str">
        <f>IF(Info!B$10=2,"Colleague","NCFS")</f>
        <v>NCFS</v>
      </c>
      <c r="D6" s="15"/>
      <c r="E6" s="15"/>
      <c r="F6" s="15"/>
      <c r="G6" s="15"/>
      <c r="H6" s="15"/>
      <c r="I6" s="65" t="s">
        <v>90</v>
      </c>
      <c r="K6" s="255"/>
      <c r="L6" s="255"/>
      <c r="M6" s="255"/>
      <c r="N6" s="255"/>
      <c r="O6" s="255"/>
      <c r="Q6" s="201"/>
    </row>
    <row r="7" spans="1:21" ht="15" customHeight="1">
      <c r="A7" s="70" t="s">
        <v>18</v>
      </c>
      <c r="B7" s="71"/>
      <c r="C7" s="70" t="s">
        <v>19</v>
      </c>
      <c r="D7" s="72"/>
      <c r="E7" s="70" t="s">
        <v>21</v>
      </c>
      <c r="F7" s="72"/>
      <c r="G7" s="70" t="s">
        <v>22</v>
      </c>
      <c r="H7" s="72"/>
      <c r="I7" s="66" t="s">
        <v>91</v>
      </c>
      <c r="J7" s="3"/>
      <c r="K7" s="69"/>
      <c r="L7" s="69"/>
      <c r="M7" s="69"/>
      <c r="N7" s="69"/>
      <c r="O7" s="69"/>
      <c r="P7" s="201"/>
      <c r="Q7" s="205" t="s">
        <v>92</v>
      </c>
      <c r="R7" s="206" t="s">
        <v>93</v>
      </c>
    </row>
    <row r="8" spans="1:21" ht="15" customHeight="1">
      <c r="A8" s="73" t="s">
        <v>49</v>
      </c>
      <c r="B8" s="73"/>
      <c r="C8" s="74">
        <f>IF(Info!B$10=2,Summary!R8,Summary!Q8)</f>
        <v>22915000</v>
      </c>
      <c r="D8" s="74"/>
      <c r="E8" s="75">
        <f>SUMIF(Detail!$C$25:$C$61,$C8,Detail!E$25:E$61)</f>
        <v>0</v>
      </c>
      <c r="F8" s="76"/>
      <c r="G8" s="75">
        <f>SUMIF(Detail!$C$25:$C$61,$C8,Detail!F$25:F$61)</f>
        <v>36035021</v>
      </c>
      <c r="H8" s="76"/>
      <c r="I8" s="43">
        <f t="shared" ref="I8:I15" si="0">E8-G8</f>
        <v>-36035021</v>
      </c>
      <c r="J8" s="180"/>
      <c r="K8" s="75"/>
      <c r="L8" s="75"/>
      <c r="M8" s="75"/>
      <c r="O8" s="75"/>
      <c r="Q8" s="207">
        <v>22915000</v>
      </c>
      <c r="R8">
        <v>242080</v>
      </c>
    </row>
    <row r="9" spans="1:21" ht="15" customHeight="1">
      <c r="A9" s="73" t="s">
        <v>27</v>
      </c>
      <c r="B9" s="73"/>
      <c r="C9" s="74">
        <f>IF(Info!B$10=2,Summary!R9,Summary!Q9)</f>
        <v>61100008</v>
      </c>
      <c r="D9" s="74"/>
      <c r="E9" s="47">
        <f>SUMIF(Detail!$C$25:$C$61,$C9,Detail!E$25:E$61)</f>
        <v>23106544</v>
      </c>
      <c r="F9" s="76"/>
      <c r="G9" s="47">
        <f>SUMIF(Detail!$C$25:$C$61,$C9,Detail!F$25:F$61)</f>
        <v>46524880</v>
      </c>
      <c r="H9" s="76"/>
      <c r="I9" s="44">
        <f t="shared" ref="I9" si="1">E9-G9</f>
        <v>-23418336</v>
      </c>
      <c r="J9" s="181"/>
      <c r="K9" s="47"/>
      <c r="L9" s="47"/>
      <c r="M9" s="47"/>
      <c r="O9" s="47"/>
      <c r="Q9" s="207">
        <v>61100008</v>
      </c>
      <c r="R9">
        <v>124090</v>
      </c>
    </row>
    <row r="10" spans="1:21" ht="15" customHeight="1">
      <c r="A10" s="73" t="s">
        <v>36</v>
      </c>
      <c r="B10" s="73"/>
      <c r="C10" s="74">
        <f>IF(Info!B$10=2,Summary!R10,Summary!Q10)</f>
        <v>71100010</v>
      </c>
      <c r="D10" s="74"/>
      <c r="E10" s="47">
        <f>SUMIF(Detail!$C$25:$C$61,$C10,Detail!E$25:E$61)</f>
        <v>4153076</v>
      </c>
      <c r="F10" s="76"/>
      <c r="G10" s="47">
        <f>SUMIF(Detail!$C$25:$C$61,$C10,Detail!F$25:F$61)</f>
        <v>0</v>
      </c>
      <c r="H10" s="76"/>
      <c r="I10" s="44">
        <f t="shared" ref="I10" si="2">E10-G10</f>
        <v>4153076</v>
      </c>
      <c r="J10" s="181"/>
      <c r="K10" s="47"/>
      <c r="L10" s="47"/>
      <c r="M10" s="47"/>
      <c r="O10" s="47"/>
      <c r="Q10" s="207">
        <v>71100010</v>
      </c>
      <c r="R10">
        <v>242090</v>
      </c>
    </row>
    <row r="11" spans="1:21" ht="15" customHeight="1">
      <c r="A11" s="73" t="s">
        <v>55</v>
      </c>
      <c r="B11" s="73"/>
      <c r="C11" s="74">
        <f>IF(Info!B$10=2,Summary!R11,Summary!Q11)</f>
        <v>51595000</v>
      </c>
      <c r="D11" s="74"/>
      <c r="E11" s="47">
        <f>SUMIF(Detail!$C$25:$C$61,$C11,Detail!E$25:E$61)</f>
        <v>55300281</v>
      </c>
      <c r="F11" s="76"/>
      <c r="G11" s="47">
        <f>SUMIF(Detail!$C$25:$C$61,$C11,Detail!F$25:F$61)</f>
        <v>0</v>
      </c>
      <c r="H11" s="76"/>
      <c r="I11" s="44">
        <f t="shared" si="0"/>
        <v>55300281</v>
      </c>
      <c r="J11" s="181"/>
      <c r="K11" s="47"/>
      <c r="L11" s="47"/>
      <c r="M11" s="47"/>
      <c r="O11" s="47"/>
      <c r="Q11" s="207">
        <v>51595000</v>
      </c>
      <c r="R11">
        <v>518250</v>
      </c>
    </row>
    <row r="12" spans="1:21" ht="15" customHeight="1">
      <c r="A12" s="73" t="s">
        <v>67</v>
      </c>
      <c r="B12" s="73"/>
      <c r="C12" s="74">
        <f>IF(Info!B$10=2,Summary!R12,Summary!Q12)</f>
        <v>51520000</v>
      </c>
      <c r="D12" s="74"/>
      <c r="E12" s="47">
        <f>SUMIF(Detail!$C$25:$C$61,$C12,Detail!E$25:E$61)</f>
        <v>0</v>
      </c>
      <c r="F12" s="76"/>
      <c r="G12" s="47">
        <f>SUMIF(Detail!$C$25:$C$61,$C12,Detail!F$25:F$61)</f>
        <v>0</v>
      </c>
      <c r="H12" s="76"/>
      <c r="I12" s="44">
        <f t="shared" si="0"/>
        <v>0</v>
      </c>
      <c r="J12" s="181"/>
      <c r="K12" s="47"/>
      <c r="L12" s="47"/>
      <c r="M12" s="47"/>
      <c r="O12" s="47"/>
      <c r="Q12" s="207">
        <v>51520000</v>
      </c>
      <c r="R12">
        <v>518200</v>
      </c>
    </row>
    <row r="13" spans="1:21" ht="15" customHeight="1">
      <c r="A13" s="73" t="s">
        <v>94</v>
      </c>
      <c r="B13" s="73"/>
      <c r="C13" s="74">
        <f>IF(Info!B$10=2,Summary!R13,Summary!Q13)</f>
        <v>55900000</v>
      </c>
      <c r="D13" s="74"/>
      <c r="E13" s="47">
        <f>SUMIF(Detail!$C$25:$C$61,$C13,Detail!E$25:E$61)</f>
        <v>0</v>
      </c>
      <c r="F13" s="76"/>
      <c r="G13" s="47">
        <f>SUMIF(Detail!$C$25:$C$61,$C13,Detail!F$25:F$61)</f>
        <v>0</v>
      </c>
      <c r="H13" s="76"/>
      <c r="I13" s="44">
        <f t="shared" si="0"/>
        <v>0</v>
      </c>
      <c r="J13" s="181"/>
      <c r="K13" s="47"/>
      <c r="L13" s="47"/>
      <c r="M13" s="47"/>
      <c r="O13" s="47"/>
      <c r="Q13" s="207">
        <v>55900000</v>
      </c>
      <c r="R13">
        <v>539600</v>
      </c>
    </row>
    <row r="14" spans="1:21" ht="15" customHeight="1">
      <c r="A14" s="73" t="s">
        <v>95</v>
      </c>
      <c r="B14" s="73"/>
      <c r="C14" s="148">
        <f>IF(Info!B$10=2,Summary!R14,Summary!Q14)</f>
        <v>47995000</v>
      </c>
      <c r="D14" s="74"/>
      <c r="E14" s="47">
        <f>SUMIF(Detail!$C$25:$C$61,$C14,Detail!E$25:E$61)</f>
        <v>0</v>
      </c>
      <c r="F14" s="76"/>
      <c r="G14" s="47">
        <f>SUMIF(Detail!$C$25:$C$61,$C14,Detail!F$25:F$61)</f>
        <v>0</v>
      </c>
      <c r="H14" s="76"/>
      <c r="I14" s="44">
        <f t="shared" si="0"/>
        <v>0</v>
      </c>
      <c r="J14" s="181"/>
      <c r="K14" s="47"/>
      <c r="L14" s="47"/>
      <c r="M14" s="47"/>
      <c r="O14" s="47"/>
      <c r="Q14" s="207">
        <v>47995000</v>
      </c>
      <c r="R14">
        <v>493200</v>
      </c>
    </row>
    <row r="15" spans="1:21" ht="15" hidden="1" customHeight="1">
      <c r="A15" s="73" t="s">
        <v>96</v>
      </c>
      <c r="B15" s="73"/>
      <c r="C15" s="74">
        <f>IF(Info!B$10=2,Summary!R15,Summary!Q15)</f>
        <v>32000100</v>
      </c>
      <c r="D15" s="74"/>
      <c r="E15" s="47">
        <f>SUMIF(Detail!$C$25:$C$61,$C15,Detail!E$25:E$61)</f>
        <v>0</v>
      </c>
      <c r="F15" s="76"/>
      <c r="G15" s="47">
        <f>SUMIF(Detail!$C$25:$C$61,$C15,Detail!F$25:F$61)</f>
        <v>0</v>
      </c>
      <c r="H15" s="76"/>
      <c r="I15" s="67">
        <f t="shared" si="0"/>
        <v>0</v>
      </c>
      <c r="J15" s="181"/>
      <c r="K15" s="47"/>
      <c r="L15" s="47"/>
      <c r="M15" s="47"/>
      <c r="N15" s="47"/>
      <c r="O15" s="47"/>
      <c r="P15" s="208"/>
      <c r="Q15" s="207">
        <v>32000100</v>
      </c>
      <c r="R15">
        <v>379000</v>
      </c>
    </row>
    <row r="16" spans="1:21" ht="15" customHeight="1" thickBot="1">
      <c r="A16" s="78" t="s">
        <v>97</v>
      </c>
      <c r="B16" s="78"/>
      <c r="C16" s="79"/>
      <c r="D16" s="79"/>
      <c r="E16" s="80">
        <f>SUM(E8:E15)</f>
        <v>82559901</v>
      </c>
      <c r="F16" s="76"/>
      <c r="G16" s="80">
        <f>SUM(G8:G15)</f>
        <v>82559901</v>
      </c>
      <c r="H16" s="76"/>
      <c r="I16" s="68">
        <f>SUM(I8:I15)</f>
        <v>0</v>
      </c>
      <c r="J16" s="180"/>
      <c r="K16" s="75"/>
      <c r="L16" s="75"/>
      <c r="M16" s="75"/>
      <c r="N16" s="75"/>
      <c r="O16" s="75"/>
      <c r="P16" s="209"/>
    </row>
    <row r="17" spans="1:9" ht="15" customHeight="1" thickTop="1"/>
    <row r="18" spans="1:9" ht="15" customHeight="1">
      <c r="A18" s="149" t="s">
        <v>98</v>
      </c>
    </row>
    <row r="19" spans="1:9" ht="105" customHeight="1">
      <c r="A19" s="256" t="s">
        <v>99</v>
      </c>
      <c r="B19" s="257"/>
      <c r="C19" s="257"/>
      <c r="D19" s="257"/>
      <c r="E19" s="257"/>
      <c r="F19" s="257"/>
      <c r="G19" s="257"/>
      <c r="H19" s="257"/>
      <c r="I19" s="257"/>
    </row>
    <row r="20" spans="1:9" ht="9.9" customHeight="1"/>
    <row r="27" spans="1:9">
      <c r="A27" s="150"/>
    </row>
    <row r="28" spans="1:9">
      <c r="A28" s="150"/>
    </row>
    <row r="29" spans="1:9">
      <c r="A29" s="150"/>
    </row>
    <row r="30" spans="1:9">
      <c r="A30" s="150"/>
    </row>
  </sheetData>
  <mergeCells count="3">
    <mergeCell ref="K5:O5"/>
    <mergeCell ref="K6:O6"/>
    <mergeCell ref="A19:I19"/>
  </mergeCells>
  <phoneticPr fontId="10" type="noConversion"/>
  <pageMargins left="0.5" right="0.5" top="0.3" bottom="0.35" header="0.5" footer="0.15"/>
  <pageSetup orientation="portrait" r:id="rId1"/>
  <headerFooter>
    <oddFooter>&amp;L&amp;"Arial Narrow,Regular"&amp;9&amp;Z&amp;F&amp;R&amp;"Arial Narrow,Regular"&amp;9&amp;D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1"/>
  <sheetViews>
    <sheetView showGridLines="0" workbookViewId="0">
      <selection activeCell="V70" sqref="V70"/>
    </sheetView>
  </sheetViews>
  <sheetFormatPr defaultRowHeight="13.2"/>
  <cols>
    <col min="1" max="1" width="2.6640625" customWidth="1"/>
    <col min="2" max="2" width="35.6640625" customWidth="1"/>
    <col min="3" max="3" width="4.33203125" hidden="1" customWidth="1"/>
    <col min="4" max="4" width="15.6640625" customWidth="1"/>
    <col min="5" max="5" width="1.33203125" customWidth="1"/>
    <col min="6" max="6" width="4.33203125" hidden="1" customWidth="1"/>
    <col min="7" max="7" width="15.6640625" customWidth="1"/>
    <col min="8" max="8" width="4.6640625" customWidth="1"/>
    <col min="9" max="9" width="1.6640625" customWidth="1"/>
    <col min="10" max="10" width="15.5546875" bestFit="1" customWidth="1"/>
    <col min="11" max="11" width="1.6640625" customWidth="1"/>
    <col min="12" max="12" width="11.88671875" bestFit="1" customWidth="1"/>
    <col min="13" max="13" width="1.33203125" customWidth="1"/>
    <col min="14" max="14" width="15.6640625" customWidth="1"/>
    <col min="15" max="15" width="1.33203125" customWidth="1"/>
    <col min="16" max="16" width="15.6640625" customWidth="1"/>
    <col min="17" max="17" width="1.33203125" customWidth="1"/>
    <col min="18" max="18" width="11.88671875" customWidth="1"/>
    <col min="19" max="19" width="1.33203125" customWidth="1"/>
    <col min="20" max="20" width="11.88671875" customWidth="1"/>
    <col min="21" max="21" width="1.33203125" customWidth="1"/>
    <col min="22" max="22" width="11.88671875" customWidth="1"/>
    <col min="23" max="23" width="1.33203125" customWidth="1"/>
    <col min="24" max="24" width="11.88671875" bestFit="1" customWidth="1"/>
    <col min="25" max="25" width="1.33203125" customWidth="1"/>
    <col min="26" max="26" width="10.33203125" bestFit="1" customWidth="1"/>
  </cols>
  <sheetData>
    <row r="1" spans="1:26">
      <c r="A1" s="1" t="str">
        <f>Info!B5</f>
        <v>EAST CAROLINA UNIVERSITY</v>
      </c>
    </row>
    <row r="2" spans="1:26">
      <c r="A2" s="1" t="s">
        <v>100</v>
      </c>
    </row>
    <row r="3" spans="1:26">
      <c r="A3" s="1" t="s">
        <v>2</v>
      </c>
    </row>
    <row r="4" spans="1:26" ht="17.399999999999999">
      <c r="A4" s="1"/>
      <c r="G4" s="52"/>
    </row>
    <row r="5" spans="1:26" ht="8.1" customHeight="1">
      <c r="A5" s="1"/>
    </row>
    <row r="6" spans="1:26">
      <c r="A6" s="2" t="s">
        <v>101</v>
      </c>
      <c r="B6" s="85" t="s">
        <v>102</v>
      </c>
      <c r="C6" s="86"/>
      <c r="D6" s="86"/>
      <c r="E6" s="86"/>
      <c r="F6" s="86"/>
      <c r="G6" s="86"/>
      <c r="H6" s="87"/>
    </row>
    <row r="7" spans="1:26">
      <c r="A7" s="2"/>
      <c r="B7" s="88" t="s">
        <v>103</v>
      </c>
      <c r="C7" s="15"/>
      <c r="D7" s="15"/>
      <c r="E7" s="15"/>
      <c r="F7" s="15"/>
      <c r="G7" s="15"/>
      <c r="H7" s="89"/>
      <c r="J7" s="203" t="s">
        <v>104</v>
      </c>
      <c r="K7" s="203"/>
    </row>
    <row r="8" spans="1:26">
      <c r="B8" s="90"/>
      <c r="C8" s="15"/>
      <c r="D8" s="15"/>
      <c r="E8" s="15"/>
      <c r="F8" s="15"/>
      <c r="G8" s="15"/>
      <c r="H8" s="89"/>
      <c r="J8" s="203" t="s">
        <v>105</v>
      </c>
      <c r="K8" s="203"/>
      <c r="L8" s="258"/>
      <c r="M8" s="258"/>
      <c r="N8" s="258"/>
    </row>
    <row r="9" spans="1:26">
      <c r="B9" s="91"/>
      <c r="C9" s="84"/>
      <c r="D9" s="79" t="s">
        <v>106</v>
      </c>
      <c r="E9" s="84"/>
      <c r="F9" s="84"/>
      <c r="G9" s="79" t="s">
        <v>107</v>
      </c>
      <c r="H9" s="89"/>
      <c r="J9" s="203" t="s">
        <v>108</v>
      </c>
      <c r="K9" s="203"/>
      <c r="L9" s="258"/>
      <c r="M9" s="258"/>
      <c r="N9" s="258"/>
      <c r="O9" s="258"/>
      <c r="P9" s="258"/>
      <c r="R9" s="258"/>
      <c r="S9" s="258"/>
      <c r="T9" s="258"/>
      <c r="U9" s="258"/>
      <c r="V9" s="258"/>
      <c r="X9" s="258"/>
      <c r="Y9" s="258"/>
      <c r="Z9" s="258"/>
    </row>
    <row r="10" spans="1:26">
      <c r="B10" s="91"/>
      <c r="C10" s="92" t="s">
        <v>20</v>
      </c>
      <c r="D10" s="93" t="s">
        <v>109</v>
      </c>
      <c r="E10" s="79"/>
      <c r="F10" s="93" t="s">
        <v>20</v>
      </c>
      <c r="G10" s="93" t="s">
        <v>109</v>
      </c>
      <c r="H10" s="89"/>
      <c r="J10" s="11" t="s">
        <v>110</v>
      </c>
      <c r="K10" s="203"/>
      <c r="L10" s="202"/>
      <c r="N10" s="202"/>
      <c r="P10" s="202"/>
      <c r="R10" s="202"/>
      <c r="T10" s="202"/>
      <c r="V10" s="202"/>
      <c r="X10" s="202"/>
      <c r="Z10" s="202"/>
    </row>
    <row r="11" spans="1:26">
      <c r="B11" s="88" t="s">
        <v>111</v>
      </c>
      <c r="C11" s="94"/>
      <c r="D11" s="75"/>
      <c r="E11" s="15"/>
      <c r="F11" s="94"/>
      <c r="G11" s="95"/>
      <c r="H11" s="89"/>
      <c r="J11" s="12"/>
      <c r="K11" s="12"/>
    </row>
    <row r="12" spans="1:26">
      <c r="B12" s="88" t="s">
        <v>112</v>
      </c>
      <c r="C12" s="94">
        <v>1</v>
      </c>
      <c r="D12" s="75">
        <f>Detail!E13+SUMIF(Detail!$D$25:$D$61,$C12,Detail!E$25:E$61)-SUMIF(Detail!$D$25:$D$61,$C12,Detail!F$25:F$61)</f>
        <v>17977079</v>
      </c>
      <c r="E12" s="15"/>
      <c r="F12" s="94">
        <v>6</v>
      </c>
      <c r="G12" s="95">
        <f>Detail!F16+SUMIF(Detail!$D$25:$D$61,$F12,Detail!F$25:F$61)-SUMIF(Detail!$D$25:$D$61,$F12,Detail!E$25:E$61)</f>
        <v>1627546</v>
      </c>
      <c r="H12" s="89"/>
      <c r="J12" s="12">
        <f>D12-G12</f>
        <v>16349533</v>
      </c>
      <c r="K12" s="12"/>
      <c r="L12" s="75"/>
      <c r="N12" s="75"/>
      <c r="P12" s="75"/>
      <c r="R12" s="75"/>
      <c r="T12" s="75"/>
      <c r="V12" s="75"/>
      <c r="X12" s="12"/>
      <c r="Z12" s="12"/>
    </row>
    <row r="13" spans="1:26">
      <c r="B13" s="91"/>
      <c r="C13" s="94"/>
      <c r="D13" s="96"/>
      <c r="E13" s="15"/>
      <c r="F13" s="94"/>
      <c r="G13" s="97"/>
      <c r="H13" s="89"/>
      <c r="Z13" s="12"/>
    </row>
    <row r="14" spans="1:26">
      <c r="B14" s="88" t="s">
        <v>29</v>
      </c>
      <c r="C14" s="94">
        <v>2</v>
      </c>
      <c r="D14" s="47">
        <f>Detail!E11+SUMIF(Detail!$D$25:$D$61,$C14,Detail!E$25:E$61)-SUMIF(Detail!$D$25:$D$61,$C14,Detail!F$25:F$61)</f>
        <v>7744148</v>
      </c>
      <c r="E14" s="15"/>
      <c r="F14" s="94">
        <v>7</v>
      </c>
      <c r="G14" s="47">
        <f>Detail!F18+SUMIF(Detail!$D$25:$D$61,$F14,Detail!F$25:F$61)-SUMIF(Detail!$D$25:$D$61,$F14,Detail!E$25:E$61)</f>
        <v>0</v>
      </c>
      <c r="H14" s="89"/>
      <c r="J14" s="47">
        <f>D14-G14</f>
        <v>7744148</v>
      </c>
      <c r="K14" s="47"/>
      <c r="L14" s="47"/>
      <c r="N14" s="47"/>
      <c r="P14" s="47"/>
      <c r="R14" s="47"/>
      <c r="T14" s="47"/>
      <c r="V14" s="47"/>
      <c r="X14" s="13"/>
      <c r="Z14" s="13"/>
    </row>
    <row r="15" spans="1:26">
      <c r="B15" s="91"/>
      <c r="C15" s="94"/>
      <c r="D15" s="96"/>
      <c r="E15" s="15"/>
      <c r="F15" s="94"/>
      <c r="G15" s="97"/>
      <c r="H15" s="89"/>
      <c r="X15" s="13"/>
      <c r="Z15" s="12"/>
    </row>
    <row r="16" spans="1:26" ht="12.75" customHeight="1">
      <c r="B16" s="178" t="s">
        <v>113</v>
      </c>
      <c r="C16" s="94"/>
      <c r="D16" s="47"/>
      <c r="E16" s="15"/>
      <c r="F16" s="94"/>
      <c r="G16" s="47"/>
      <c r="H16" s="89"/>
      <c r="J16" s="13"/>
      <c r="K16" s="13"/>
      <c r="N16" s="264"/>
      <c r="O16" s="264"/>
      <c r="P16" s="264"/>
      <c r="X16" s="13"/>
      <c r="Z16" s="12"/>
    </row>
    <row r="17" spans="2:26">
      <c r="B17" s="178" t="s">
        <v>114</v>
      </c>
      <c r="C17" s="94"/>
      <c r="D17" s="96"/>
      <c r="E17" s="15"/>
      <c r="F17" s="94"/>
      <c r="G17" s="97"/>
      <c r="H17" s="89"/>
      <c r="N17" s="203"/>
      <c r="O17" s="2"/>
      <c r="P17" s="203"/>
      <c r="X17" s="13"/>
      <c r="Z17" s="12"/>
    </row>
    <row r="18" spans="2:26">
      <c r="B18" s="178" t="s">
        <v>115</v>
      </c>
      <c r="C18" s="94">
        <v>3</v>
      </c>
      <c r="D18" s="47">
        <f>Detail!E12+SUMIF(Detail!$D$25:$D$61,$C18,Detail!E$25:E$61)-SUMIF(Detail!$D$25:$D$61,$C18,Detail!F$25:F$61)</f>
        <v>61413035</v>
      </c>
      <c r="E18" s="15"/>
      <c r="F18" s="94">
        <v>8</v>
      </c>
      <c r="G18" s="47">
        <f>Detail!F17+SUMIF(Detail!$D$25:$D$61,$F18,Detail!F$25:F$61)-SUMIF(Detail!$D$25:$D$61,$F18,Detail!E$25:E$61)</f>
        <v>0</v>
      </c>
      <c r="H18" s="89"/>
      <c r="J18" s="47">
        <f>D18-G18</f>
        <v>61413035</v>
      </c>
      <c r="K18" s="47"/>
      <c r="L18" s="47"/>
      <c r="N18" s="47"/>
      <c r="P18" s="47"/>
      <c r="R18" s="47"/>
      <c r="T18" s="47"/>
      <c r="V18" s="47"/>
      <c r="X18" s="13"/>
      <c r="Z18" s="13"/>
    </row>
    <row r="19" spans="2:26">
      <c r="B19" s="91"/>
      <c r="C19" s="94"/>
      <c r="D19" s="96"/>
      <c r="E19" s="15"/>
      <c r="F19" s="94"/>
      <c r="G19" s="97"/>
      <c r="H19" s="89"/>
      <c r="X19" s="13"/>
      <c r="Z19" s="12"/>
    </row>
    <row r="20" spans="2:26">
      <c r="B20" s="88" t="s">
        <v>116</v>
      </c>
      <c r="C20" s="94"/>
      <c r="D20" s="47"/>
      <c r="E20" s="15"/>
      <c r="F20" s="94"/>
      <c r="G20" s="47"/>
      <c r="H20" s="89"/>
      <c r="J20" s="13"/>
      <c r="K20" s="13"/>
      <c r="X20" s="13"/>
      <c r="Z20" s="12"/>
    </row>
    <row r="21" spans="2:26">
      <c r="B21" s="88" t="s">
        <v>117</v>
      </c>
      <c r="C21" s="94"/>
      <c r="D21" s="96"/>
      <c r="E21" s="15"/>
      <c r="F21" s="94"/>
      <c r="G21" s="97"/>
      <c r="H21" s="89"/>
      <c r="X21" s="13"/>
      <c r="Z21" s="12"/>
    </row>
    <row r="22" spans="2:26">
      <c r="B22" s="88" t="s">
        <v>118</v>
      </c>
      <c r="C22" s="94">
        <v>4</v>
      </c>
      <c r="D22" s="47">
        <f>Detail!E10+SUMIF(Detail!$D$25:$D$61,$C22,Detail!E$25:E$61)-SUMIF(Detail!$D$25:$D$61,$C22,Detail!F$25:F$61)</f>
        <v>5109839</v>
      </c>
      <c r="E22" s="15"/>
      <c r="F22" s="94">
        <v>9</v>
      </c>
      <c r="G22" s="47">
        <f>Detail!F19+SUMIF(Detail!$D$25:$D$61,$F22,Detail!F$25:F$61)-SUMIF(Detail!$D$25:$D$61,$F22,Detail!E$25:E$61)</f>
        <v>4379857</v>
      </c>
      <c r="H22" s="89"/>
      <c r="J22" s="77">
        <f>D22-G22</f>
        <v>729982</v>
      </c>
      <c r="K22" s="47"/>
      <c r="L22" s="47"/>
      <c r="N22" s="47"/>
      <c r="P22" s="47"/>
      <c r="R22" s="47"/>
      <c r="T22" s="47"/>
      <c r="V22" s="47"/>
      <c r="X22" s="13"/>
      <c r="Z22" s="13"/>
    </row>
    <row r="23" spans="2:26" ht="13.8" thickBot="1">
      <c r="B23" s="88"/>
      <c r="C23" s="94"/>
      <c r="D23" s="96"/>
      <c r="E23" s="15"/>
      <c r="F23" s="94"/>
      <c r="G23" s="97"/>
      <c r="H23" s="89"/>
      <c r="J23" s="83">
        <f>J12+J14+J18+J22</f>
        <v>86236698</v>
      </c>
      <c r="K23" s="12"/>
      <c r="X23" s="12"/>
      <c r="Z23" s="12"/>
    </row>
    <row r="24" spans="2:26" ht="13.8" thickTop="1">
      <c r="B24" s="88" t="s">
        <v>119</v>
      </c>
      <c r="C24" s="94"/>
      <c r="D24" s="47"/>
      <c r="E24" s="15"/>
      <c r="F24" s="94"/>
      <c r="G24" s="47"/>
      <c r="H24" s="89"/>
      <c r="J24" s="13"/>
      <c r="K24" s="13"/>
      <c r="X24" s="13"/>
    </row>
    <row r="25" spans="2:26" ht="13.8">
      <c r="B25" s="88" t="s">
        <v>120</v>
      </c>
      <c r="C25" s="94">
        <v>5</v>
      </c>
      <c r="D25" s="47">
        <f>SUMIF(Detail!$D$25:$D$61,$C25,Detail!E$25:E$61)</f>
        <v>0</v>
      </c>
      <c r="E25" s="15"/>
      <c r="F25" s="94"/>
      <c r="G25" s="47">
        <v>0</v>
      </c>
      <c r="H25" s="89"/>
      <c r="J25" s="47"/>
      <c r="K25" s="47"/>
      <c r="L25" s="123"/>
      <c r="N25" s="123"/>
      <c r="P25" s="47"/>
      <c r="R25" s="47"/>
      <c r="T25" s="47"/>
      <c r="V25" s="47"/>
      <c r="X25" s="13"/>
    </row>
    <row r="26" spans="2:26" ht="14.4" customHeight="1" thickBot="1">
      <c r="B26" s="98" t="s">
        <v>121</v>
      </c>
      <c r="C26" s="15"/>
      <c r="D26" s="99">
        <f>SUM(D12:D25)</f>
        <v>92244101</v>
      </c>
      <c r="E26" s="15"/>
      <c r="F26" s="15"/>
      <c r="G26" s="99">
        <f>SUM(G12:G25)</f>
        <v>6007403</v>
      </c>
      <c r="H26" s="89"/>
      <c r="J26" s="203"/>
      <c r="K26" s="203"/>
      <c r="L26" s="49"/>
      <c r="N26" s="49"/>
      <c r="P26" s="49"/>
      <c r="R26" s="49"/>
      <c r="T26" s="49"/>
      <c r="V26" s="49"/>
    </row>
    <row r="27" spans="2:26" ht="14.4" customHeight="1" thickTop="1">
      <c r="B27" s="98"/>
      <c r="C27" s="15"/>
      <c r="D27" s="49"/>
      <c r="E27" s="15"/>
      <c r="F27" s="15"/>
      <c r="G27" s="49"/>
      <c r="H27" s="89"/>
      <c r="J27" s="49"/>
      <c r="K27" s="49"/>
    </row>
    <row r="28" spans="2:26" ht="63.9" customHeight="1">
      <c r="B28" s="268" t="s">
        <v>122</v>
      </c>
      <c r="C28" s="269"/>
      <c r="D28" s="269"/>
      <c r="E28" s="269"/>
      <c r="F28" s="269"/>
      <c r="G28" s="269"/>
      <c r="H28" s="270"/>
      <c r="J28" s="49"/>
      <c r="K28" s="49"/>
      <c r="L28" s="267"/>
      <c r="M28" s="267"/>
      <c r="N28" s="267"/>
      <c r="O28" s="267"/>
      <c r="P28" s="267"/>
      <c r="Q28" s="267"/>
    </row>
    <row r="29" spans="2:26">
      <c r="B29" s="98"/>
      <c r="C29" s="15"/>
      <c r="D29" s="49"/>
      <c r="E29" s="15"/>
      <c r="F29" s="15"/>
      <c r="G29" s="49"/>
      <c r="H29" s="89"/>
    </row>
    <row r="30" spans="2:26">
      <c r="B30" s="100" t="s">
        <v>123</v>
      </c>
      <c r="C30" s="15"/>
      <c r="D30" s="49"/>
      <c r="E30" s="15"/>
      <c r="F30" s="15"/>
      <c r="G30" s="49"/>
      <c r="H30" s="89"/>
    </row>
    <row r="31" spans="2:26" ht="12.75" customHeight="1">
      <c r="B31" s="101"/>
      <c r="C31" s="102"/>
      <c r="D31" s="102"/>
      <c r="E31" s="102"/>
      <c r="F31" s="102"/>
      <c r="G31" s="102"/>
      <c r="H31" s="103"/>
    </row>
    <row r="32" spans="2:26" ht="15.75" customHeight="1">
      <c r="B32" s="2"/>
    </row>
    <row r="33" spans="1:16">
      <c r="A33" s="2" t="s">
        <v>124</v>
      </c>
      <c r="B33" s="85" t="s">
        <v>125</v>
      </c>
      <c r="C33" s="86"/>
      <c r="D33" s="86"/>
      <c r="E33" s="86"/>
      <c r="F33" s="86"/>
      <c r="G33" s="86"/>
      <c r="H33" s="87"/>
    </row>
    <row r="34" spans="1:16">
      <c r="A34" s="2"/>
      <c r="B34" s="88" t="s">
        <v>126</v>
      </c>
      <c r="C34" s="15"/>
      <c r="D34" s="15"/>
      <c r="E34" s="15"/>
      <c r="F34" s="15"/>
      <c r="G34" s="15"/>
      <c r="H34" s="89"/>
    </row>
    <row r="35" spans="1:16">
      <c r="A35" s="2"/>
      <c r="B35" s="88" t="s">
        <v>127</v>
      </c>
      <c r="C35" s="15"/>
      <c r="D35" s="15"/>
      <c r="E35" s="15"/>
      <c r="F35" s="15"/>
      <c r="G35" s="15"/>
      <c r="H35" s="89"/>
    </row>
    <row r="36" spans="1:16">
      <c r="B36" s="104"/>
      <c r="C36" s="15"/>
      <c r="D36" s="15"/>
      <c r="E36" s="15"/>
      <c r="F36" s="15"/>
      <c r="G36" s="15"/>
      <c r="H36" s="89"/>
      <c r="L36" s="202"/>
      <c r="N36" s="202"/>
      <c r="P36" s="202"/>
    </row>
    <row r="37" spans="1:16">
      <c r="B37" s="88" t="s">
        <v>128</v>
      </c>
      <c r="C37" s="15"/>
      <c r="D37" s="79"/>
      <c r="E37" s="15"/>
      <c r="F37" s="15"/>
      <c r="G37" s="15"/>
      <c r="H37" s="89"/>
    </row>
    <row r="38" spans="1:16" ht="13.8">
      <c r="B38" s="98">
        <v>2025</v>
      </c>
      <c r="C38" s="15"/>
      <c r="D38" s="75">
        <f>VLOOKUP(Info!B9,Data!B:X,16,FALSE)</f>
        <v>26896545.362276141</v>
      </c>
      <c r="E38" s="15"/>
      <c r="F38" s="61"/>
      <c r="G38" s="15"/>
      <c r="H38" s="89"/>
      <c r="L38" s="75"/>
      <c r="N38" s="75"/>
      <c r="P38" s="12"/>
    </row>
    <row r="39" spans="1:16" ht="13.8">
      <c r="B39" s="98">
        <v>2026</v>
      </c>
      <c r="C39" s="15"/>
      <c r="D39" s="105">
        <f>VLOOKUP(Info!B9,Data!B:X,17,FALSE)</f>
        <v>15489345.582076143</v>
      </c>
      <c r="E39" s="15"/>
      <c r="F39" s="61"/>
      <c r="G39" s="15"/>
      <c r="H39" s="89"/>
      <c r="L39" s="105"/>
      <c r="N39" s="105"/>
      <c r="P39" s="105"/>
    </row>
    <row r="40" spans="1:16" ht="13.8">
      <c r="B40" s="98">
        <v>2027</v>
      </c>
      <c r="C40" s="15"/>
      <c r="D40" s="105">
        <f>VLOOKUP(Info!B9,Data!B:X,18,FALSE)</f>
        <v>41227429.006823972</v>
      </c>
      <c r="E40" s="15"/>
      <c r="F40" s="61"/>
      <c r="G40" s="15"/>
      <c r="H40" s="89"/>
      <c r="L40" s="105"/>
      <c r="N40" s="105"/>
      <c r="P40" s="105"/>
    </row>
    <row r="41" spans="1:16" ht="13.8">
      <c r="B41" s="98">
        <v>2028</v>
      </c>
      <c r="C41" s="15"/>
      <c r="D41" s="105">
        <f>VLOOKUP(Info!B9,Data!B:X,19,FALSE)+VLOOKUP(Info!B9,Data!B:W,22,FALSE)</f>
        <v>2623378.0705999997</v>
      </c>
      <c r="E41" s="15"/>
      <c r="F41" s="61"/>
      <c r="G41" s="84"/>
      <c r="H41" s="89"/>
      <c r="J41" s="122" t="s">
        <v>33</v>
      </c>
      <c r="K41" s="2"/>
      <c r="L41" s="105"/>
      <c r="N41" s="105"/>
      <c r="P41" s="105"/>
    </row>
    <row r="42" spans="1:16" ht="13.8">
      <c r="B42" s="98">
        <v>2029</v>
      </c>
      <c r="C42" s="15"/>
      <c r="D42" s="106">
        <f>VLOOKUP(Info!B9,Data!B:W,20,FALSE)</f>
        <v>0</v>
      </c>
      <c r="E42" s="15"/>
      <c r="F42" s="61"/>
      <c r="G42" s="15"/>
      <c r="H42" s="89"/>
      <c r="L42" s="105"/>
      <c r="N42" s="105"/>
      <c r="P42" s="105"/>
    </row>
    <row r="43" spans="1:16" ht="14.4" customHeight="1" thickBot="1">
      <c r="B43" s="107" t="s">
        <v>121</v>
      </c>
      <c r="C43" s="15"/>
      <c r="D43" s="108">
        <f>SUM(D38:D42)</f>
        <v>86236698.021776259</v>
      </c>
      <c r="E43" s="15"/>
      <c r="F43" s="61"/>
      <c r="G43" s="15"/>
      <c r="H43" s="89"/>
      <c r="L43" s="12"/>
      <c r="N43" s="12"/>
      <c r="P43" s="12"/>
    </row>
    <row r="44" spans="1:16" ht="8.1" customHeight="1" thickTop="1">
      <c r="B44" s="91"/>
      <c r="C44" s="15"/>
      <c r="D44" s="15"/>
      <c r="E44" s="15"/>
      <c r="F44" s="15"/>
      <c r="G44" s="15"/>
      <c r="H44" s="89"/>
    </row>
    <row r="45" spans="1:16">
      <c r="B45" s="88" t="s">
        <v>129</v>
      </c>
      <c r="C45" s="15"/>
      <c r="D45" s="15"/>
      <c r="E45" s="15"/>
      <c r="F45" s="15"/>
      <c r="G45" s="15"/>
      <c r="H45" s="89"/>
    </row>
    <row r="46" spans="1:16">
      <c r="B46" s="88" t="s">
        <v>130</v>
      </c>
      <c r="C46" s="15"/>
      <c r="D46" s="15"/>
      <c r="E46" s="15"/>
      <c r="F46" s="15"/>
      <c r="G46" s="15"/>
      <c r="H46" s="89"/>
    </row>
    <row r="47" spans="1:16">
      <c r="B47" s="88"/>
      <c r="C47" s="15"/>
      <c r="D47" s="15"/>
      <c r="E47" s="15"/>
      <c r="F47" s="15"/>
      <c r="G47" s="15"/>
      <c r="H47" s="89"/>
    </row>
    <row r="48" spans="1:16">
      <c r="B48" s="109" t="s">
        <v>131</v>
      </c>
      <c r="C48" s="15"/>
      <c r="D48" s="15"/>
      <c r="E48" s="15"/>
      <c r="F48" s="15"/>
      <c r="G48" s="15"/>
      <c r="H48" s="89"/>
    </row>
    <row r="49" spans="1:16" ht="12.75" customHeight="1">
      <c r="B49" s="110"/>
      <c r="C49" s="102"/>
      <c r="D49" s="102"/>
      <c r="E49" s="102"/>
      <c r="F49" s="102"/>
      <c r="G49" s="102"/>
      <c r="H49" s="103"/>
    </row>
    <row r="50" spans="1:16" ht="15.75" customHeight="1"/>
    <row r="51" spans="1:16">
      <c r="A51" s="2" t="s">
        <v>132</v>
      </c>
      <c r="B51" s="85" t="s">
        <v>133</v>
      </c>
      <c r="C51" s="86"/>
      <c r="D51" s="86"/>
      <c r="E51" s="86"/>
      <c r="F51" s="86"/>
      <c r="G51" s="86"/>
      <c r="H51" s="87"/>
    </row>
    <row r="52" spans="1:16">
      <c r="A52" s="2"/>
      <c r="B52" s="88" t="s">
        <v>134</v>
      </c>
      <c r="C52" s="15"/>
      <c r="D52" s="15"/>
      <c r="E52" s="15"/>
      <c r="F52" s="15"/>
      <c r="G52" s="15"/>
      <c r="H52" s="89"/>
    </row>
    <row r="53" spans="1:16">
      <c r="A53" s="2"/>
      <c r="B53" s="111" t="s">
        <v>135</v>
      </c>
      <c r="C53" s="15"/>
      <c r="D53" s="15"/>
      <c r="E53" s="15"/>
      <c r="F53" s="15"/>
      <c r="G53" s="15"/>
      <c r="H53" s="89"/>
    </row>
    <row r="54" spans="1:16">
      <c r="B54" s="91"/>
      <c r="C54" s="15"/>
      <c r="D54" s="15"/>
      <c r="E54" s="15"/>
      <c r="F54" s="15"/>
      <c r="G54" s="15"/>
      <c r="H54" s="89"/>
      <c r="L54" s="202"/>
      <c r="N54" s="202"/>
      <c r="P54" s="202"/>
    </row>
    <row r="55" spans="1:16" ht="14.4" thickBot="1">
      <c r="B55" s="88" t="s">
        <v>136</v>
      </c>
      <c r="C55" s="15"/>
      <c r="D55" s="112">
        <f>D25</f>
        <v>0</v>
      </c>
      <c r="E55" s="15"/>
      <c r="F55" s="61"/>
      <c r="G55" s="84"/>
      <c r="H55" s="89"/>
      <c r="J55" s="122" t="s">
        <v>137</v>
      </c>
      <c r="K55" s="2"/>
      <c r="L55" s="13"/>
      <c r="N55" s="13"/>
      <c r="P55" s="12"/>
    </row>
    <row r="56" spans="1:16" ht="13.8" thickTop="1">
      <c r="B56" s="88"/>
      <c r="C56" s="15"/>
      <c r="D56" s="75"/>
      <c r="E56" s="15"/>
      <c r="F56" s="15"/>
      <c r="G56" s="15"/>
      <c r="H56" s="89"/>
    </row>
    <row r="57" spans="1:16">
      <c r="B57" s="109" t="s">
        <v>138</v>
      </c>
      <c r="C57" s="15"/>
      <c r="D57" s="75"/>
      <c r="E57" s="15"/>
      <c r="F57" s="15"/>
      <c r="G57" s="15"/>
      <c r="H57" s="89"/>
    </row>
    <row r="58" spans="1:16" ht="12.75" customHeight="1">
      <c r="B58" s="101"/>
      <c r="C58" s="102"/>
      <c r="D58" s="102"/>
      <c r="E58" s="102"/>
      <c r="F58" s="102"/>
      <c r="G58" s="102"/>
      <c r="H58" s="103"/>
    </row>
    <row r="59" spans="1:16" ht="15.75" customHeight="1"/>
    <row r="60" spans="1:16">
      <c r="A60" s="2" t="s">
        <v>139</v>
      </c>
      <c r="B60" s="113" t="s">
        <v>140</v>
      </c>
      <c r="C60" s="86"/>
      <c r="D60" s="86"/>
      <c r="E60" s="86"/>
      <c r="F60" s="86"/>
      <c r="G60" s="86"/>
      <c r="H60" s="87"/>
    </row>
    <row r="61" spans="1:16">
      <c r="B61" s="91"/>
      <c r="C61" s="15"/>
      <c r="D61" s="15"/>
      <c r="E61" s="15"/>
      <c r="F61" s="15"/>
      <c r="G61" s="15"/>
      <c r="H61" s="89"/>
    </row>
    <row r="62" spans="1:16">
      <c r="B62" s="114"/>
      <c r="C62" s="94"/>
      <c r="D62" s="115" t="s">
        <v>141</v>
      </c>
      <c r="E62" s="94"/>
      <c r="F62" s="94"/>
      <c r="G62" s="94"/>
      <c r="H62" s="89"/>
      <c r="I62" s="202"/>
      <c r="J62" s="202"/>
      <c r="K62" s="202"/>
      <c r="L62" s="264"/>
      <c r="M62" s="264"/>
      <c r="N62" s="264"/>
      <c r="O62" s="264"/>
      <c r="P62" s="264"/>
    </row>
    <row r="63" spans="1:16">
      <c r="B63" s="114"/>
      <c r="C63" s="94"/>
      <c r="D63" s="116" t="s">
        <v>142</v>
      </c>
      <c r="E63" s="94"/>
      <c r="F63" s="94"/>
      <c r="G63" s="94"/>
      <c r="H63" s="89"/>
      <c r="I63" s="202"/>
      <c r="J63" s="202"/>
      <c r="K63" s="202"/>
      <c r="L63" s="202"/>
      <c r="N63" s="202"/>
      <c r="P63" s="203"/>
    </row>
    <row r="64" spans="1:16">
      <c r="B64" s="88" t="s">
        <v>143</v>
      </c>
      <c r="C64" s="15"/>
      <c r="D64" s="117">
        <f>Detail!F15</f>
        <v>184478629</v>
      </c>
      <c r="E64" s="15"/>
      <c r="F64" s="15"/>
      <c r="G64" s="54"/>
      <c r="H64" s="89"/>
      <c r="L64" s="117"/>
      <c r="N64" s="117"/>
      <c r="P64" s="12"/>
    </row>
    <row r="65" spans="2:18" hidden="1">
      <c r="B65" s="91" t="s">
        <v>144</v>
      </c>
      <c r="C65" s="15"/>
      <c r="D65" s="105">
        <v>0</v>
      </c>
      <c r="E65" s="15"/>
      <c r="F65" s="15"/>
      <c r="G65" s="54"/>
      <c r="H65" s="89"/>
      <c r="L65" s="105"/>
      <c r="N65" s="105"/>
      <c r="P65" s="105"/>
    </row>
    <row r="66" spans="2:18">
      <c r="B66" s="178" t="s">
        <v>145</v>
      </c>
      <c r="C66" s="15"/>
      <c r="D66" s="105">
        <f>Detail!F43</f>
        <v>36035021</v>
      </c>
      <c r="E66" s="15"/>
      <c r="F66" s="15"/>
      <c r="G66" s="54"/>
      <c r="H66" s="89"/>
      <c r="L66" s="105"/>
      <c r="N66" s="105"/>
      <c r="P66" s="105"/>
    </row>
    <row r="67" spans="2:18">
      <c r="B67" s="178" t="s">
        <v>146</v>
      </c>
      <c r="C67" s="15"/>
      <c r="D67" s="105">
        <f>-Detail!E33</f>
        <v>0</v>
      </c>
      <c r="E67" s="15"/>
      <c r="F67" s="15"/>
      <c r="G67" s="54"/>
      <c r="H67" s="89"/>
      <c r="L67" s="105"/>
      <c r="N67" s="105"/>
      <c r="P67" s="105"/>
    </row>
    <row r="68" spans="2:18" ht="14.4" customHeight="1" thickBot="1">
      <c r="B68" s="88" t="s">
        <v>147</v>
      </c>
      <c r="C68" s="15"/>
      <c r="D68" s="108">
        <f>SUM(D64:D67)</f>
        <v>220513650</v>
      </c>
      <c r="E68" s="15"/>
      <c r="F68" s="15"/>
      <c r="G68" s="54"/>
      <c r="H68" s="89"/>
      <c r="L68" s="117"/>
      <c r="N68" s="117"/>
      <c r="P68" s="117"/>
      <c r="R68" s="121"/>
    </row>
    <row r="69" spans="2:18" ht="13.8" thickTop="1">
      <c r="B69" s="91"/>
      <c r="C69" s="15"/>
      <c r="D69" s="117"/>
      <c r="E69" s="15"/>
      <c r="F69" s="15"/>
      <c r="G69" s="15"/>
      <c r="H69" s="89"/>
      <c r="R69" s="121"/>
    </row>
    <row r="70" spans="2:18">
      <c r="B70" s="88" t="s">
        <v>148</v>
      </c>
      <c r="C70" s="15"/>
      <c r="D70" s="118">
        <v>0</v>
      </c>
      <c r="E70" s="15"/>
      <c r="F70" s="15"/>
      <c r="G70" s="15"/>
      <c r="H70" s="89"/>
      <c r="L70" s="117"/>
      <c r="N70" s="117"/>
      <c r="P70" s="117"/>
    </row>
    <row r="71" spans="2:18">
      <c r="B71" s="91"/>
      <c r="C71" s="15"/>
      <c r="D71" s="15"/>
      <c r="E71" s="15"/>
      <c r="F71" s="15"/>
      <c r="G71" s="15"/>
      <c r="H71" s="89"/>
    </row>
    <row r="72" spans="2:18" ht="81.900000000000006" customHeight="1">
      <c r="B72" s="262" t="s">
        <v>149</v>
      </c>
      <c r="C72" s="252"/>
      <c r="D72" s="252"/>
      <c r="E72" s="252"/>
      <c r="F72" s="252"/>
      <c r="G72" s="252"/>
      <c r="H72" s="263"/>
      <c r="L72" s="265"/>
      <c r="M72" s="265"/>
      <c r="N72" s="265"/>
      <c r="O72" s="265"/>
      <c r="P72" s="265"/>
    </row>
    <row r="73" spans="2:18" ht="92.1" customHeight="1">
      <c r="B73" s="259" t="s">
        <v>150</v>
      </c>
      <c r="C73" s="260"/>
      <c r="D73" s="260"/>
      <c r="E73" s="260"/>
      <c r="F73" s="260"/>
      <c r="G73" s="260"/>
      <c r="H73" s="261"/>
      <c r="L73" s="266"/>
      <c r="M73" s="266"/>
      <c r="N73" s="266"/>
      <c r="O73" s="266"/>
      <c r="P73" s="266"/>
    </row>
    <row r="74" spans="2:18" ht="12.75" customHeight="1">
      <c r="B74" s="101"/>
      <c r="C74" s="102"/>
      <c r="D74" s="102"/>
      <c r="E74" s="102"/>
      <c r="F74" s="102"/>
      <c r="G74" s="102"/>
      <c r="H74" s="103"/>
    </row>
    <row r="81" spans="7:7">
      <c r="G81" s="12"/>
    </row>
  </sheetData>
  <mergeCells count="12">
    <mergeCell ref="L8:N8"/>
    <mergeCell ref="L9:P9"/>
    <mergeCell ref="R9:V9"/>
    <mergeCell ref="L28:Q28"/>
    <mergeCell ref="B28:H28"/>
    <mergeCell ref="X9:Z9"/>
    <mergeCell ref="B73:H73"/>
    <mergeCell ref="B72:H72"/>
    <mergeCell ref="L62:P62"/>
    <mergeCell ref="L72:P72"/>
    <mergeCell ref="L73:P73"/>
    <mergeCell ref="N16:P16"/>
  </mergeCells>
  <pageMargins left="0.45" right="0.45" top="0.5" bottom="0.5" header="0.3" footer="0.3"/>
  <pageSetup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92"/>
  <sheetViews>
    <sheetView workbookViewId="0">
      <pane xSplit="2" ySplit="3" topLeftCell="C13" activePane="bottomRight" state="frozen"/>
      <selection pane="topRight" activeCell="C1" sqref="C1"/>
      <selection pane="bottomLeft" activeCell="A4" sqref="A4"/>
      <selection pane="bottomRight"/>
    </sheetView>
  </sheetViews>
  <sheetFormatPr defaultRowHeight="13.2"/>
  <cols>
    <col min="1" max="1" width="49.6640625" bestFit="1" customWidth="1"/>
    <col min="2" max="2" width="11.6640625" bestFit="1" customWidth="1"/>
    <col min="3" max="3" width="15.6640625" customWidth="1"/>
    <col min="4" max="4" width="10.33203125" customWidth="1"/>
    <col min="5" max="5" width="13.44140625" customWidth="1"/>
    <col min="6" max="7" width="11.6640625" customWidth="1"/>
    <col min="8" max="8" width="13.33203125" customWidth="1"/>
    <col min="9" max="9" width="20.6640625" customWidth="1"/>
    <col min="10" max="10" width="18.33203125" customWidth="1"/>
    <col min="11" max="11" width="20.33203125" customWidth="1"/>
    <col min="12" max="12" width="11.33203125" customWidth="1"/>
    <col min="13" max="13" width="20.6640625" customWidth="1"/>
    <col min="14" max="14" width="11.6640625" customWidth="1"/>
    <col min="15" max="15" width="20.6640625" customWidth="1"/>
    <col min="16" max="16" width="11.6640625" customWidth="1"/>
    <col min="17" max="20" width="12.33203125" customWidth="1"/>
    <col min="21" max="21" width="11.33203125" customWidth="1"/>
    <col min="22" max="22" width="17.44140625" customWidth="1"/>
    <col min="23" max="23" width="11.109375" customWidth="1"/>
    <col min="24" max="24" width="6.6640625" customWidth="1"/>
    <col min="25" max="28" width="8.33203125" customWidth="1"/>
    <col min="29" max="29" width="13.44140625" bestFit="1" customWidth="1"/>
    <col min="30" max="31" width="11.6640625" customWidth="1"/>
    <col min="32" max="32" width="13.33203125" customWidth="1"/>
    <col min="33" max="33" width="16.109375" customWidth="1"/>
    <col min="34" max="34" width="15.33203125" customWidth="1"/>
    <col min="35" max="35" width="14.6640625" customWidth="1"/>
    <col min="36" max="36" width="11.88671875" bestFit="1" customWidth="1"/>
    <col min="37" max="37" width="17.109375" customWidth="1"/>
    <col min="38" max="38" width="9.109375" customWidth="1"/>
    <col min="39" max="42" width="20.6640625" customWidth="1"/>
    <col min="43" max="43" width="21.44140625" style="4" customWidth="1"/>
    <col min="44" max="44" width="21.44140625" customWidth="1"/>
    <col min="45" max="45" width="17.6640625" style="4" customWidth="1"/>
    <col min="46" max="46" width="18.33203125" style="4" customWidth="1"/>
    <col min="47" max="47" width="16.5546875" customWidth="1"/>
    <col min="48" max="77" width="9.109375" customWidth="1"/>
  </cols>
  <sheetData>
    <row r="1" spans="1:47">
      <c r="B1" s="202">
        <v>1</v>
      </c>
      <c r="C1" s="202">
        <v>2</v>
      </c>
      <c r="D1" s="202">
        <v>3</v>
      </c>
      <c r="E1" s="202">
        <v>4</v>
      </c>
      <c r="F1" s="202">
        <v>5</v>
      </c>
      <c r="G1" s="202">
        <v>6</v>
      </c>
      <c r="H1" s="202">
        <v>7</v>
      </c>
      <c r="I1" s="202">
        <v>8</v>
      </c>
      <c r="J1" s="202">
        <v>9</v>
      </c>
      <c r="K1" s="202">
        <v>10</v>
      </c>
      <c r="L1" s="202">
        <v>11</v>
      </c>
      <c r="M1" s="202">
        <v>12</v>
      </c>
      <c r="N1" s="202">
        <v>13</v>
      </c>
      <c r="O1" s="202">
        <v>14</v>
      </c>
      <c r="P1" s="202">
        <v>15</v>
      </c>
      <c r="Q1" s="202">
        <v>16</v>
      </c>
      <c r="R1" s="202">
        <v>17</v>
      </c>
      <c r="S1" s="202">
        <v>18</v>
      </c>
      <c r="T1" s="202">
        <v>19</v>
      </c>
      <c r="U1" s="202">
        <v>20</v>
      </c>
      <c r="V1" s="202">
        <v>21</v>
      </c>
      <c r="W1" s="202">
        <v>22</v>
      </c>
      <c r="X1" s="202">
        <v>23</v>
      </c>
      <c r="Y1" s="202">
        <v>24</v>
      </c>
      <c r="Z1" s="202">
        <v>25</v>
      </c>
      <c r="AA1" s="202">
        <v>26</v>
      </c>
      <c r="AB1" s="202">
        <v>27</v>
      </c>
      <c r="AC1" s="202">
        <v>28</v>
      </c>
      <c r="AD1" s="202">
        <v>29</v>
      </c>
      <c r="AE1" s="202">
        <v>30</v>
      </c>
      <c r="AF1" s="202">
        <v>31</v>
      </c>
      <c r="AG1" s="202">
        <v>32</v>
      </c>
      <c r="AH1" s="202">
        <v>33</v>
      </c>
      <c r="AI1" s="202">
        <v>34</v>
      </c>
      <c r="AJ1" s="202">
        <v>35</v>
      </c>
      <c r="AK1" s="202">
        <v>36</v>
      </c>
      <c r="AL1" s="202">
        <v>37</v>
      </c>
      <c r="AM1" s="202">
        <v>38</v>
      </c>
      <c r="AN1" s="202">
        <v>39</v>
      </c>
      <c r="AO1" s="202">
        <v>40</v>
      </c>
      <c r="AP1" s="202">
        <v>41</v>
      </c>
      <c r="AQ1" s="166">
        <v>42</v>
      </c>
      <c r="AR1" s="202">
        <v>43</v>
      </c>
      <c r="AS1" s="166">
        <v>44</v>
      </c>
      <c r="AT1" s="166">
        <v>45</v>
      </c>
      <c r="AU1" s="166">
        <v>46</v>
      </c>
    </row>
    <row r="2" spans="1:47">
      <c r="F2" s="271" t="s">
        <v>151</v>
      </c>
      <c r="G2" s="272"/>
      <c r="H2" s="272"/>
      <c r="I2" s="273"/>
      <c r="J2" s="271" t="s">
        <v>152</v>
      </c>
      <c r="K2" s="272"/>
      <c r="L2" s="272"/>
      <c r="M2" s="273"/>
      <c r="N2" s="274" t="s">
        <v>110</v>
      </c>
      <c r="O2" s="275"/>
      <c r="P2" s="275"/>
      <c r="Q2" s="271" t="s">
        <v>153</v>
      </c>
      <c r="R2" s="272"/>
      <c r="S2" s="272"/>
      <c r="T2" s="272"/>
      <c r="U2" s="273"/>
      <c r="AD2" s="271" t="s">
        <v>154</v>
      </c>
      <c r="AE2" s="272"/>
      <c r="AF2" s="272"/>
      <c r="AG2" s="273"/>
      <c r="AH2" s="271" t="s">
        <v>155</v>
      </c>
      <c r="AI2" s="272"/>
      <c r="AJ2" s="272"/>
      <c r="AK2" s="273"/>
      <c r="AM2" s="140" t="s">
        <v>156</v>
      </c>
      <c r="AN2" s="140" t="s">
        <v>157</v>
      </c>
      <c r="AO2" s="140" t="s">
        <v>156</v>
      </c>
      <c r="AP2" s="140" t="s">
        <v>157</v>
      </c>
      <c r="AQ2" s="167" t="s">
        <v>156</v>
      </c>
      <c r="AR2" s="168" t="s">
        <v>157</v>
      </c>
      <c r="AS2" s="167" t="s">
        <v>158</v>
      </c>
      <c r="AT2" s="167" t="s">
        <v>156</v>
      </c>
      <c r="AU2" s="167" t="s">
        <v>157</v>
      </c>
    </row>
    <row r="3" spans="1:47" ht="120" customHeight="1">
      <c r="A3" s="10" t="s">
        <v>159</v>
      </c>
      <c r="B3" s="10" t="s">
        <v>160</v>
      </c>
      <c r="C3" s="7" t="s">
        <v>161</v>
      </c>
      <c r="D3" s="7" t="s">
        <v>162</v>
      </c>
      <c r="E3" s="9" t="s">
        <v>163</v>
      </c>
      <c r="F3" s="130" t="s">
        <v>164</v>
      </c>
      <c r="G3" s="130" t="s">
        <v>165</v>
      </c>
      <c r="H3" s="130" t="s">
        <v>166</v>
      </c>
      <c r="I3" s="130" t="s">
        <v>167</v>
      </c>
      <c r="J3" s="130" t="s">
        <v>164</v>
      </c>
      <c r="K3" s="130" t="s">
        <v>165</v>
      </c>
      <c r="L3" s="130" t="s">
        <v>166</v>
      </c>
      <c r="M3" s="130" t="s">
        <v>167</v>
      </c>
      <c r="N3" s="8" t="s">
        <v>168</v>
      </c>
      <c r="O3" s="8" t="s">
        <v>169</v>
      </c>
      <c r="P3" s="8" t="s">
        <v>170</v>
      </c>
      <c r="Q3" s="177" t="s">
        <v>171</v>
      </c>
      <c r="R3" s="177" t="s">
        <v>172</v>
      </c>
      <c r="S3" s="177" t="s">
        <v>173</v>
      </c>
      <c r="T3" s="177" t="s">
        <v>174</v>
      </c>
      <c r="U3" s="177" t="s">
        <v>175</v>
      </c>
      <c r="V3" s="7" t="s">
        <v>176</v>
      </c>
      <c r="W3" s="7" t="s">
        <v>177</v>
      </c>
      <c r="X3" s="7" t="s">
        <v>178</v>
      </c>
      <c r="Y3" s="7" t="s">
        <v>179</v>
      </c>
      <c r="Z3" s="7" t="s">
        <v>179</v>
      </c>
      <c r="AA3" s="7" t="s">
        <v>179</v>
      </c>
      <c r="AB3" s="7" t="s">
        <v>179</v>
      </c>
      <c r="AC3" s="176" t="s">
        <v>180</v>
      </c>
      <c r="AD3" s="139" t="s">
        <v>164</v>
      </c>
      <c r="AE3" s="139" t="s">
        <v>165</v>
      </c>
      <c r="AF3" s="139" t="s">
        <v>166</v>
      </c>
      <c r="AG3" s="139" t="s">
        <v>167</v>
      </c>
      <c r="AH3" s="139" t="s">
        <v>164</v>
      </c>
      <c r="AI3" s="139" t="s">
        <v>165</v>
      </c>
      <c r="AJ3" s="139" t="s">
        <v>166</v>
      </c>
      <c r="AK3" s="139" t="s">
        <v>167</v>
      </c>
      <c r="AL3" s="139" t="s">
        <v>179</v>
      </c>
      <c r="AM3" s="139" t="s">
        <v>167</v>
      </c>
      <c r="AN3" s="139" t="s">
        <v>167</v>
      </c>
      <c r="AO3" s="139" t="s">
        <v>164</v>
      </c>
      <c r="AP3" s="139" t="s">
        <v>164</v>
      </c>
      <c r="AQ3" s="165" t="s">
        <v>181</v>
      </c>
      <c r="AR3" s="2" t="s">
        <v>181</v>
      </c>
      <c r="AS3" s="165" t="s">
        <v>158</v>
      </c>
      <c r="AT3" s="179" t="s">
        <v>165</v>
      </c>
      <c r="AU3" s="139" t="s">
        <v>165</v>
      </c>
    </row>
    <row r="4" spans="1:47">
      <c r="A4" s="2" t="s">
        <v>182</v>
      </c>
      <c r="B4">
        <v>20100</v>
      </c>
      <c r="C4" s="4">
        <f>VLOOKUP(B4,'ER Contributions'!A:D,4,FALSE)</f>
        <v>22466314</v>
      </c>
      <c r="D4" s="5">
        <f>VLOOKUP(B4,'ER Contributions'!A:D,3,FALSE)</f>
        <v>7.3802E-3</v>
      </c>
      <c r="E4" s="6">
        <f>VLOOKUP(B4,'68 - Summary Exhibit'!A:N,3,FALSE)</f>
        <v>123042569</v>
      </c>
      <c r="F4" s="6">
        <f>VLOOKUP(B4,'68 - Summary Exhibit'!A:N,4,FALSE)</f>
        <v>10030880</v>
      </c>
      <c r="G4" s="6">
        <f>VLOOKUP(B4,'68 - Summary Exhibit'!A:N,5,FALSE)</f>
        <v>34267346</v>
      </c>
      <c r="H4" s="6">
        <f>VLOOKUP(B4,'68 - Summary Exhibit'!A:N,6,FALSE)</f>
        <v>4321092</v>
      </c>
      <c r="I4" s="4">
        <f>VLOOKUP(B4,'68 - Summary Exhibit'!A:N,7,FALSE)</f>
        <v>4567353</v>
      </c>
      <c r="J4" s="4">
        <f>VLOOKUP(B4,'68 - Summary Exhibit'!A:N,8,FALSE)</f>
        <v>908141</v>
      </c>
      <c r="K4" s="4">
        <f>VLOOKUP(B4,'68 - Summary Exhibit'!A:N,9,FALSE)</f>
        <v>0</v>
      </c>
      <c r="L4" s="4">
        <f>VLOOKUP(B4,'68 - Summary Exhibit'!A:N,10,FALSE)</f>
        <v>0</v>
      </c>
      <c r="M4" s="4">
        <f>VLOOKUP(B4,'68 - Summary Exhibit'!A:N,11,FALSE)</f>
        <v>510595</v>
      </c>
      <c r="N4" s="4">
        <f>VLOOKUP(B4,'68 - Summary Exhibit'!A:N,12,FALSE)</f>
        <v>31728594</v>
      </c>
      <c r="O4" s="4">
        <f>VLOOKUP(B4,'68 - Summary Exhibit'!A:N,13,FALSE)</f>
        <v>1294222</v>
      </c>
      <c r="P4" s="4">
        <f t="shared" ref="P4:P34" si="0">N4+O4</f>
        <v>33022816</v>
      </c>
      <c r="Q4" s="4">
        <f>VLOOKUP(B4,'68- Deferred Amortization'!A:G,3,FALSE)</f>
        <v>16796207.394820284</v>
      </c>
      <c r="R4" s="4">
        <f>VLOOKUP(B4,'68- Deferred Amortization'!A:G,4,FALSE)</f>
        <v>9931730.9154202845</v>
      </c>
      <c r="S4" s="4">
        <f>VLOOKUP(B4,'68- Deferred Amortization'!A:G,5,FALSE)</f>
        <v>23576200.872895557</v>
      </c>
      <c r="T4" s="4">
        <f>VLOOKUP(B4,'68- Deferred Amortization'!A:G,6,FALSE)</f>
        <v>1463796.2482</v>
      </c>
      <c r="U4" s="4">
        <f>VLOOKUP(B4,'68- Deferred Amortization'!A:G,7,FALSE)</f>
        <v>0</v>
      </c>
      <c r="V4" s="4">
        <f t="shared" ref="V4:V35" si="1">ROUND(((F4-AD4)+(G4-AE4)+(H4-AF4)+(I4-AG4)+(AI4-K4)+P4-(E4-AC4)-(J4-AH4)-(M4-AK4)-C4),0)</f>
        <v>0</v>
      </c>
      <c r="W4" s="4">
        <f t="shared" ref="W4:W35" si="2">ROUND((F4+G4+H4+I4-J4-K4-L4-M4-Q4-R4-S4-T4-U4),0)</f>
        <v>0</v>
      </c>
      <c r="X4">
        <v>1</v>
      </c>
      <c r="AC4" s="6">
        <v>99643365</v>
      </c>
      <c r="AD4" s="6">
        <v>433853</v>
      </c>
      <c r="AE4" s="6">
        <v>32726876</v>
      </c>
      <c r="AF4" s="6">
        <v>7861482</v>
      </c>
      <c r="AG4" s="4">
        <v>93402</v>
      </c>
      <c r="AH4" s="4">
        <v>1358154</v>
      </c>
      <c r="AI4" s="4">
        <v>0</v>
      </c>
      <c r="AJ4" s="4">
        <v>0</v>
      </c>
      <c r="AK4" s="4">
        <v>832226</v>
      </c>
      <c r="AM4" s="4">
        <f t="shared" ref="AM4:AM35" si="3">I4-AG4</f>
        <v>4473951</v>
      </c>
      <c r="AN4" s="4">
        <f t="shared" ref="AN4:AN35" si="4">M4-AK4</f>
        <v>-321631</v>
      </c>
      <c r="AO4" s="6">
        <f t="shared" ref="AO4:AO35" si="5">F4-AD4</f>
        <v>9597027</v>
      </c>
      <c r="AP4" s="4">
        <f t="shared" ref="AP4:AP35" si="6">J4-AH4</f>
        <v>-450013</v>
      </c>
      <c r="AQ4" s="4">
        <f t="shared" ref="AQ4:AQ35" si="7">H4-AF4</f>
        <v>-3540390</v>
      </c>
      <c r="AR4" s="4">
        <f t="shared" ref="AR4:AR35" si="8">L4-AJ4</f>
        <v>0</v>
      </c>
      <c r="AS4" s="4">
        <f t="shared" ref="AS4:AS35" si="9">E4-AC4</f>
        <v>23399204</v>
      </c>
      <c r="AT4" s="4">
        <f t="shared" ref="AT4:AT35" si="10">SUM(G4-AE4)</f>
        <v>1540470</v>
      </c>
      <c r="AU4" s="4">
        <f t="shared" ref="AU4:AU35" si="11">SUM(K4-AI4)</f>
        <v>0</v>
      </c>
    </row>
    <row r="5" spans="1:47">
      <c r="A5" t="s">
        <v>183</v>
      </c>
      <c r="B5">
        <v>20300</v>
      </c>
      <c r="C5" s="4">
        <f>VLOOKUP(B5,'ER Contributions'!A:D,4,FALSE)</f>
        <v>39714363</v>
      </c>
      <c r="D5" s="5">
        <f>VLOOKUP(B5,'ER Contributions'!A:D,3,FALSE)</f>
        <v>1.32266E-2</v>
      </c>
      <c r="E5" s="6">
        <f>VLOOKUP(B5,'68 - Summary Exhibit'!A:N,3,FALSE)</f>
        <v>220513650</v>
      </c>
      <c r="F5" s="6">
        <f>VLOOKUP(B5,'68 - Summary Exhibit'!A:N,4,FALSE)</f>
        <v>17977079</v>
      </c>
      <c r="G5" s="6">
        <f>VLOOKUP(B5,'68 - Summary Exhibit'!A:N,5,FALSE)</f>
        <v>61413035</v>
      </c>
      <c r="H5" s="6">
        <f>VLOOKUP(B5,'68 - Summary Exhibit'!A:N,6,FALSE)</f>
        <v>7744148</v>
      </c>
      <c r="I5" s="4">
        <f>VLOOKUP(B5,'68 - Summary Exhibit'!A:N,7,FALSE)</f>
        <v>5109839</v>
      </c>
      <c r="J5" s="4">
        <f>VLOOKUP(B5,'68 - Summary Exhibit'!A:N,8,FALSE)</f>
        <v>1627546</v>
      </c>
      <c r="K5" s="4">
        <f>VLOOKUP(B5,'68 - Summary Exhibit'!A:N,9,FALSE)</f>
        <v>0</v>
      </c>
      <c r="L5" s="4">
        <f>VLOOKUP(B5,'68 - Summary Exhibit'!A:N,10,FALSE)</f>
        <v>0</v>
      </c>
      <c r="M5" s="4">
        <f>VLOOKUP(B5,'68 - Summary Exhibit'!A:N,11,FALSE)</f>
        <v>4379857</v>
      </c>
      <c r="N5" s="4">
        <f>VLOOKUP(B5,'68 - Summary Exhibit'!A:N,12,FALSE)</f>
        <v>56863151</v>
      </c>
      <c r="O5" s="4">
        <f>VLOOKUP(B5,'68 - Summary Exhibit'!A:N,13,FALSE)</f>
        <v>-1562870</v>
      </c>
      <c r="P5" s="4">
        <f t="shared" si="0"/>
        <v>55300281</v>
      </c>
      <c r="Q5" s="4">
        <f>VLOOKUP(B5,'68- Deferred Amortization'!A:G,3,FALSE)</f>
        <v>26896545.362276141</v>
      </c>
      <c r="R5" s="4">
        <f>VLOOKUP(B5,'68- Deferred Amortization'!A:G,4,FALSE)</f>
        <v>15489345.582076143</v>
      </c>
      <c r="S5" s="4">
        <f>VLOOKUP(B5,'68- Deferred Amortization'!A:G,5,FALSE)</f>
        <v>41227429.006823972</v>
      </c>
      <c r="T5" s="4">
        <f>VLOOKUP(B5,'68- Deferred Amortization'!A:G,6,FALSE)</f>
        <v>2623377.0705999997</v>
      </c>
      <c r="U5" s="4">
        <f>VLOOKUP(B5,'68- Deferred Amortization'!A:G,7,FALSE)</f>
        <v>0</v>
      </c>
      <c r="V5" s="4">
        <f t="shared" si="1"/>
        <v>4</v>
      </c>
      <c r="W5" s="4">
        <f t="shared" si="2"/>
        <v>1</v>
      </c>
      <c r="X5">
        <v>1</v>
      </c>
      <c r="AC5" s="6">
        <v>184478629</v>
      </c>
      <c r="AD5" s="6">
        <v>803231</v>
      </c>
      <c r="AE5" s="6">
        <v>60590178</v>
      </c>
      <c r="AF5" s="6">
        <v>14554661</v>
      </c>
      <c r="AG5" s="4">
        <v>0</v>
      </c>
      <c r="AH5" s="4">
        <v>2514472</v>
      </c>
      <c r="AI5" s="4">
        <v>0</v>
      </c>
      <c r="AJ5" s="4">
        <v>0</v>
      </c>
      <c r="AK5" s="4">
        <v>7646007</v>
      </c>
      <c r="AM5" s="4">
        <f t="shared" si="3"/>
        <v>5109839</v>
      </c>
      <c r="AN5" s="4">
        <f t="shared" si="4"/>
        <v>-3266150</v>
      </c>
      <c r="AO5" s="6">
        <f t="shared" si="5"/>
        <v>17173848</v>
      </c>
      <c r="AP5" s="4">
        <f t="shared" si="6"/>
        <v>-886926</v>
      </c>
      <c r="AQ5" s="4">
        <f t="shared" si="7"/>
        <v>-6810513</v>
      </c>
      <c r="AR5" s="4">
        <f t="shared" si="8"/>
        <v>0</v>
      </c>
      <c r="AS5" s="4">
        <f t="shared" si="9"/>
        <v>36035021</v>
      </c>
      <c r="AT5" s="4">
        <f t="shared" si="10"/>
        <v>822857</v>
      </c>
      <c r="AU5" s="4">
        <f t="shared" si="11"/>
        <v>0</v>
      </c>
    </row>
    <row r="6" spans="1:47">
      <c r="A6" t="s">
        <v>184</v>
      </c>
      <c r="B6">
        <v>20400</v>
      </c>
      <c r="C6" s="4">
        <f>VLOOKUP(B6,'ER Contributions'!A:D,4,FALSE)</f>
        <v>3557012</v>
      </c>
      <c r="D6" s="5">
        <f>VLOOKUP(B6,'ER Contributions'!A:D,3,FALSE)</f>
        <v>1.0966999999999999E-3</v>
      </c>
      <c r="E6" s="6">
        <f>VLOOKUP(B6,'68 - Summary Exhibit'!A:N,3,FALSE)</f>
        <v>18284164</v>
      </c>
      <c r="F6" s="6">
        <f>VLOOKUP(B6,'68 - Summary Exhibit'!A:N,4,FALSE)</f>
        <v>1490592</v>
      </c>
      <c r="G6" s="6">
        <f>VLOOKUP(B6,'68 - Summary Exhibit'!A:N,5,FALSE)</f>
        <v>5092138</v>
      </c>
      <c r="H6" s="6">
        <f>VLOOKUP(B6,'68 - Summary Exhibit'!A:N,6,FALSE)</f>
        <v>642116</v>
      </c>
      <c r="I6" s="4">
        <f>VLOOKUP(B6,'68 - Summary Exhibit'!A:N,7,FALSE)</f>
        <v>718944</v>
      </c>
      <c r="J6" s="4">
        <f>VLOOKUP(B6,'68 - Summary Exhibit'!A:N,8,FALSE)</f>
        <v>134950</v>
      </c>
      <c r="K6" s="4">
        <f>VLOOKUP(B6,'68 - Summary Exhibit'!A:N,9,FALSE)</f>
        <v>0</v>
      </c>
      <c r="L6" s="4">
        <f>VLOOKUP(B6,'68 - Summary Exhibit'!A:N,10,FALSE)</f>
        <v>0</v>
      </c>
      <c r="M6" s="4">
        <f>VLOOKUP(B6,'68 - Summary Exhibit'!A:N,11,FALSE)</f>
        <v>0</v>
      </c>
      <c r="N6" s="4">
        <f>VLOOKUP(B6,'68 - Summary Exhibit'!A:N,12,FALSE)</f>
        <v>4714879</v>
      </c>
      <c r="O6" s="4">
        <f>VLOOKUP(B6,'68 - Summary Exhibit'!A:N,13,FALSE)</f>
        <v>342026</v>
      </c>
      <c r="P6" s="4">
        <f t="shared" si="0"/>
        <v>5056905</v>
      </c>
      <c r="Q6" s="4">
        <f>VLOOKUP(B6,'68- Deferred Amortization'!A:G,3,FALSE)</f>
        <v>2625200.878071527</v>
      </c>
      <c r="R6" s="4">
        <f>VLOOKUP(B6,'68- Deferred Amortization'!A:G,4,FALSE)</f>
        <v>1504931.8981715275</v>
      </c>
      <c r="S6" s="4">
        <f>VLOOKUP(B6,'68- Deferred Amortization'!A:G,5,FALSE)</f>
        <v>3461185.9911615923</v>
      </c>
      <c r="T6" s="4">
        <f>VLOOKUP(B6,'68- Deferred Amortization'!A:G,6,FALSE)</f>
        <v>217520.5747</v>
      </c>
      <c r="U6" s="4">
        <f>VLOOKUP(B6,'68- Deferred Amortization'!A:G,7,FALSE)</f>
        <v>0</v>
      </c>
      <c r="V6" s="4">
        <f t="shared" si="1"/>
        <v>0</v>
      </c>
      <c r="W6" s="4">
        <f t="shared" si="2"/>
        <v>1</v>
      </c>
      <c r="X6">
        <v>1</v>
      </c>
      <c r="AC6" s="6">
        <v>15450770</v>
      </c>
      <c r="AD6" s="6">
        <v>67274</v>
      </c>
      <c r="AE6" s="6">
        <v>5074652</v>
      </c>
      <c r="AF6" s="6">
        <v>1219007</v>
      </c>
      <c r="AG6" s="4">
        <v>325002</v>
      </c>
      <c r="AH6" s="4">
        <v>210596</v>
      </c>
      <c r="AI6" s="4">
        <v>0</v>
      </c>
      <c r="AJ6" s="4">
        <v>0</v>
      </c>
      <c r="AK6" s="4">
        <v>0</v>
      </c>
      <c r="AM6" s="4">
        <f t="shared" si="3"/>
        <v>393942</v>
      </c>
      <c r="AN6" s="4">
        <f t="shared" si="4"/>
        <v>0</v>
      </c>
      <c r="AO6" s="6">
        <f t="shared" si="5"/>
        <v>1423318</v>
      </c>
      <c r="AP6" s="4">
        <f t="shared" si="6"/>
        <v>-75646</v>
      </c>
      <c r="AQ6" s="4">
        <f t="shared" si="7"/>
        <v>-576891</v>
      </c>
      <c r="AR6" s="4">
        <f t="shared" si="8"/>
        <v>0</v>
      </c>
      <c r="AS6" s="4">
        <f t="shared" si="9"/>
        <v>2833394</v>
      </c>
      <c r="AT6" s="4">
        <f t="shared" si="10"/>
        <v>17486</v>
      </c>
      <c r="AU6" s="4">
        <f t="shared" si="11"/>
        <v>0</v>
      </c>
    </row>
    <row r="7" spans="1:47">
      <c r="A7" t="s">
        <v>4</v>
      </c>
      <c r="B7">
        <v>20600</v>
      </c>
      <c r="C7" s="4">
        <f>VLOOKUP(B7,'ER Contributions'!A:D,4,FALSE)</f>
        <v>7051664</v>
      </c>
      <c r="D7" s="5">
        <f>VLOOKUP(B7,'ER Contributions'!A:D,3,FALSE)</f>
        <v>2.1928E-3</v>
      </c>
      <c r="E7" s="6">
        <f>VLOOKUP(B7,'68 - Summary Exhibit'!A:N,3,FALSE)</f>
        <v>36558324</v>
      </c>
      <c r="F7" s="6">
        <f>VLOOKUP(B7,'68 - Summary Exhibit'!A:N,4,FALSE)</f>
        <v>2980368</v>
      </c>
      <c r="G7" s="6">
        <f>VLOOKUP(B7,'68 - Summary Exhibit'!A:N,5,FALSE)</f>
        <v>10181491</v>
      </c>
      <c r="H7" s="6">
        <f>VLOOKUP(B7,'68 - Summary Exhibit'!A:N,6,FALSE)</f>
        <v>1283880</v>
      </c>
      <c r="I7" s="4">
        <f>VLOOKUP(B7,'68 - Summary Exhibit'!A:N,7,FALSE)</f>
        <v>2580340</v>
      </c>
      <c r="J7" s="4">
        <f>VLOOKUP(B7,'68 - Summary Exhibit'!A:N,8,FALSE)</f>
        <v>269826</v>
      </c>
      <c r="K7" s="4">
        <f>VLOOKUP(B7,'68 - Summary Exhibit'!A:N,9,FALSE)</f>
        <v>0</v>
      </c>
      <c r="L7" s="4">
        <f>VLOOKUP(B7,'68 - Summary Exhibit'!A:N,10,FALSE)</f>
        <v>0</v>
      </c>
      <c r="M7" s="4">
        <f>VLOOKUP(B7,'68 - Summary Exhibit'!A:N,11,FALSE)</f>
        <v>83145</v>
      </c>
      <c r="N7" s="4">
        <f>VLOOKUP(B7,'68 - Summary Exhibit'!A:N,12,FALSE)</f>
        <v>9427178</v>
      </c>
      <c r="O7" s="4">
        <f>VLOOKUP(B7,'68 - Summary Exhibit'!A:N,13,FALSE)</f>
        <v>596449</v>
      </c>
      <c r="P7" s="4">
        <f t="shared" si="0"/>
        <v>10023627</v>
      </c>
      <c r="Q7" s="4">
        <f>VLOOKUP(B7,'68- Deferred Amortization'!A:G,3,FALSE)</f>
        <v>5454675.1119054463</v>
      </c>
      <c r="R7" s="4">
        <f>VLOOKUP(B7,'68- Deferred Amortization'!A:G,4,FALSE)</f>
        <v>3458833.0103054466</v>
      </c>
      <c r="S7" s="4">
        <f>VLOOKUP(B7,'68- Deferred Amortization'!A:G,5,FALSE)</f>
        <v>7324677.2406900674</v>
      </c>
      <c r="T7" s="4">
        <f>VLOOKUP(B7,'68- Deferred Amortization'!A:G,6,FALSE)</f>
        <v>434922.14480000001</v>
      </c>
      <c r="U7" s="4">
        <f>VLOOKUP(B7,'68- Deferred Amortization'!A:G,7,FALSE)</f>
        <v>0</v>
      </c>
      <c r="V7" s="4">
        <f t="shared" si="1"/>
        <v>2</v>
      </c>
      <c r="W7" s="4">
        <f t="shared" si="2"/>
        <v>0</v>
      </c>
      <c r="X7">
        <v>1</v>
      </c>
      <c r="AC7" s="6">
        <v>28106746</v>
      </c>
      <c r="AD7" s="6">
        <v>122378</v>
      </c>
      <c r="AE7" s="6">
        <v>9231382</v>
      </c>
      <c r="AF7" s="6">
        <v>2217515</v>
      </c>
      <c r="AG7" s="4">
        <v>396140</v>
      </c>
      <c r="AH7" s="4">
        <v>383099</v>
      </c>
      <c r="AI7" s="4">
        <v>0</v>
      </c>
      <c r="AJ7" s="4">
        <v>0</v>
      </c>
      <c r="AK7" s="4">
        <v>390825</v>
      </c>
      <c r="AM7" s="4">
        <f t="shared" si="3"/>
        <v>2184200</v>
      </c>
      <c r="AN7" s="4">
        <f t="shared" si="4"/>
        <v>-307680</v>
      </c>
      <c r="AO7" s="6">
        <f t="shared" si="5"/>
        <v>2857990</v>
      </c>
      <c r="AP7" s="4">
        <f t="shared" si="6"/>
        <v>-113273</v>
      </c>
      <c r="AQ7" s="4">
        <f t="shared" si="7"/>
        <v>-933635</v>
      </c>
      <c r="AR7" s="4">
        <f t="shared" si="8"/>
        <v>0</v>
      </c>
      <c r="AS7" s="4">
        <f t="shared" si="9"/>
        <v>8451578</v>
      </c>
      <c r="AT7" s="4">
        <f t="shared" si="10"/>
        <v>950109</v>
      </c>
      <c r="AU7" s="4">
        <f t="shared" si="11"/>
        <v>0</v>
      </c>
    </row>
    <row r="8" spans="1:47">
      <c r="A8" t="s">
        <v>185</v>
      </c>
      <c r="B8">
        <v>20800</v>
      </c>
      <c r="C8" s="4">
        <f>VLOOKUP(B8,'ER Contributions'!A:D,4,FALSE)</f>
        <v>10521985</v>
      </c>
      <c r="D8" s="5">
        <f>VLOOKUP(B8,'ER Contributions'!A:D,3,FALSE)</f>
        <v>3.1513000000000001E-3</v>
      </c>
      <c r="E8" s="6">
        <f>VLOOKUP(B8,'68 - Summary Exhibit'!A:N,3,FALSE)</f>
        <v>52538420</v>
      </c>
      <c r="F8" s="6">
        <f>VLOOKUP(B8,'68 - Summary Exhibit'!A:N,4,FALSE)</f>
        <v>4283124</v>
      </c>
      <c r="G8" s="6">
        <f>VLOOKUP(B8,'68 - Summary Exhibit'!A:N,5,FALSE)</f>
        <v>14631946</v>
      </c>
      <c r="H8" s="6">
        <f>VLOOKUP(B8,'68 - Summary Exhibit'!A:N,6,FALSE)</f>
        <v>1845080</v>
      </c>
      <c r="I8" s="4">
        <f>VLOOKUP(B8,'68 - Summary Exhibit'!A:N,7,FALSE)</f>
        <v>178075</v>
      </c>
      <c r="J8" s="4">
        <f>VLOOKUP(B8,'68 - Summary Exhibit'!A:N,8,FALSE)</f>
        <v>387771</v>
      </c>
      <c r="K8" s="4">
        <f>VLOOKUP(B8,'68 - Summary Exhibit'!A:N,9,FALSE)</f>
        <v>0</v>
      </c>
      <c r="L8" s="4">
        <f>VLOOKUP(B8,'68 - Summary Exhibit'!A:N,10,FALSE)</f>
        <v>0</v>
      </c>
      <c r="M8" s="4">
        <f>VLOOKUP(B8,'68 - Summary Exhibit'!A:N,11,FALSE)</f>
        <v>466627</v>
      </c>
      <c r="N8" s="4">
        <f>VLOOKUP(B8,'68 - Summary Exhibit'!A:N,12,FALSE)</f>
        <v>13547915</v>
      </c>
      <c r="O8" s="4">
        <f>VLOOKUP(B8,'68 - Summary Exhibit'!A:N,13,FALSE)</f>
        <v>-371</v>
      </c>
      <c r="P8" s="4">
        <f t="shared" si="0"/>
        <v>13547544</v>
      </c>
      <c r="Q8" s="4">
        <f>VLOOKUP(B8,'68- Deferred Amortization'!A:G,3,FALSE)</f>
        <v>6614436.0645222152</v>
      </c>
      <c r="R8" s="4">
        <f>VLOOKUP(B8,'68- Deferred Amortization'!A:G,4,FALSE)</f>
        <v>3583085.988422215</v>
      </c>
      <c r="S8" s="4">
        <f>VLOOKUP(B8,'68- Deferred Amortization'!A:G,5,FALSE)</f>
        <v>9261273.3099404704</v>
      </c>
      <c r="T8" s="4">
        <f>VLOOKUP(B8,'68- Deferred Amortization'!A:G,6,FALSE)</f>
        <v>625031.99329999997</v>
      </c>
      <c r="U8" s="4">
        <f>VLOOKUP(B8,'68- Deferred Amortization'!A:G,7,FALSE)</f>
        <v>0</v>
      </c>
      <c r="V8" s="4">
        <f t="shared" si="1"/>
        <v>0</v>
      </c>
      <c r="W8" s="4">
        <f t="shared" si="2"/>
        <v>0</v>
      </c>
      <c r="X8">
        <v>1</v>
      </c>
      <c r="AC8" s="6">
        <v>49443947</v>
      </c>
      <c r="AD8" s="6">
        <v>215282</v>
      </c>
      <c r="AE8" s="6">
        <v>16239375</v>
      </c>
      <c r="AF8" s="6">
        <v>3900939</v>
      </c>
      <c r="AG8" s="4">
        <v>333246</v>
      </c>
      <c r="AH8" s="4">
        <v>673929</v>
      </c>
      <c r="AI8" s="4">
        <v>0</v>
      </c>
      <c r="AJ8" s="4">
        <v>0</v>
      </c>
      <c r="AK8" s="4">
        <v>0</v>
      </c>
      <c r="AM8" s="4">
        <f t="shared" si="3"/>
        <v>-155171</v>
      </c>
      <c r="AN8" s="4">
        <f t="shared" si="4"/>
        <v>466627</v>
      </c>
      <c r="AO8" s="6">
        <f t="shared" si="5"/>
        <v>4067842</v>
      </c>
      <c r="AP8" s="4">
        <f t="shared" si="6"/>
        <v>-286158</v>
      </c>
      <c r="AQ8" s="4">
        <f t="shared" si="7"/>
        <v>-2055859</v>
      </c>
      <c r="AR8" s="4">
        <f t="shared" si="8"/>
        <v>0</v>
      </c>
      <c r="AS8" s="4">
        <f t="shared" si="9"/>
        <v>3094473</v>
      </c>
      <c r="AT8" s="4">
        <f t="shared" si="10"/>
        <v>-1607429</v>
      </c>
      <c r="AU8" s="4">
        <f t="shared" si="11"/>
        <v>0</v>
      </c>
    </row>
    <row r="9" spans="1:47">
      <c r="A9" t="s">
        <v>186</v>
      </c>
      <c r="B9">
        <v>10950</v>
      </c>
      <c r="C9" s="4">
        <f>VLOOKUP(B9,'ER Contributions'!A:D,4,FALSE)</f>
        <v>2878314</v>
      </c>
      <c r="D9" s="5">
        <f>VLOOKUP(B9,'ER Contributions'!A:D,3,FALSE)</f>
        <v>9.0970000000000005E-4</v>
      </c>
      <c r="E9" s="6">
        <f>VLOOKUP(B9,'68 - Summary Exhibit'!A:N,3,FALSE)</f>
        <v>15166503</v>
      </c>
      <c r="F9" s="6">
        <f>VLOOKUP(B9,'68 - Summary Exhibit'!A:N,4,FALSE)</f>
        <v>1236429</v>
      </c>
      <c r="G9" s="6">
        <f>VLOOKUP(B9,'68 - Summary Exhibit'!A:N,5,FALSE)</f>
        <v>4223870</v>
      </c>
      <c r="H9" s="6">
        <f>VLOOKUP(B9,'68 - Summary Exhibit'!A:N,6,FALSE)</f>
        <v>532628</v>
      </c>
      <c r="I9" s="4">
        <f>VLOOKUP(B9,'68 - Summary Exhibit'!A:N,7,FALSE)</f>
        <v>1531863</v>
      </c>
      <c r="J9" s="4">
        <f>VLOOKUP(B9,'68 - Summary Exhibit'!A:N,8,FALSE)</f>
        <v>111939</v>
      </c>
      <c r="K9" s="4">
        <f>VLOOKUP(B9,'68 - Summary Exhibit'!A:N,9,FALSE)</f>
        <v>0</v>
      </c>
      <c r="L9" s="4">
        <f>VLOOKUP(B9,'68 - Summary Exhibit'!A:N,10,FALSE)</f>
        <v>0</v>
      </c>
      <c r="M9" s="4">
        <f>VLOOKUP(B9,'68 - Summary Exhibit'!A:N,11,FALSE)</f>
        <v>0</v>
      </c>
      <c r="N9" s="4">
        <f>VLOOKUP(B9,'68 - Summary Exhibit'!A:N,12,FALSE)</f>
        <v>3910938</v>
      </c>
      <c r="O9" s="4">
        <f>VLOOKUP(B9,'68 - Summary Exhibit'!A:N,13,FALSE)</f>
        <v>609485</v>
      </c>
      <c r="P9" s="4">
        <f t="shared" si="0"/>
        <v>4520423</v>
      </c>
      <c r="Q9" s="4">
        <f>VLOOKUP(B9,'68- Deferred Amortization'!A:G,3,FALSE)</f>
        <v>2489326.075815687</v>
      </c>
      <c r="R9" s="4">
        <f>VLOOKUP(B9,'68- Deferred Amortization'!A:G,4,FALSE)</f>
        <v>1602899.2349156872</v>
      </c>
      <c r="S9" s="4">
        <f>VLOOKUP(B9,'68- Deferred Amortization'!A:G,5,FALSE)</f>
        <v>3140193.978554016</v>
      </c>
      <c r="T9" s="4">
        <f>VLOOKUP(B9,'68- Deferred Amortization'!A:G,6,FALSE)</f>
        <v>180430.8077</v>
      </c>
      <c r="U9" s="4">
        <f>VLOOKUP(B9,'68- Deferred Amortization'!A:G,7,FALSE)</f>
        <v>0</v>
      </c>
      <c r="V9" s="4">
        <f t="shared" si="1"/>
        <v>2</v>
      </c>
      <c r="W9" s="4">
        <f t="shared" si="2"/>
        <v>1</v>
      </c>
      <c r="X9">
        <v>1</v>
      </c>
      <c r="AC9" s="6">
        <v>10907561</v>
      </c>
      <c r="AD9" s="6">
        <v>47492</v>
      </c>
      <c r="AE9" s="6">
        <v>3582480</v>
      </c>
      <c r="AF9" s="6">
        <v>860565</v>
      </c>
      <c r="AG9" s="4">
        <v>454151</v>
      </c>
      <c r="AH9" s="4">
        <v>148672</v>
      </c>
      <c r="AI9" s="4">
        <v>0</v>
      </c>
      <c r="AJ9" s="4">
        <v>0</v>
      </c>
      <c r="AK9" s="4">
        <v>0</v>
      </c>
      <c r="AM9" s="4">
        <f t="shared" si="3"/>
        <v>1077712</v>
      </c>
      <c r="AN9" s="4">
        <f t="shared" si="4"/>
        <v>0</v>
      </c>
      <c r="AO9" s="6">
        <f t="shared" si="5"/>
        <v>1188937</v>
      </c>
      <c r="AP9" s="4">
        <f t="shared" si="6"/>
        <v>-36733</v>
      </c>
      <c r="AQ9" s="4">
        <f t="shared" si="7"/>
        <v>-327937</v>
      </c>
      <c r="AR9" s="4">
        <f t="shared" si="8"/>
        <v>0</v>
      </c>
      <c r="AS9" s="4">
        <f t="shared" si="9"/>
        <v>4258942</v>
      </c>
      <c r="AT9" s="4">
        <f t="shared" si="10"/>
        <v>641390</v>
      </c>
      <c r="AU9" s="4">
        <f t="shared" si="11"/>
        <v>0</v>
      </c>
    </row>
    <row r="10" spans="1:47">
      <c r="A10" t="s">
        <v>187</v>
      </c>
      <c r="B10">
        <v>20200</v>
      </c>
      <c r="C10" s="4">
        <f>VLOOKUP(B10,'ER Contributions'!A:D,4,FALSE)</f>
        <v>3118394</v>
      </c>
      <c r="D10" s="5">
        <f>VLOOKUP(B10,'ER Contributions'!A:D,3,FALSE)</f>
        <v>9.8780000000000005E-4</v>
      </c>
      <c r="E10" s="6">
        <f>VLOOKUP(B10,'68 - Summary Exhibit'!A:N,3,FALSE)</f>
        <v>16468585</v>
      </c>
      <c r="F10" s="6">
        <f>VLOOKUP(B10,'68 - Summary Exhibit'!A:N,4,FALSE)</f>
        <v>1342579</v>
      </c>
      <c r="G10" s="6">
        <f>VLOOKUP(B10,'68 - Summary Exhibit'!A:N,5,FALSE)</f>
        <v>4586500</v>
      </c>
      <c r="H10" s="6">
        <f>VLOOKUP(B10,'68 - Summary Exhibit'!A:N,6,FALSE)</f>
        <v>578355</v>
      </c>
      <c r="I10" s="4">
        <f>VLOOKUP(B10,'68 - Summary Exhibit'!A:N,7,FALSE)</f>
        <v>513834</v>
      </c>
      <c r="J10" s="4">
        <f>VLOOKUP(B10,'68 - Summary Exhibit'!A:N,8,FALSE)</f>
        <v>121550</v>
      </c>
      <c r="K10" s="4">
        <f>VLOOKUP(B10,'68 - Summary Exhibit'!A:N,9,FALSE)</f>
        <v>0</v>
      </c>
      <c r="L10" s="4">
        <f>VLOOKUP(B10,'68 - Summary Exhibit'!A:N,10,FALSE)</f>
        <v>0</v>
      </c>
      <c r="M10" s="4">
        <f>VLOOKUP(B10,'68 - Summary Exhibit'!A:N,11,FALSE)</f>
        <v>0</v>
      </c>
      <c r="N10" s="4">
        <f>VLOOKUP(B10,'68 - Summary Exhibit'!A:N,12,FALSE)</f>
        <v>4246701</v>
      </c>
      <c r="O10" s="4">
        <f>VLOOKUP(B10,'68 - Summary Exhibit'!A:N,13,FALSE)</f>
        <v>327916</v>
      </c>
      <c r="P10" s="4">
        <f t="shared" si="0"/>
        <v>4574617</v>
      </c>
      <c r="Q10" s="4">
        <f>VLOOKUP(B10,'68- Deferred Amortization'!A:G,3,FALSE)</f>
        <v>2325046.4035833627</v>
      </c>
      <c r="R10" s="4">
        <f>VLOOKUP(B10,'68- Deferred Amortization'!A:G,4,FALSE)</f>
        <v>1326761.1869833628</v>
      </c>
      <c r="S10" s="4">
        <f>VLOOKUP(B10,'68- Deferred Amortization'!A:G,5,FALSE)</f>
        <v>3051989.0536324037</v>
      </c>
      <c r="T10" s="4">
        <f>VLOOKUP(B10,'68- Deferred Amortization'!A:G,6,FALSE)</f>
        <v>195921.23980000001</v>
      </c>
      <c r="U10" s="4">
        <f>VLOOKUP(B10,'68- Deferred Amortization'!A:G,7,FALSE)</f>
        <v>0</v>
      </c>
      <c r="V10" s="4">
        <f t="shared" si="1"/>
        <v>0</v>
      </c>
      <c r="W10" s="4">
        <f t="shared" si="2"/>
        <v>0</v>
      </c>
      <c r="X10">
        <v>1</v>
      </c>
      <c r="AC10" s="6">
        <v>14209959</v>
      </c>
      <c r="AD10" s="6">
        <v>61871</v>
      </c>
      <c r="AE10" s="6">
        <v>4667120</v>
      </c>
      <c r="AF10" s="6">
        <v>1121112</v>
      </c>
      <c r="AG10" s="4">
        <v>440896</v>
      </c>
      <c r="AH10" s="4">
        <v>193684</v>
      </c>
      <c r="AI10" s="4">
        <v>0</v>
      </c>
      <c r="AJ10" s="4">
        <v>0</v>
      </c>
      <c r="AK10" s="4">
        <v>0</v>
      </c>
      <c r="AM10" s="4">
        <f t="shared" si="3"/>
        <v>72938</v>
      </c>
      <c r="AN10" s="4">
        <f t="shared" si="4"/>
        <v>0</v>
      </c>
      <c r="AO10" s="6">
        <f t="shared" si="5"/>
        <v>1280708</v>
      </c>
      <c r="AP10" s="4">
        <f t="shared" si="6"/>
        <v>-72134</v>
      </c>
      <c r="AQ10" s="4">
        <f t="shared" si="7"/>
        <v>-542757</v>
      </c>
      <c r="AR10" s="4">
        <f t="shared" si="8"/>
        <v>0</v>
      </c>
      <c r="AS10" s="4">
        <f t="shared" si="9"/>
        <v>2258626</v>
      </c>
      <c r="AT10" s="4">
        <f t="shared" si="10"/>
        <v>-80620</v>
      </c>
      <c r="AU10" s="4">
        <f t="shared" si="11"/>
        <v>0</v>
      </c>
    </row>
    <row r="11" spans="1:47">
      <c r="A11" t="s">
        <v>188</v>
      </c>
      <c r="B11">
        <v>21300</v>
      </c>
      <c r="C11" s="4">
        <f>VLOOKUP(B11,'ER Contributions'!A:D,4,FALSE)</f>
        <v>68032361</v>
      </c>
      <c r="D11" s="5">
        <f>VLOOKUP(B11,'ER Contributions'!A:D,3,FALSE)</f>
        <v>2.1995399999999998E-2</v>
      </c>
      <c r="E11" s="6">
        <f>VLOOKUP(B11,'68 - Summary Exhibit'!A:N,3,FALSE)</f>
        <v>366706935</v>
      </c>
      <c r="F11" s="6">
        <f>VLOOKUP(B11,'68 - Summary Exhibit'!A:N,4,FALSE)</f>
        <v>29895290</v>
      </c>
      <c r="G11" s="6">
        <f>VLOOKUP(B11,'68 - Summary Exhibit'!A:N,5,FALSE)</f>
        <v>102127854</v>
      </c>
      <c r="H11" s="6">
        <f>VLOOKUP(B11,'68 - Summary Exhibit'!A:N,6,FALSE)</f>
        <v>12878263</v>
      </c>
      <c r="I11" s="4">
        <f>VLOOKUP(B11,'68 - Summary Exhibit'!A:N,7,FALSE)</f>
        <v>8503593</v>
      </c>
      <c r="J11" s="4">
        <f>VLOOKUP(B11,'68 - Summary Exhibit'!A:N,8,FALSE)</f>
        <v>2706556</v>
      </c>
      <c r="K11" s="4">
        <f>VLOOKUP(B11,'68 - Summary Exhibit'!A:N,9,FALSE)</f>
        <v>0</v>
      </c>
      <c r="L11" s="4">
        <f>VLOOKUP(B11,'68 - Summary Exhibit'!A:N,10,FALSE)</f>
        <v>0</v>
      </c>
      <c r="M11" s="4">
        <f>VLOOKUP(B11,'68 - Summary Exhibit'!A:N,11,FALSE)</f>
        <v>5681009</v>
      </c>
      <c r="N11" s="4">
        <f>VLOOKUP(B11,'68 - Summary Exhibit'!A:N,12,FALSE)</f>
        <v>94561546</v>
      </c>
      <c r="O11" s="4">
        <f>VLOOKUP(B11,'68 - Summary Exhibit'!A:N,13,FALSE)</f>
        <v>-734252</v>
      </c>
      <c r="P11" s="4">
        <f t="shared" si="0"/>
        <v>93827294</v>
      </c>
      <c r="Q11" s="4">
        <f>VLOOKUP(B11,'68- Deferred Amortization'!A:G,3,FALSE)</f>
        <v>45594775.173287168</v>
      </c>
      <c r="R11" s="4">
        <f>VLOOKUP(B11,'68- Deferred Amortization'!A:G,4,FALSE)</f>
        <v>26498180.419487163</v>
      </c>
      <c r="S11" s="4">
        <f>VLOOKUP(B11,'68- Deferred Amortization'!A:G,5,FALSE)</f>
        <v>68561889.090807751</v>
      </c>
      <c r="T11" s="4">
        <f>VLOOKUP(B11,'68- Deferred Amortization'!A:G,6,FALSE)</f>
        <v>4362589.6313999994</v>
      </c>
      <c r="U11" s="4">
        <f>VLOOKUP(B11,'68- Deferred Amortization'!A:G,7,FALSE)</f>
        <v>0</v>
      </c>
      <c r="V11" s="4">
        <f t="shared" si="1"/>
        <v>6</v>
      </c>
      <c r="W11" s="4">
        <f t="shared" si="2"/>
        <v>1</v>
      </c>
      <c r="X11">
        <v>1</v>
      </c>
      <c r="AC11" s="6">
        <v>310072163</v>
      </c>
      <c r="AD11" s="6">
        <v>1350073</v>
      </c>
      <c r="AE11" s="6">
        <v>101840129</v>
      </c>
      <c r="AF11" s="6">
        <v>24463512</v>
      </c>
      <c r="AG11" s="4">
        <v>150309</v>
      </c>
      <c r="AH11" s="4">
        <v>4226332</v>
      </c>
      <c r="AI11" s="4">
        <v>0</v>
      </c>
      <c r="AJ11" s="4">
        <v>0</v>
      </c>
      <c r="AK11" s="4">
        <v>9400101</v>
      </c>
      <c r="AM11" s="4">
        <f t="shared" si="3"/>
        <v>8353284</v>
      </c>
      <c r="AN11" s="4">
        <f t="shared" si="4"/>
        <v>-3719092</v>
      </c>
      <c r="AO11" s="6">
        <f t="shared" si="5"/>
        <v>28545217</v>
      </c>
      <c r="AP11" s="4">
        <f t="shared" si="6"/>
        <v>-1519776</v>
      </c>
      <c r="AQ11" s="4">
        <f t="shared" si="7"/>
        <v>-11585249</v>
      </c>
      <c r="AR11" s="4">
        <f t="shared" si="8"/>
        <v>0</v>
      </c>
      <c r="AS11" s="4">
        <f t="shared" si="9"/>
        <v>56634772</v>
      </c>
      <c r="AT11" s="4">
        <f t="shared" si="10"/>
        <v>287725</v>
      </c>
      <c r="AU11" s="4">
        <f t="shared" si="11"/>
        <v>0</v>
      </c>
    </row>
    <row r="12" spans="1:47">
      <c r="A12" t="s">
        <v>189</v>
      </c>
      <c r="B12">
        <v>20700</v>
      </c>
      <c r="C12" s="4">
        <f>VLOOKUP(B12,'ER Contributions'!A:D,4,FALSE)</f>
        <v>13113192</v>
      </c>
      <c r="D12" s="5">
        <f>VLOOKUP(B12,'ER Contributions'!A:D,3,FALSE)</f>
        <v>4.0670999999999997E-3</v>
      </c>
      <c r="E12" s="6">
        <f>VLOOKUP(B12,'68 - Summary Exhibit'!A:N,3,FALSE)</f>
        <v>67806622</v>
      </c>
      <c r="F12" s="6">
        <f>VLOOKUP(B12,'68 - Summary Exhibit'!A:N,4,FALSE)</f>
        <v>5527844</v>
      </c>
      <c r="G12" s="6">
        <f>VLOOKUP(B12,'68 - Summary Exhibit'!A:N,5,FALSE)</f>
        <v>18884139</v>
      </c>
      <c r="H12" s="6">
        <f>VLOOKUP(B12,'68 - Summary Exhibit'!A:N,6,FALSE)</f>
        <v>2381279</v>
      </c>
      <c r="I12" s="4">
        <f>VLOOKUP(B12,'68 - Summary Exhibit'!A:N,7,FALSE)</f>
        <v>761520</v>
      </c>
      <c r="J12" s="4">
        <f>VLOOKUP(B12,'68 - Summary Exhibit'!A:N,8,FALSE)</f>
        <v>500461</v>
      </c>
      <c r="K12" s="4">
        <f>VLOOKUP(B12,'68 - Summary Exhibit'!A:N,9,FALSE)</f>
        <v>0</v>
      </c>
      <c r="L12" s="4">
        <f>VLOOKUP(B12,'68 - Summary Exhibit'!A:N,10,FALSE)</f>
        <v>0</v>
      </c>
      <c r="M12" s="4">
        <f>VLOOKUP(B12,'68 - Summary Exhibit'!A:N,11,FALSE)</f>
        <v>670914</v>
      </c>
      <c r="N12" s="4">
        <f>VLOOKUP(B12,'68 - Summary Exhibit'!A:N,12,FALSE)</f>
        <v>17485077</v>
      </c>
      <c r="O12" s="4">
        <f>VLOOKUP(B12,'68 - Summary Exhibit'!A:N,13,FALSE)</f>
        <v>259824</v>
      </c>
      <c r="P12" s="4">
        <f t="shared" si="0"/>
        <v>17744901</v>
      </c>
      <c r="Q12" s="4">
        <f>VLOOKUP(B12,'68- Deferred Amortization'!A:G,3,FALSE)</f>
        <v>8675521.9206590094</v>
      </c>
      <c r="R12" s="4">
        <f>VLOOKUP(B12,'68- Deferred Amortization'!A:G,4,FALSE)</f>
        <v>4575329.6119590122</v>
      </c>
      <c r="S12" s="4">
        <f>VLOOKUP(B12,'68- Deferred Amortization'!A:G,5,FALSE)</f>
        <v>12325882.617446532</v>
      </c>
      <c r="T12" s="4">
        <f>VLOOKUP(B12,'68- Deferred Amortization'!A:G,6,FALSE)</f>
        <v>806672.68109999993</v>
      </c>
      <c r="U12" s="4">
        <f>VLOOKUP(B12,'68- Deferred Amortization'!A:G,7,FALSE)</f>
        <v>0</v>
      </c>
      <c r="V12" s="4">
        <f t="shared" si="1"/>
        <v>0</v>
      </c>
      <c r="W12" s="4">
        <f t="shared" si="2"/>
        <v>0</v>
      </c>
      <c r="X12">
        <v>1</v>
      </c>
      <c r="AC12" s="6">
        <v>60557815</v>
      </c>
      <c r="AD12" s="6">
        <v>263672</v>
      </c>
      <c r="AE12" s="6">
        <v>19889614</v>
      </c>
      <c r="AF12" s="6">
        <v>4777781</v>
      </c>
      <c r="AG12" s="4">
        <v>667024</v>
      </c>
      <c r="AH12" s="4">
        <v>825412</v>
      </c>
      <c r="AI12" s="4">
        <v>0</v>
      </c>
      <c r="AJ12" s="4">
        <v>0</v>
      </c>
      <c r="AK12" s="4">
        <v>1006370</v>
      </c>
      <c r="AM12" s="4">
        <f t="shared" si="3"/>
        <v>94496</v>
      </c>
      <c r="AN12" s="4">
        <f t="shared" si="4"/>
        <v>-335456</v>
      </c>
      <c r="AO12" s="6">
        <f t="shared" si="5"/>
        <v>5264172</v>
      </c>
      <c r="AP12" s="4">
        <f t="shared" si="6"/>
        <v>-324951</v>
      </c>
      <c r="AQ12" s="4">
        <f t="shared" si="7"/>
        <v>-2396502</v>
      </c>
      <c r="AR12" s="4">
        <f t="shared" si="8"/>
        <v>0</v>
      </c>
      <c r="AS12" s="4">
        <f t="shared" si="9"/>
        <v>7248807</v>
      </c>
      <c r="AT12" s="4">
        <f t="shared" si="10"/>
        <v>-1005475</v>
      </c>
      <c r="AU12" s="4">
        <f t="shared" si="11"/>
        <v>0</v>
      </c>
    </row>
    <row r="13" spans="1:47">
      <c r="A13" t="s">
        <v>190</v>
      </c>
      <c r="B13">
        <v>21200</v>
      </c>
      <c r="C13" s="4">
        <f>VLOOKUP(B13,'ER Contributions'!A:D,4,FALSE)</f>
        <v>6469875</v>
      </c>
      <c r="D13" s="5">
        <f>VLOOKUP(B13,'ER Contributions'!A:D,3,FALSE)</f>
        <v>2.0268999999999999E-3</v>
      </c>
      <c r="E13" s="6">
        <f>VLOOKUP(B13,'68 - Summary Exhibit'!A:N,3,FALSE)</f>
        <v>33792442</v>
      </c>
      <c r="F13" s="6">
        <f>VLOOKUP(B13,'68 - Summary Exhibit'!A:N,4,FALSE)</f>
        <v>2754883</v>
      </c>
      <c r="G13" s="6">
        <f>VLOOKUP(B13,'68 - Summary Exhibit'!A:N,5,FALSE)</f>
        <v>9411193</v>
      </c>
      <c r="H13" s="6">
        <f>VLOOKUP(B13,'68 - Summary Exhibit'!A:N,6,FALSE)</f>
        <v>1186746</v>
      </c>
      <c r="I13" s="4">
        <f>VLOOKUP(B13,'68 - Summary Exhibit'!A:N,7,FALSE)</f>
        <v>1106824</v>
      </c>
      <c r="J13" s="4">
        <f>VLOOKUP(B13,'68 - Summary Exhibit'!A:N,8,FALSE)</f>
        <v>249412</v>
      </c>
      <c r="K13" s="4">
        <f>VLOOKUP(B13,'68 - Summary Exhibit'!A:N,9,FALSE)</f>
        <v>0</v>
      </c>
      <c r="L13" s="4">
        <f>VLOOKUP(B13,'68 - Summary Exhibit'!A:N,10,FALSE)</f>
        <v>0</v>
      </c>
      <c r="M13" s="4">
        <f>VLOOKUP(B13,'68 - Summary Exhibit'!A:N,11,FALSE)</f>
        <v>391921</v>
      </c>
      <c r="N13" s="4">
        <f>VLOOKUP(B13,'68 - Summary Exhibit'!A:N,12,FALSE)</f>
        <v>8713949</v>
      </c>
      <c r="O13" s="4">
        <f>VLOOKUP(B13,'68 - Summary Exhibit'!A:N,13,FALSE)</f>
        <v>464867</v>
      </c>
      <c r="P13" s="4">
        <f t="shared" si="0"/>
        <v>9178816</v>
      </c>
      <c r="Q13" s="4">
        <f>VLOOKUP(B13,'68- Deferred Amortization'!A:G,3,FALSE)</f>
        <v>4481268.0402939487</v>
      </c>
      <c r="R13" s="4">
        <f>VLOOKUP(B13,'68- Deferred Amortization'!A:G,4,FALSE)</f>
        <v>2521821.2309939493</v>
      </c>
      <c r="S13" s="4">
        <f>VLOOKUP(B13,'68- Deferred Amortization'!A:G,5,FALSE)</f>
        <v>6413205.6712825233</v>
      </c>
      <c r="T13" s="4">
        <f>VLOOKUP(B13,'68- Deferred Amortization'!A:G,6,FALSE)</f>
        <v>402017.37289999996</v>
      </c>
      <c r="U13" s="4">
        <f>VLOOKUP(B13,'68- Deferred Amortization'!A:G,7,FALSE)</f>
        <v>0</v>
      </c>
      <c r="V13" s="4">
        <f t="shared" si="1"/>
        <v>1</v>
      </c>
      <c r="W13" s="4">
        <f t="shared" si="2"/>
        <v>1</v>
      </c>
      <c r="X13">
        <v>1</v>
      </c>
      <c r="AC13" s="6">
        <v>28274463</v>
      </c>
      <c r="AD13" s="6">
        <v>123109</v>
      </c>
      <c r="AE13" s="6">
        <v>9286467</v>
      </c>
      <c r="AF13" s="6">
        <v>2230747</v>
      </c>
      <c r="AG13" s="4">
        <v>342218</v>
      </c>
      <c r="AH13" s="4">
        <v>385385</v>
      </c>
      <c r="AI13" s="4">
        <v>0</v>
      </c>
      <c r="AJ13" s="4">
        <v>0</v>
      </c>
      <c r="AK13" s="4">
        <v>587882</v>
      </c>
      <c r="AM13" s="4">
        <f t="shared" si="3"/>
        <v>764606</v>
      </c>
      <c r="AN13" s="4">
        <f t="shared" si="4"/>
        <v>-195961</v>
      </c>
      <c r="AO13" s="6">
        <f t="shared" si="5"/>
        <v>2631774</v>
      </c>
      <c r="AP13" s="4">
        <f t="shared" si="6"/>
        <v>-135973</v>
      </c>
      <c r="AQ13" s="4">
        <f t="shared" si="7"/>
        <v>-1044001</v>
      </c>
      <c r="AR13" s="4">
        <f t="shared" si="8"/>
        <v>0</v>
      </c>
      <c r="AS13" s="4">
        <f t="shared" si="9"/>
        <v>5517979</v>
      </c>
      <c r="AT13" s="4">
        <f t="shared" si="10"/>
        <v>124726</v>
      </c>
      <c r="AU13" s="4">
        <f t="shared" si="11"/>
        <v>0</v>
      </c>
    </row>
    <row r="14" spans="1:47">
      <c r="A14" t="s">
        <v>191</v>
      </c>
      <c r="B14">
        <v>21550</v>
      </c>
      <c r="C14" s="4">
        <f>VLOOKUP(B14,'ER Contributions'!A:D,4,FALSE)</f>
        <v>118880066</v>
      </c>
      <c r="D14" s="5">
        <f>VLOOKUP(B14,'ER Contributions'!A:D,3,FALSE)</f>
        <v>4.0001399999999999E-2</v>
      </c>
      <c r="E14" s="6">
        <f>VLOOKUP(B14,'68 - Summary Exhibit'!A:N,3,FALSE)</f>
        <v>666902661</v>
      </c>
      <c r="F14" s="6">
        <f>VLOOKUP(B14,'68 - Summary Exhibit'!A:N,4,FALSE)</f>
        <v>54368343</v>
      </c>
      <c r="G14" s="6">
        <f>VLOOKUP(B14,'68 - Summary Exhibit'!A:N,5,FALSE)</f>
        <v>185732340</v>
      </c>
      <c r="H14" s="6">
        <f>VLOOKUP(B14,'68 - Summary Exhibit'!A:N,6,FALSE)</f>
        <v>23420740</v>
      </c>
      <c r="I14" s="4">
        <f>VLOOKUP(B14,'68 - Summary Exhibit'!A:N,7,FALSE)</f>
        <v>4215955</v>
      </c>
      <c r="J14" s="4">
        <f>VLOOKUP(B14,'68 - Summary Exhibit'!A:N,8,FALSE)</f>
        <v>4922212</v>
      </c>
      <c r="K14" s="4">
        <f>VLOOKUP(B14,'68 - Summary Exhibit'!A:N,9,FALSE)</f>
        <v>0</v>
      </c>
      <c r="L14" s="4">
        <f>VLOOKUP(B14,'68 - Summary Exhibit'!A:N,10,FALSE)</f>
        <v>0</v>
      </c>
      <c r="M14" s="4">
        <f>VLOOKUP(B14,'68 - Summary Exhibit'!A:N,11,FALSE)</f>
        <v>0</v>
      </c>
      <c r="N14" s="4">
        <f>VLOOKUP(B14,'68 - Summary Exhibit'!A:N,12,FALSE)</f>
        <v>171972059</v>
      </c>
      <c r="O14" s="4">
        <f>VLOOKUP(B14,'68 - Summary Exhibit'!A:N,13,FALSE)</f>
        <v>5134071</v>
      </c>
      <c r="P14" s="4">
        <f t="shared" si="0"/>
        <v>177106130</v>
      </c>
      <c r="Q14" s="4">
        <f>VLOOKUP(B14,'68- Deferred Amortization'!A:G,3,FALSE)</f>
        <v>87254586.674346372</v>
      </c>
      <c r="R14" s="4">
        <f>VLOOKUP(B14,'68- Deferred Amortization'!A:G,4,FALSE)</f>
        <v>47914260.338546365</v>
      </c>
      <c r="S14" s="4">
        <f>VLOOKUP(B14,'68- Deferred Amortization'!A:G,5,FALSE)</f>
        <v>119712400.66971597</v>
      </c>
      <c r="T14" s="4">
        <f>VLOOKUP(B14,'68- Deferred Amortization'!A:G,6,FALSE)</f>
        <v>7933917.6773999995</v>
      </c>
      <c r="U14" s="4">
        <f>VLOOKUP(B14,'68- Deferred Amortization'!A:G,7,FALSE)</f>
        <v>0</v>
      </c>
      <c r="V14" s="4">
        <f t="shared" si="1"/>
        <v>8</v>
      </c>
      <c r="W14" s="4">
        <f t="shared" si="2"/>
        <v>1</v>
      </c>
      <c r="X14">
        <v>1</v>
      </c>
      <c r="AC14" s="6">
        <v>588922193</v>
      </c>
      <c r="AD14" s="6">
        <v>2564203</v>
      </c>
      <c r="AE14" s="6">
        <v>193425659</v>
      </c>
      <c r="AF14" s="6">
        <v>46463716</v>
      </c>
      <c r="AG14" s="4">
        <v>8634277</v>
      </c>
      <c r="AH14" s="4">
        <v>8027101</v>
      </c>
      <c r="AI14" s="4">
        <v>0</v>
      </c>
      <c r="AJ14" s="4">
        <v>0</v>
      </c>
      <c r="AK14" s="4">
        <v>0</v>
      </c>
      <c r="AM14" s="4">
        <f t="shared" si="3"/>
        <v>-4418322</v>
      </c>
      <c r="AN14" s="4">
        <f t="shared" si="4"/>
        <v>0</v>
      </c>
      <c r="AO14" s="6">
        <f t="shared" si="5"/>
        <v>51804140</v>
      </c>
      <c r="AP14" s="4">
        <f t="shared" si="6"/>
        <v>-3104889</v>
      </c>
      <c r="AQ14" s="4">
        <f t="shared" si="7"/>
        <v>-23042976</v>
      </c>
      <c r="AR14" s="4">
        <f t="shared" si="8"/>
        <v>0</v>
      </c>
      <c r="AS14" s="4">
        <f t="shared" si="9"/>
        <v>77980468</v>
      </c>
      <c r="AT14" s="4">
        <f t="shared" si="10"/>
        <v>-7693319</v>
      </c>
      <c r="AU14" s="4">
        <f t="shared" si="11"/>
        <v>0</v>
      </c>
    </row>
    <row r="15" spans="1:47">
      <c r="A15" t="s">
        <v>192</v>
      </c>
      <c r="B15">
        <v>21520</v>
      </c>
      <c r="C15" s="4">
        <f>VLOOKUP(B15,'ER Contributions'!A:D,4,FALSE)</f>
        <v>103932778</v>
      </c>
      <c r="D15" s="5">
        <f>VLOOKUP(B15,'ER Contributions'!A:D,3,FALSE)</f>
        <v>3.3080100000000001E-2</v>
      </c>
      <c r="E15" s="6">
        <f>VLOOKUP(B15,'68 - Summary Exhibit'!A:N,3,FALSE)</f>
        <v>551510865</v>
      </c>
      <c r="F15" s="6">
        <f>VLOOKUP(B15,'68 - Summary Exhibit'!A:N,4,FALSE)</f>
        <v>44961182</v>
      </c>
      <c r="G15" s="6">
        <f>VLOOKUP(B15,'68 - Summary Exhibit'!A:N,5,FALSE)</f>
        <v>153595734</v>
      </c>
      <c r="H15" s="6">
        <f>VLOOKUP(B15,'68 - Summary Exhibit'!A:N,6,FALSE)</f>
        <v>19368332</v>
      </c>
      <c r="I15" s="4">
        <f>VLOOKUP(B15,'68 - Summary Exhibit'!A:N,7,FALSE)</f>
        <v>17442686</v>
      </c>
      <c r="J15" s="4">
        <f>VLOOKUP(B15,'68 - Summary Exhibit'!A:N,8,FALSE)</f>
        <v>4070539</v>
      </c>
      <c r="K15" s="4">
        <f>VLOOKUP(B15,'68 - Summary Exhibit'!A:N,9,FALSE)</f>
        <v>0</v>
      </c>
      <c r="L15" s="4">
        <f>VLOOKUP(B15,'68 - Summary Exhibit'!A:N,10,FALSE)</f>
        <v>0</v>
      </c>
      <c r="M15" s="4">
        <f>VLOOKUP(B15,'68 - Summary Exhibit'!A:N,11,FALSE)</f>
        <v>6469099</v>
      </c>
      <c r="N15" s="4">
        <f>VLOOKUP(B15,'68 - Summary Exhibit'!A:N,12,FALSE)</f>
        <v>142216345</v>
      </c>
      <c r="O15" s="4">
        <f>VLOOKUP(B15,'68 - Summary Exhibit'!A:N,13,FALSE)</f>
        <v>4234707</v>
      </c>
      <c r="P15" s="4">
        <f t="shared" si="0"/>
        <v>146451052</v>
      </c>
      <c r="Q15" s="4">
        <f>VLOOKUP(B15,'68- Deferred Amortization'!A:G,3,FALSE)</f>
        <v>74381024.60450837</v>
      </c>
      <c r="R15" s="4">
        <f>VLOOKUP(B15,'68- Deferred Amortization'!A:G,4,FALSE)</f>
        <v>40170137.034808375</v>
      </c>
      <c r="S15" s="4">
        <f>VLOOKUP(B15,'68- Deferred Amortization'!A:G,5,FALSE)</f>
        <v>103715994.10717195</v>
      </c>
      <c r="T15" s="4">
        <f>VLOOKUP(B15,'68- Deferred Amortization'!A:G,6,FALSE)</f>
        <v>6561140.1140999999</v>
      </c>
      <c r="U15" s="4">
        <f>VLOOKUP(B15,'68- Deferred Amortization'!A:G,7,FALSE)</f>
        <v>0</v>
      </c>
      <c r="V15" s="4">
        <f t="shared" si="1"/>
        <v>5</v>
      </c>
      <c r="W15" s="4">
        <f t="shared" si="2"/>
        <v>0</v>
      </c>
      <c r="X15">
        <v>1</v>
      </c>
      <c r="AC15" s="6">
        <v>465017706</v>
      </c>
      <c r="AD15" s="6">
        <v>2024715</v>
      </c>
      <c r="AE15" s="6">
        <v>152730458</v>
      </c>
      <c r="AF15" s="6">
        <v>36688124</v>
      </c>
      <c r="AG15" s="4">
        <v>5695489</v>
      </c>
      <c r="AH15" s="4">
        <v>6338263</v>
      </c>
      <c r="AI15" s="4">
        <v>0</v>
      </c>
      <c r="AJ15" s="4">
        <v>0</v>
      </c>
      <c r="AK15" s="4">
        <v>9947117</v>
      </c>
      <c r="AM15" s="4">
        <f t="shared" si="3"/>
        <v>11747197</v>
      </c>
      <c r="AN15" s="4">
        <f t="shared" si="4"/>
        <v>-3478018</v>
      </c>
      <c r="AO15" s="6">
        <f t="shared" si="5"/>
        <v>42936467</v>
      </c>
      <c r="AP15" s="4">
        <f t="shared" si="6"/>
        <v>-2267724</v>
      </c>
      <c r="AQ15" s="4">
        <f t="shared" si="7"/>
        <v>-17319792</v>
      </c>
      <c r="AR15" s="4">
        <f t="shared" si="8"/>
        <v>0</v>
      </c>
      <c r="AS15" s="4">
        <f t="shared" si="9"/>
        <v>86493159</v>
      </c>
      <c r="AT15" s="4">
        <f t="shared" si="10"/>
        <v>865276</v>
      </c>
      <c r="AU15" s="4">
        <f t="shared" si="11"/>
        <v>0</v>
      </c>
    </row>
    <row r="16" spans="1:47">
      <c r="A16" t="s">
        <v>193</v>
      </c>
      <c r="B16">
        <v>23000</v>
      </c>
      <c r="C16" s="4">
        <f>VLOOKUP(B16,'ER Contributions'!A:D,4,FALSE)</f>
        <v>3531322</v>
      </c>
      <c r="D16" s="5">
        <f>VLOOKUP(B16,'ER Contributions'!A:D,3,FALSE)</f>
        <v>1.1203000000000001E-3</v>
      </c>
      <c r="E16" s="6">
        <f>VLOOKUP(B16,'68 - Summary Exhibit'!A:N,3,FALSE)</f>
        <v>18677623</v>
      </c>
      <c r="F16" s="6">
        <f>VLOOKUP(B16,'68 - Summary Exhibit'!A:N,4,FALSE)</f>
        <v>1522668</v>
      </c>
      <c r="G16" s="6">
        <f>VLOOKUP(B16,'68 - Summary Exhibit'!A:N,5,FALSE)</f>
        <v>5201716</v>
      </c>
      <c r="H16" s="6">
        <f>VLOOKUP(B16,'68 - Summary Exhibit'!A:N,6,FALSE)</f>
        <v>655933</v>
      </c>
      <c r="I16" s="4">
        <f>VLOOKUP(B16,'68 - Summary Exhibit'!A:N,7,FALSE)</f>
        <v>586771</v>
      </c>
      <c r="J16" s="4">
        <f>VLOOKUP(B16,'68 - Summary Exhibit'!A:N,8,FALSE)</f>
        <v>137854</v>
      </c>
      <c r="K16" s="4">
        <f>VLOOKUP(B16,'68 - Summary Exhibit'!A:N,9,FALSE)</f>
        <v>0</v>
      </c>
      <c r="L16" s="4">
        <f>VLOOKUP(B16,'68 - Summary Exhibit'!A:N,10,FALSE)</f>
        <v>0</v>
      </c>
      <c r="M16" s="4">
        <f>VLOOKUP(B16,'68 - Summary Exhibit'!A:N,11,FALSE)</f>
        <v>294338</v>
      </c>
      <c r="N16" s="4">
        <f>VLOOKUP(B16,'68 - Summary Exhibit'!A:N,12,FALSE)</f>
        <v>4816339</v>
      </c>
      <c r="O16" s="4">
        <f>VLOOKUP(B16,'68 - Summary Exhibit'!A:N,13,FALSE)</f>
        <v>29881</v>
      </c>
      <c r="P16" s="4">
        <f t="shared" si="0"/>
        <v>4846220</v>
      </c>
      <c r="Q16" s="4">
        <f>VLOOKUP(B16,'68- Deferred Amortization'!A:G,3,FALSE)</f>
        <v>2420514.628765746</v>
      </c>
      <c r="R16" s="4">
        <f>VLOOKUP(B16,'68- Deferred Amortization'!A:G,4,FALSE)</f>
        <v>1351246.5596657461</v>
      </c>
      <c r="S16" s="4">
        <f>VLOOKUP(B16,'68- Deferred Amortization'!A:G,5,FALSE)</f>
        <v>3540935.0793069606</v>
      </c>
      <c r="T16" s="4">
        <f>VLOOKUP(B16,'68- Deferred Amortization'!A:G,6,FALSE)</f>
        <v>222201.42230000001</v>
      </c>
      <c r="U16" s="4">
        <f>VLOOKUP(B16,'68- Deferred Amortization'!A:G,7,FALSE)</f>
        <v>0</v>
      </c>
      <c r="V16" s="4">
        <f t="shared" si="1"/>
        <v>-1</v>
      </c>
      <c r="W16" s="4">
        <f t="shared" si="2"/>
        <v>-2</v>
      </c>
      <c r="X16">
        <v>1</v>
      </c>
      <c r="AC16" s="6">
        <v>15578413</v>
      </c>
      <c r="AD16" s="6">
        <v>67829</v>
      </c>
      <c r="AE16" s="6">
        <v>5116575</v>
      </c>
      <c r="AF16" s="6">
        <v>1229077</v>
      </c>
      <c r="AG16" s="4">
        <v>14230</v>
      </c>
      <c r="AH16" s="4">
        <v>212336</v>
      </c>
      <c r="AI16" s="4">
        <v>0</v>
      </c>
      <c r="AJ16" s="4">
        <v>0</v>
      </c>
      <c r="AK16" s="4">
        <v>464790</v>
      </c>
      <c r="AM16" s="4">
        <f t="shared" si="3"/>
        <v>572541</v>
      </c>
      <c r="AN16" s="4">
        <f t="shared" si="4"/>
        <v>-170452</v>
      </c>
      <c r="AO16" s="6">
        <f t="shared" si="5"/>
        <v>1454839</v>
      </c>
      <c r="AP16" s="4">
        <f t="shared" si="6"/>
        <v>-74482</v>
      </c>
      <c r="AQ16" s="4">
        <f t="shared" si="7"/>
        <v>-573144</v>
      </c>
      <c r="AR16" s="4">
        <f t="shared" si="8"/>
        <v>0</v>
      </c>
      <c r="AS16" s="4">
        <f t="shared" si="9"/>
        <v>3099210</v>
      </c>
      <c r="AT16" s="4">
        <f t="shared" si="10"/>
        <v>85141</v>
      </c>
      <c r="AU16" s="4">
        <f t="shared" si="11"/>
        <v>0</v>
      </c>
    </row>
    <row r="17" spans="1:47">
      <c r="A17" t="s">
        <v>194</v>
      </c>
      <c r="B17">
        <v>23100</v>
      </c>
      <c r="C17" s="4">
        <f>VLOOKUP(B17,'ER Contributions'!A:D,4,FALSE)</f>
        <v>23482099</v>
      </c>
      <c r="D17" s="5">
        <f>VLOOKUP(B17,'ER Contributions'!A:D,3,FALSE)</f>
        <v>7.4136999999999996E-3</v>
      </c>
      <c r="E17" s="6">
        <f>VLOOKUP(B17,'68 - Summary Exhibit'!A:N,3,FALSE)</f>
        <v>123601080</v>
      </c>
      <c r="F17" s="6">
        <f>VLOOKUP(B17,'68 - Summary Exhibit'!A:N,4,FALSE)</f>
        <v>10076412</v>
      </c>
      <c r="G17" s="6">
        <f>VLOOKUP(B17,'68 - Summary Exhibit'!A:N,5,FALSE)</f>
        <v>34422892</v>
      </c>
      <c r="H17" s="6">
        <f>VLOOKUP(B17,'68 - Summary Exhibit'!A:N,6,FALSE)</f>
        <v>4340707</v>
      </c>
      <c r="I17" s="4">
        <f>VLOOKUP(B17,'68 - Summary Exhibit'!A:N,7,FALSE)</f>
        <v>3588589</v>
      </c>
      <c r="J17" s="4">
        <f>VLOOKUP(B17,'68 - Summary Exhibit'!A:N,8,FALSE)</f>
        <v>912263</v>
      </c>
      <c r="K17" s="4">
        <f>VLOOKUP(B17,'68 - Summary Exhibit'!A:N,9,FALSE)</f>
        <v>0</v>
      </c>
      <c r="L17" s="4">
        <f>VLOOKUP(B17,'68 - Summary Exhibit'!A:N,10,FALSE)</f>
        <v>0</v>
      </c>
      <c r="M17" s="4">
        <f>VLOOKUP(B17,'68 - Summary Exhibit'!A:N,11,FALSE)</f>
        <v>1780418</v>
      </c>
      <c r="N17" s="4">
        <f>VLOOKUP(B17,'68 - Summary Exhibit'!A:N,12,FALSE)</f>
        <v>31872616</v>
      </c>
      <c r="O17" s="4">
        <f>VLOOKUP(B17,'68 - Summary Exhibit'!A:N,13,FALSE)</f>
        <v>749174</v>
      </c>
      <c r="P17" s="4">
        <f t="shared" si="0"/>
        <v>32621790</v>
      </c>
      <c r="Q17" s="4">
        <f>VLOOKUP(B17,'68- Deferred Amortization'!A:G,3,FALSE)</f>
        <v>16040862.289381173</v>
      </c>
      <c r="R17" s="4">
        <f>VLOOKUP(B17,'68- Deferred Amortization'!A:G,4,FALSE)</f>
        <v>8908910.5604811721</v>
      </c>
      <c r="S17" s="4">
        <f>VLOOKUP(B17,'68- Deferred Amortization'!A:G,5,FALSE)</f>
        <v>23315703.467997391</v>
      </c>
      <c r="T17" s="4">
        <f>VLOOKUP(B17,'68- Deferred Amortization'!A:G,6,FALSE)</f>
        <v>1470440.6716999998</v>
      </c>
      <c r="U17" s="4">
        <f>VLOOKUP(B17,'68- Deferred Amortization'!A:G,7,FALSE)</f>
        <v>0</v>
      </c>
      <c r="V17" s="4">
        <f t="shared" si="1"/>
        <v>3</v>
      </c>
      <c r="W17" s="4">
        <f t="shared" si="2"/>
        <v>2</v>
      </c>
      <c r="X17">
        <v>1</v>
      </c>
      <c r="AC17" s="6">
        <v>104055962</v>
      </c>
      <c r="AD17" s="6">
        <v>453066</v>
      </c>
      <c r="AE17" s="6">
        <v>34176150</v>
      </c>
      <c r="AF17" s="6">
        <v>8209619</v>
      </c>
      <c r="AG17" s="4">
        <v>580580</v>
      </c>
      <c r="AH17" s="4">
        <v>1418299</v>
      </c>
      <c r="AI17" s="4">
        <v>0</v>
      </c>
      <c r="AJ17" s="4">
        <v>0</v>
      </c>
      <c r="AK17" s="4">
        <v>2670627</v>
      </c>
      <c r="AM17" s="4">
        <f t="shared" si="3"/>
        <v>3008009</v>
      </c>
      <c r="AN17" s="4">
        <f t="shared" si="4"/>
        <v>-890209</v>
      </c>
      <c r="AO17" s="6">
        <f t="shared" si="5"/>
        <v>9623346</v>
      </c>
      <c r="AP17" s="4">
        <f t="shared" si="6"/>
        <v>-506036</v>
      </c>
      <c r="AQ17" s="4">
        <f t="shared" si="7"/>
        <v>-3868912</v>
      </c>
      <c r="AR17" s="4">
        <f t="shared" si="8"/>
        <v>0</v>
      </c>
      <c r="AS17" s="4">
        <f t="shared" si="9"/>
        <v>19545118</v>
      </c>
      <c r="AT17" s="4">
        <f t="shared" si="10"/>
        <v>246742</v>
      </c>
      <c r="AU17" s="4">
        <f t="shared" si="11"/>
        <v>0</v>
      </c>
    </row>
    <row r="18" spans="1:47">
      <c r="A18" t="s">
        <v>195</v>
      </c>
      <c r="B18">
        <v>20900</v>
      </c>
      <c r="C18" s="4">
        <f>VLOOKUP(B18,'ER Contributions'!A:D,4,FALSE)</f>
        <v>15957025</v>
      </c>
      <c r="D18" s="5">
        <f>VLOOKUP(B18,'ER Contributions'!A:D,3,FALSE)</f>
        <v>5.0679000000000002E-3</v>
      </c>
      <c r="E18" s="6">
        <f>VLOOKUP(B18,'68 - Summary Exhibit'!A:N,3,FALSE)</f>
        <v>84491943</v>
      </c>
      <c r="F18" s="6">
        <f>VLOOKUP(B18,'68 - Summary Exhibit'!A:N,4,FALSE)</f>
        <v>6888092</v>
      </c>
      <c r="G18" s="6">
        <f>VLOOKUP(B18,'68 - Summary Exhibit'!A:N,5,FALSE)</f>
        <v>23531000</v>
      </c>
      <c r="H18" s="6">
        <f>VLOOKUP(B18,'68 - Summary Exhibit'!A:N,6,FALSE)</f>
        <v>2967245</v>
      </c>
      <c r="I18" s="4">
        <f>VLOOKUP(B18,'68 - Summary Exhibit'!A:N,7,FALSE)</f>
        <v>381043</v>
      </c>
      <c r="J18" s="4">
        <f>VLOOKUP(B18,'68 - Summary Exhibit'!A:N,8,FALSE)</f>
        <v>623610</v>
      </c>
      <c r="K18" s="4">
        <f>VLOOKUP(B18,'68 - Summary Exhibit'!A:N,9,FALSE)</f>
        <v>0</v>
      </c>
      <c r="L18" s="4">
        <f>VLOOKUP(B18,'68 - Summary Exhibit'!A:N,10,FALSE)</f>
        <v>0</v>
      </c>
      <c r="M18" s="4">
        <f>VLOOKUP(B18,'68 - Summary Exhibit'!A:N,11,FALSE)</f>
        <v>1265303</v>
      </c>
      <c r="N18" s="4">
        <f>VLOOKUP(B18,'68 - Summary Exhibit'!A:N,12,FALSE)</f>
        <v>21787667</v>
      </c>
      <c r="O18" s="4">
        <f>VLOOKUP(B18,'68 - Summary Exhibit'!A:N,13,FALSE)</f>
        <v>82070</v>
      </c>
      <c r="P18" s="4">
        <f t="shared" si="0"/>
        <v>21869737</v>
      </c>
      <c r="Q18" s="4">
        <f>VLOOKUP(B18,'68- Deferred Amortization'!A:G,3,FALSE)</f>
        <v>10572216.454601059</v>
      </c>
      <c r="R18" s="4">
        <f>VLOOKUP(B18,'68- Deferred Amortization'!A:G,4,FALSE)</f>
        <v>5386312.6683010589</v>
      </c>
      <c r="S18" s="4">
        <f>VLOOKUP(B18,'68- Deferred Amortization'!A:G,5,FALSE)</f>
        <v>14914765.777901856</v>
      </c>
      <c r="T18" s="4">
        <f>VLOOKUP(B18,'68- Deferred Amortization'!A:G,6,FALSE)</f>
        <v>1005172.3539</v>
      </c>
      <c r="U18" s="4">
        <f>VLOOKUP(B18,'68- Deferred Amortization'!A:G,7,FALSE)</f>
        <v>0</v>
      </c>
      <c r="V18" s="4">
        <f t="shared" si="1"/>
        <v>1</v>
      </c>
      <c r="W18" s="4">
        <f t="shared" si="2"/>
        <v>0</v>
      </c>
      <c r="X18">
        <v>1</v>
      </c>
      <c r="AC18" s="6">
        <v>77774811</v>
      </c>
      <c r="AD18" s="6">
        <v>338636</v>
      </c>
      <c r="AE18" s="6">
        <v>25544366</v>
      </c>
      <c r="AF18" s="6">
        <v>6136136</v>
      </c>
      <c r="AG18" s="4">
        <v>981117</v>
      </c>
      <c r="AH18" s="4">
        <v>1060083</v>
      </c>
      <c r="AI18" s="4">
        <v>0</v>
      </c>
      <c r="AJ18" s="4">
        <v>0</v>
      </c>
      <c r="AK18" s="4">
        <v>866126</v>
      </c>
      <c r="AM18" s="4">
        <f t="shared" si="3"/>
        <v>-600074</v>
      </c>
      <c r="AN18" s="4">
        <f t="shared" si="4"/>
        <v>399177</v>
      </c>
      <c r="AO18" s="6">
        <f t="shared" si="5"/>
        <v>6549456</v>
      </c>
      <c r="AP18" s="4">
        <f t="shared" si="6"/>
        <v>-436473</v>
      </c>
      <c r="AQ18" s="4">
        <f t="shared" si="7"/>
        <v>-3168891</v>
      </c>
      <c r="AR18" s="4">
        <f t="shared" si="8"/>
        <v>0</v>
      </c>
      <c r="AS18" s="4">
        <f t="shared" si="9"/>
        <v>6717132</v>
      </c>
      <c r="AT18" s="4">
        <f t="shared" si="10"/>
        <v>-2013366</v>
      </c>
      <c r="AU18" s="4">
        <f t="shared" si="11"/>
        <v>0</v>
      </c>
    </row>
    <row r="19" spans="1:47">
      <c r="A19" t="s">
        <v>196</v>
      </c>
      <c r="B19">
        <v>23200</v>
      </c>
      <c r="C19" s="4">
        <f>VLOOKUP(B19,'ER Contributions'!A:D,4,FALSE)</f>
        <v>14020227</v>
      </c>
      <c r="D19" s="5">
        <f>VLOOKUP(B19,'ER Contributions'!A:D,3,FALSE)</f>
        <v>4.5589000000000003E-3</v>
      </c>
      <c r="E19" s="6">
        <f>VLOOKUP(B19,'68 - Summary Exhibit'!A:N,3,FALSE)</f>
        <v>76005903</v>
      </c>
      <c r="F19" s="6">
        <f>VLOOKUP(B19,'68 - Summary Exhibit'!A:N,4,FALSE)</f>
        <v>6196279</v>
      </c>
      <c r="G19" s="6">
        <f>VLOOKUP(B19,'68 - Summary Exhibit'!A:N,5,FALSE)</f>
        <v>21167638</v>
      </c>
      <c r="H19" s="6">
        <f>VLOOKUP(B19,'68 - Summary Exhibit'!A:N,6,FALSE)</f>
        <v>2669227</v>
      </c>
      <c r="I19" s="4">
        <f>VLOOKUP(B19,'68 - Summary Exhibit'!A:N,7,FALSE)</f>
        <v>1959678</v>
      </c>
      <c r="J19" s="4">
        <f>VLOOKUP(B19,'68 - Summary Exhibit'!A:N,8,FALSE)</f>
        <v>560977</v>
      </c>
      <c r="K19" s="4">
        <f>VLOOKUP(B19,'68 - Summary Exhibit'!A:N,9,FALSE)</f>
        <v>0</v>
      </c>
      <c r="L19" s="4">
        <f>VLOOKUP(B19,'68 - Summary Exhibit'!A:N,10,FALSE)</f>
        <v>0</v>
      </c>
      <c r="M19" s="4">
        <f>VLOOKUP(B19,'68 - Summary Exhibit'!A:N,11,FALSE)</f>
        <v>0</v>
      </c>
      <c r="N19" s="4">
        <f>VLOOKUP(B19,'68 - Summary Exhibit'!A:N,12,FALSE)</f>
        <v>19599399</v>
      </c>
      <c r="O19" s="4">
        <f>VLOOKUP(B19,'68 - Summary Exhibit'!A:N,13,FALSE)</f>
        <v>1098127</v>
      </c>
      <c r="P19" s="4">
        <f t="shared" si="0"/>
        <v>20697526</v>
      </c>
      <c r="Q19" s="4">
        <f>VLOOKUP(B19,'68- Deferred Amortization'!A:G,3,FALSE)</f>
        <v>10715526.788735982</v>
      </c>
      <c r="R19" s="4">
        <f>VLOOKUP(B19,'68- Deferred Amortization'!A:G,4,FALSE)</f>
        <v>5818830.3754359819</v>
      </c>
      <c r="S19" s="4">
        <f>VLOOKUP(B19,'68- Deferred Amortization'!A:G,5,FALSE)</f>
        <v>13993270.888742818</v>
      </c>
      <c r="T19" s="4">
        <f>VLOOKUP(B19,'68- Deferred Amortization'!A:G,6,FALSE)</f>
        <v>904216.78490000009</v>
      </c>
      <c r="U19" s="4">
        <f>VLOOKUP(B19,'68- Deferred Amortization'!A:G,7,FALSE)</f>
        <v>0</v>
      </c>
      <c r="V19" s="4">
        <f t="shared" si="1"/>
        <v>0</v>
      </c>
      <c r="W19" s="4">
        <f t="shared" si="2"/>
        <v>0</v>
      </c>
      <c r="X19">
        <v>1</v>
      </c>
      <c r="AC19" s="6">
        <v>65577460</v>
      </c>
      <c r="AD19" s="6">
        <v>285528</v>
      </c>
      <c r="AE19" s="6">
        <v>21538267</v>
      </c>
      <c r="AF19" s="6">
        <v>5173812</v>
      </c>
      <c r="AG19" s="4">
        <v>1576925</v>
      </c>
      <c r="AH19" s="4">
        <v>893831</v>
      </c>
      <c r="AI19" s="4">
        <v>0</v>
      </c>
      <c r="AJ19" s="4">
        <v>0</v>
      </c>
      <c r="AK19" s="4">
        <v>0</v>
      </c>
      <c r="AM19" s="4">
        <f t="shared" si="3"/>
        <v>382753</v>
      </c>
      <c r="AN19" s="4">
        <f t="shared" si="4"/>
        <v>0</v>
      </c>
      <c r="AO19" s="6">
        <f t="shared" si="5"/>
        <v>5910751</v>
      </c>
      <c r="AP19" s="4">
        <f t="shared" si="6"/>
        <v>-332854</v>
      </c>
      <c r="AQ19" s="4">
        <f t="shared" si="7"/>
        <v>-2504585</v>
      </c>
      <c r="AR19" s="4">
        <f t="shared" si="8"/>
        <v>0</v>
      </c>
      <c r="AS19" s="4">
        <f t="shared" si="9"/>
        <v>10428443</v>
      </c>
      <c r="AT19" s="4">
        <f t="shared" si="10"/>
        <v>-370629</v>
      </c>
      <c r="AU19" s="4">
        <f t="shared" si="11"/>
        <v>0</v>
      </c>
    </row>
    <row r="20" spans="1:47">
      <c r="A20" t="s">
        <v>197</v>
      </c>
      <c r="B20">
        <v>21800</v>
      </c>
      <c r="C20" s="4">
        <f>VLOOKUP(B20,'ER Contributions'!A:D,4,FALSE)</f>
        <v>10958121</v>
      </c>
      <c r="D20" s="5">
        <f>VLOOKUP(B20,'ER Contributions'!A:D,3,FALSE)</f>
        <v>3.5709000000000001E-3</v>
      </c>
      <c r="E20" s="6">
        <f>VLOOKUP(B20,'68 - Summary Exhibit'!A:N,3,FALSE)</f>
        <v>59533984</v>
      </c>
      <c r="F20" s="6">
        <f>VLOOKUP(B20,'68 - Summary Exhibit'!A:N,4,FALSE)</f>
        <v>4853428</v>
      </c>
      <c r="G20" s="6">
        <f>VLOOKUP(B20,'68 - Summary Exhibit'!A:N,5,FALSE)</f>
        <v>16580210</v>
      </c>
      <c r="H20" s="6">
        <f>VLOOKUP(B20,'68 - Summary Exhibit'!A:N,6,FALSE)</f>
        <v>2090755</v>
      </c>
      <c r="I20" s="4">
        <f>VLOOKUP(B20,'68 - Summary Exhibit'!A:N,7,FALSE)</f>
        <v>1614992</v>
      </c>
      <c r="J20" s="4">
        <f>VLOOKUP(B20,'68 - Summary Exhibit'!A:N,8,FALSE)</f>
        <v>439403</v>
      </c>
      <c r="K20" s="4">
        <f>VLOOKUP(B20,'68 - Summary Exhibit'!A:N,9,FALSE)</f>
        <v>0</v>
      </c>
      <c r="L20" s="4">
        <f>VLOOKUP(B20,'68 - Summary Exhibit'!A:N,10,FALSE)</f>
        <v>0</v>
      </c>
      <c r="M20" s="4">
        <f>VLOOKUP(B20,'68 - Summary Exhibit'!A:N,11,FALSE)</f>
        <v>116403</v>
      </c>
      <c r="N20" s="4">
        <f>VLOOKUP(B20,'68 - Summary Exhibit'!A:N,12,FALSE)</f>
        <v>15351838</v>
      </c>
      <c r="O20" s="4">
        <f>VLOOKUP(B20,'68 - Summary Exhibit'!A:N,13,FALSE)</f>
        <v>878817</v>
      </c>
      <c r="P20" s="4">
        <f t="shared" si="0"/>
        <v>16230655</v>
      </c>
      <c r="Q20" s="4">
        <f>VLOOKUP(B20,'68- Deferred Amortization'!A:G,3,FALSE)</f>
        <v>8159798.3516139677</v>
      </c>
      <c r="R20" s="4">
        <f>VLOOKUP(B20,'68- Deferred Amortization'!A:G,4,FALSE)</f>
        <v>4573446.7743139686</v>
      </c>
      <c r="S20" s="4">
        <f>VLOOKUP(B20,'68- Deferred Amortization'!A:G,5,FALSE)</f>
        <v>11142077.594624704</v>
      </c>
      <c r="T20" s="4">
        <f>VLOOKUP(B20,'68- Deferred Amortization'!A:G,6,FALSE)</f>
        <v>708255.87690000003</v>
      </c>
      <c r="U20" s="4">
        <f>VLOOKUP(B20,'68- Deferred Amortization'!A:G,7,FALSE)</f>
        <v>0</v>
      </c>
      <c r="V20" s="4">
        <f t="shared" si="1"/>
        <v>1</v>
      </c>
      <c r="W20" s="4">
        <f t="shared" si="2"/>
        <v>0</v>
      </c>
      <c r="X20">
        <v>1</v>
      </c>
      <c r="AC20" s="6">
        <v>50120754</v>
      </c>
      <c r="AD20" s="6">
        <v>218229</v>
      </c>
      <c r="AE20" s="6">
        <v>16461665</v>
      </c>
      <c r="AF20" s="6">
        <v>3954336</v>
      </c>
      <c r="AG20" s="4">
        <v>666411</v>
      </c>
      <c r="AH20" s="4">
        <v>683154</v>
      </c>
      <c r="AI20" s="4">
        <v>0</v>
      </c>
      <c r="AJ20" s="4">
        <v>0</v>
      </c>
      <c r="AK20" s="4">
        <v>174605</v>
      </c>
      <c r="AM20" s="4">
        <f t="shared" si="3"/>
        <v>948581</v>
      </c>
      <c r="AN20" s="4">
        <f t="shared" si="4"/>
        <v>-58202</v>
      </c>
      <c r="AO20" s="6">
        <f t="shared" si="5"/>
        <v>4635199</v>
      </c>
      <c r="AP20" s="4">
        <f t="shared" si="6"/>
        <v>-243751</v>
      </c>
      <c r="AQ20" s="4">
        <f t="shared" si="7"/>
        <v>-1863581</v>
      </c>
      <c r="AR20" s="4">
        <f t="shared" si="8"/>
        <v>0</v>
      </c>
      <c r="AS20" s="4">
        <f t="shared" si="9"/>
        <v>9413230</v>
      </c>
      <c r="AT20" s="4">
        <f t="shared" si="10"/>
        <v>118545</v>
      </c>
      <c r="AU20" s="4">
        <f t="shared" si="11"/>
        <v>0</v>
      </c>
    </row>
    <row r="21" spans="1:47">
      <c r="A21" t="s">
        <v>198</v>
      </c>
      <c r="B21">
        <v>21900</v>
      </c>
      <c r="C21" s="4">
        <f>VLOOKUP(B21,'ER Contributions'!A:D,4,FALSE)</f>
        <v>6280040</v>
      </c>
      <c r="D21" s="5">
        <f>VLOOKUP(B21,'ER Contributions'!A:D,3,FALSE)</f>
        <v>1.7574999999999999E-3</v>
      </c>
      <c r="E21" s="6">
        <f>VLOOKUP(B21,'68 - Summary Exhibit'!A:N,3,FALSE)</f>
        <v>29301010</v>
      </c>
      <c r="F21" s="6">
        <f>VLOOKUP(B21,'68 - Summary Exhibit'!A:N,4,FALSE)</f>
        <v>2388725</v>
      </c>
      <c r="G21" s="6">
        <f>VLOOKUP(B21,'68 - Summary Exhibit'!A:N,5,FALSE)</f>
        <v>8160329</v>
      </c>
      <c r="H21" s="6">
        <f>VLOOKUP(B21,'68 - Summary Exhibit'!A:N,6,FALSE)</f>
        <v>1029013</v>
      </c>
      <c r="I21" s="4">
        <f>VLOOKUP(B21,'68 - Summary Exhibit'!A:N,7,FALSE)</f>
        <v>927341</v>
      </c>
      <c r="J21" s="4">
        <f>VLOOKUP(B21,'68 - Summary Exhibit'!A:N,8,FALSE)</f>
        <v>216262</v>
      </c>
      <c r="K21" s="4">
        <f>VLOOKUP(B21,'68 - Summary Exhibit'!A:N,9,FALSE)</f>
        <v>0</v>
      </c>
      <c r="L21" s="4">
        <f>VLOOKUP(B21,'68 - Summary Exhibit'!A:N,10,FALSE)</f>
        <v>0</v>
      </c>
      <c r="M21" s="4">
        <f>VLOOKUP(B21,'68 - Summary Exhibit'!A:N,11,FALSE)</f>
        <v>398071</v>
      </c>
      <c r="N21" s="4">
        <f>VLOOKUP(B21,'68 - Summary Exhibit'!A:N,12,FALSE)</f>
        <v>7555758</v>
      </c>
      <c r="O21" s="4">
        <f>VLOOKUP(B21,'68 - Summary Exhibit'!A:N,13,FALSE)</f>
        <v>-48577</v>
      </c>
      <c r="P21" s="4">
        <f t="shared" si="0"/>
        <v>7507181</v>
      </c>
      <c r="Q21" s="4">
        <f>VLOOKUP(B21,'68- Deferred Amortization'!A:G,3,FALSE)</f>
        <v>3832621.8332235999</v>
      </c>
      <c r="R21" s="4">
        <f>VLOOKUP(B21,'68- Deferred Amortization'!A:G,4,FALSE)</f>
        <v>2153288.3557235999</v>
      </c>
      <c r="S21" s="4">
        <f>VLOOKUP(B21,'68- Deferred Amortization'!A:G,5,FALSE)</f>
        <v>5556580.3145198701</v>
      </c>
      <c r="T21" s="4">
        <f>VLOOKUP(B21,'68- Deferred Amortization'!A:G,6,FALSE)</f>
        <v>348584.3075</v>
      </c>
      <c r="U21" s="4">
        <f>VLOOKUP(B21,'68- Deferred Amortization'!A:G,7,FALSE)</f>
        <v>0</v>
      </c>
      <c r="V21" s="4">
        <f t="shared" si="1"/>
        <v>0</v>
      </c>
      <c r="W21" s="4">
        <f t="shared" si="2"/>
        <v>0</v>
      </c>
      <c r="X21">
        <v>1</v>
      </c>
      <c r="AC21" s="6">
        <v>25657777</v>
      </c>
      <c r="AD21" s="6">
        <v>111716</v>
      </c>
      <c r="AE21" s="6">
        <v>8427043</v>
      </c>
      <c r="AF21" s="6">
        <v>2024301</v>
      </c>
      <c r="AG21" s="4">
        <v>26108</v>
      </c>
      <c r="AH21" s="4">
        <v>349719</v>
      </c>
      <c r="AI21" s="4">
        <v>0</v>
      </c>
      <c r="AJ21" s="4">
        <v>0</v>
      </c>
      <c r="AK21" s="4">
        <v>764466</v>
      </c>
      <c r="AM21" s="4">
        <f t="shared" si="3"/>
        <v>901233</v>
      </c>
      <c r="AN21" s="4">
        <f t="shared" si="4"/>
        <v>-366395</v>
      </c>
      <c r="AO21" s="6">
        <f t="shared" si="5"/>
        <v>2277009</v>
      </c>
      <c r="AP21" s="4">
        <f t="shared" si="6"/>
        <v>-133457</v>
      </c>
      <c r="AQ21" s="4">
        <f t="shared" si="7"/>
        <v>-995288</v>
      </c>
      <c r="AR21" s="4">
        <f t="shared" si="8"/>
        <v>0</v>
      </c>
      <c r="AS21" s="4">
        <f t="shared" si="9"/>
        <v>3643233</v>
      </c>
      <c r="AT21" s="4">
        <f t="shared" si="10"/>
        <v>-266714</v>
      </c>
      <c r="AU21" s="4">
        <f t="shared" si="11"/>
        <v>0</v>
      </c>
    </row>
    <row r="22" spans="1:47">
      <c r="A22" t="s">
        <v>199</v>
      </c>
      <c r="B22">
        <v>30105</v>
      </c>
      <c r="C22" s="4">
        <f>VLOOKUP(B22,'ER Contributions'!A:D,4,FALSE)</f>
        <v>2598336</v>
      </c>
      <c r="D22" s="5">
        <f>VLOOKUP(B22,'ER Contributions'!A:D,3,FALSE)</f>
        <v>8.0550000000000001E-4</v>
      </c>
      <c r="E22" s="6">
        <f>VLOOKUP(B22,'68 - Summary Exhibit'!A:N,3,FALSE)</f>
        <v>13429282</v>
      </c>
      <c r="F22" s="6">
        <f>VLOOKUP(B22,'68 - Summary Exhibit'!A:N,4,FALSE)</f>
        <v>1094804</v>
      </c>
      <c r="G22" s="6">
        <f>VLOOKUP(B22,'68 - Summary Exhibit'!A:N,5,FALSE)</f>
        <v>3740054</v>
      </c>
      <c r="H22" s="6">
        <f>VLOOKUP(B22,'68 - Summary Exhibit'!A:N,6,FALSE)</f>
        <v>471619</v>
      </c>
      <c r="I22" s="4">
        <f>VLOOKUP(B22,'68 - Summary Exhibit'!A:N,7,FALSE)</f>
        <v>67115</v>
      </c>
      <c r="J22" s="4">
        <f>VLOOKUP(B22,'68 - Summary Exhibit'!A:N,8,FALSE)</f>
        <v>99118</v>
      </c>
      <c r="K22" s="4">
        <f>VLOOKUP(B22,'68 - Summary Exhibit'!A:N,9,FALSE)</f>
        <v>0</v>
      </c>
      <c r="L22" s="4">
        <f>VLOOKUP(B22,'68 - Summary Exhibit'!A:N,10,FALSE)</f>
        <v>0</v>
      </c>
      <c r="M22" s="4">
        <f>VLOOKUP(B22,'68 - Summary Exhibit'!A:N,11,FALSE)</f>
        <v>44633</v>
      </c>
      <c r="N22" s="4">
        <f>VLOOKUP(B22,'68 - Summary Exhibit'!A:N,12,FALSE)</f>
        <v>3462966</v>
      </c>
      <c r="O22" s="4">
        <f>VLOOKUP(B22,'68 - Summary Exhibit'!A:N,13,FALSE)</f>
        <v>-70590</v>
      </c>
      <c r="P22" s="4">
        <f t="shared" si="0"/>
        <v>3392376</v>
      </c>
      <c r="Q22" s="4">
        <f>VLOOKUP(B22,'68- Deferred Amortization'!A:G,3,FALSE)</f>
        <v>1701315.1997949821</v>
      </c>
      <c r="R22" s="4">
        <f>VLOOKUP(B22,'68- Deferred Amortization'!A:G,4,FALSE)</f>
        <v>966870.0662949821</v>
      </c>
      <c r="S22" s="4">
        <f>VLOOKUP(B22,'68- Deferred Amortization'!A:G,5,FALSE)</f>
        <v>2401892.2284489293</v>
      </c>
      <c r="T22" s="4">
        <f>VLOOKUP(B22,'68- Deferred Amortization'!A:G,6,FALSE)</f>
        <v>159763.67550000001</v>
      </c>
      <c r="U22" s="4">
        <f>VLOOKUP(B22,'68- Deferred Amortization'!A:G,7,FALSE)</f>
        <v>0</v>
      </c>
      <c r="V22" s="4">
        <f t="shared" si="1"/>
        <v>2</v>
      </c>
      <c r="W22" s="4">
        <f t="shared" si="2"/>
        <v>0</v>
      </c>
      <c r="X22">
        <v>2</v>
      </c>
      <c r="AC22" s="6">
        <v>12256720</v>
      </c>
      <c r="AD22" s="6">
        <v>53366</v>
      </c>
      <c r="AE22" s="6">
        <v>4025598</v>
      </c>
      <c r="AF22" s="6">
        <v>967008</v>
      </c>
      <c r="AG22" s="4">
        <v>100672</v>
      </c>
      <c r="AH22" s="4">
        <v>167061</v>
      </c>
      <c r="AI22" s="4">
        <v>0</v>
      </c>
      <c r="AJ22" s="4">
        <v>0</v>
      </c>
      <c r="AK22" s="4">
        <v>128266</v>
      </c>
      <c r="AM22" s="4">
        <f t="shared" si="3"/>
        <v>-33557</v>
      </c>
      <c r="AN22" s="4">
        <f t="shared" si="4"/>
        <v>-83633</v>
      </c>
      <c r="AO22" s="6">
        <f t="shared" si="5"/>
        <v>1041438</v>
      </c>
      <c r="AP22" s="4">
        <f t="shared" si="6"/>
        <v>-67943</v>
      </c>
      <c r="AQ22" s="4">
        <f t="shared" si="7"/>
        <v>-495389</v>
      </c>
      <c r="AR22" s="4">
        <f t="shared" si="8"/>
        <v>0</v>
      </c>
      <c r="AS22" s="4">
        <f t="shared" si="9"/>
        <v>1172562</v>
      </c>
      <c r="AT22" s="4">
        <f t="shared" si="10"/>
        <v>-285544</v>
      </c>
      <c r="AU22" s="4">
        <f t="shared" si="11"/>
        <v>0</v>
      </c>
    </row>
    <row r="23" spans="1:47">
      <c r="A23" t="s">
        <v>200</v>
      </c>
      <c r="B23">
        <v>31105</v>
      </c>
      <c r="C23" s="4">
        <f>VLOOKUP(B23,'ER Contributions'!A:D,4,FALSE)</f>
        <v>4647477</v>
      </c>
      <c r="D23" s="5">
        <f>VLOOKUP(B23,'ER Contributions'!A:D,3,FALSE)</f>
        <v>1.5043999999999999E-3</v>
      </c>
      <c r="E23" s="6">
        <f>VLOOKUP(B23,'68 - Summary Exhibit'!A:N,3,FALSE)</f>
        <v>25081331</v>
      </c>
      <c r="F23" s="6">
        <f>VLOOKUP(B23,'68 - Summary Exhibit'!A:N,4,FALSE)</f>
        <v>2044722</v>
      </c>
      <c r="G23" s="6">
        <f>VLOOKUP(B23,'68 - Summary Exhibit'!A:N,5,FALSE)</f>
        <v>6985149</v>
      </c>
      <c r="H23" s="6">
        <f>VLOOKUP(B23,'68 - Summary Exhibit'!A:N,6,FALSE)</f>
        <v>880823</v>
      </c>
      <c r="I23" s="4">
        <f>VLOOKUP(B23,'68 - Summary Exhibit'!A:N,7,FALSE)</f>
        <v>250478</v>
      </c>
      <c r="J23" s="4">
        <f>VLOOKUP(B23,'68 - Summary Exhibit'!A:N,8,FALSE)</f>
        <v>185118</v>
      </c>
      <c r="K23" s="4">
        <f>VLOOKUP(B23,'68 - Summary Exhibit'!A:N,9,FALSE)</f>
        <v>0</v>
      </c>
      <c r="L23" s="4">
        <f>VLOOKUP(B23,'68 - Summary Exhibit'!A:N,10,FALSE)</f>
        <v>0</v>
      </c>
      <c r="M23" s="4">
        <f>VLOOKUP(B23,'68 - Summary Exhibit'!A:N,11,FALSE)</f>
        <v>77377</v>
      </c>
      <c r="N23" s="4">
        <f>VLOOKUP(B23,'68 - Summary Exhibit'!A:N,12,FALSE)</f>
        <v>6467643</v>
      </c>
      <c r="O23" s="4">
        <f>VLOOKUP(B23,'68 - Summary Exhibit'!A:N,13,FALSE)</f>
        <v>-68796</v>
      </c>
      <c r="P23" s="4">
        <f t="shared" si="0"/>
        <v>6398847</v>
      </c>
      <c r="Q23" s="4">
        <f>VLOOKUP(B23,'68- Deferred Amortization'!A:G,3,FALSE)</f>
        <v>3274017.3362551043</v>
      </c>
      <c r="R23" s="4">
        <f>VLOOKUP(B23,'68- Deferred Amortization'!A:G,4,FALSE)</f>
        <v>1772390.2094551045</v>
      </c>
      <c r="S23" s="4">
        <f>VLOOKUP(B23,'68- Deferred Amortization'!A:G,5,FALSE)</f>
        <v>4553885.7111522937</v>
      </c>
      <c r="T23" s="4">
        <f>VLOOKUP(B23,'68- Deferred Amortization'!A:G,6,FALSE)</f>
        <v>298384.20039999997</v>
      </c>
      <c r="U23" s="4">
        <f>VLOOKUP(B23,'68- Deferred Amortization'!A:G,7,FALSE)</f>
        <v>0</v>
      </c>
      <c r="V23" s="4">
        <f t="shared" si="1"/>
        <v>-1</v>
      </c>
      <c r="W23" s="4">
        <f t="shared" si="2"/>
        <v>0</v>
      </c>
      <c r="X23">
        <v>2</v>
      </c>
      <c r="AC23" s="6">
        <v>22098608</v>
      </c>
      <c r="AD23" s="6">
        <v>96219</v>
      </c>
      <c r="AE23" s="6">
        <v>7258069</v>
      </c>
      <c r="AF23" s="6">
        <v>1743496</v>
      </c>
      <c r="AG23" s="4">
        <v>150619</v>
      </c>
      <c r="AH23" s="4">
        <v>301207</v>
      </c>
      <c r="AI23" s="4">
        <v>0</v>
      </c>
      <c r="AJ23" s="4">
        <v>0</v>
      </c>
      <c r="AK23" s="4">
        <v>279871</v>
      </c>
      <c r="AM23" s="4">
        <f t="shared" si="3"/>
        <v>99859</v>
      </c>
      <c r="AN23" s="4">
        <f t="shared" si="4"/>
        <v>-202494</v>
      </c>
      <c r="AO23" s="6">
        <f t="shared" si="5"/>
        <v>1948503</v>
      </c>
      <c r="AP23" s="4">
        <f t="shared" si="6"/>
        <v>-116089</v>
      </c>
      <c r="AQ23" s="4">
        <f t="shared" si="7"/>
        <v>-862673</v>
      </c>
      <c r="AR23" s="4">
        <f t="shared" si="8"/>
        <v>0</v>
      </c>
      <c r="AS23" s="4">
        <f t="shared" si="9"/>
        <v>2982723</v>
      </c>
      <c r="AT23" s="4">
        <f t="shared" si="10"/>
        <v>-272920</v>
      </c>
      <c r="AU23" s="4">
        <f t="shared" si="11"/>
        <v>0</v>
      </c>
    </row>
    <row r="24" spans="1:47">
      <c r="A24" t="s">
        <v>201</v>
      </c>
      <c r="B24">
        <v>30705</v>
      </c>
      <c r="C24" s="4">
        <f>VLOOKUP(B24,'ER Contributions'!A:D,4,FALSE)</f>
        <v>1536781</v>
      </c>
      <c r="D24" s="5">
        <f>VLOOKUP(B24,'ER Contributions'!A:D,3,FALSE)</f>
        <v>5.1920000000000004E-4</v>
      </c>
      <c r="E24" s="6">
        <f>VLOOKUP(B24,'68 - Summary Exhibit'!A:N,3,FALSE)</f>
        <v>8656094</v>
      </c>
      <c r="F24" s="6">
        <f>VLOOKUP(B24,'68 - Summary Exhibit'!A:N,4,FALSE)</f>
        <v>705676</v>
      </c>
      <c r="G24" s="6">
        <f>VLOOKUP(B24,'68 - Summary Exhibit'!A:N,5,FALSE)</f>
        <v>2410721</v>
      </c>
      <c r="H24" s="6">
        <f>VLOOKUP(B24,'68 - Summary Exhibit'!A:N,6,FALSE)</f>
        <v>303991</v>
      </c>
      <c r="I24" s="4">
        <f>VLOOKUP(B24,'68 - Summary Exhibit'!A:N,7,FALSE)</f>
        <v>207481</v>
      </c>
      <c r="J24" s="4">
        <f>VLOOKUP(B24,'68 - Summary Exhibit'!A:N,8,FALSE)</f>
        <v>63888</v>
      </c>
      <c r="K24" s="4">
        <f>VLOOKUP(B24,'68 - Summary Exhibit'!A:N,9,FALSE)</f>
        <v>0</v>
      </c>
      <c r="L24" s="4">
        <f>VLOOKUP(B24,'68 - Summary Exhibit'!A:N,10,FALSE)</f>
        <v>0</v>
      </c>
      <c r="M24" s="4">
        <f>VLOOKUP(B24,'68 - Summary Exhibit'!A:N,11,FALSE)</f>
        <v>21435</v>
      </c>
      <c r="N24" s="4">
        <f>VLOOKUP(B24,'68 - Summary Exhibit'!A:N,12,FALSE)</f>
        <v>2232119</v>
      </c>
      <c r="O24" s="4">
        <f>VLOOKUP(B24,'68 - Summary Exhibit'!A:N,13,FALSE)</f>
        <v>43795</v>
      </c>
      <c r="P24" s="4">
        <f t="shared" si="0"/>
        <v>2275914</v>
      </c>
      <c r="Q24" s="4">
        <f>VLOOKUP(B24,'68- Deferred Amortization'!A:G,3,FALSE)</f>
        <v>1167685.917845923</v>
      </c>
      <c r="R24" s="4">
        <f>VLOOKUP(B24,'68- Deferred Amortization'!A:G,4,FALSE)</f>
        <v>657281.95544592279</v>
      </c>
      <c r="S24" s="4">
        <f>VLOOKUP(B24,'68- Deferred Amortization'!A:G,5,FALSE)</f>
        <v>1614599.7205060741</v>
      </c>
      <c r="T24" s="4">
        <f>VLOOKUP(B24,'68- Deferred Amortization'!A:G,6,FALSE)</f>
        <v>102978.64720000001</v>
      </c>
      <c r="U24" s="4">
        <f>VLOOKUP(B24,'68- Deferred Amortization'!A:G,7,FALSE)</f>
        <v>0</v>
      </c>
      <c r="V24" s="4">
        <f t="shared" si="1"/>
        <v>0</v>
      </c>
      <c r="W24" s="4">
        <f t="shared" si="2"/>
        <v>0</v>
      </c>
      <c r="X24">
        <v>2</v>
      </c>
      <c r="AC24" s="6">
        <v>7229654</v>
      </c>
      <c r="AD24" s="6">
        <v>31478</v>
      </c>
      <c r="AE24" s="6">
        <v>2374508</v>
      </c>
      <c r="AF24" s="6">
        <v>570392</v>
      </c>
      <c r="AG24" s="4">
        <v>36305</v>
      </c>
      <c r="AH24" s="4">
        <v>98541</v>
      </c>
      <c r="AI24" s="4">
        <v>0</v>
      </c>
      <c r="AJ24" s="4">
        <v>0</v>
      </c>
      <c r="AK24" s="4">
        <v>58903</v>
      </c>
      <c r="AM24" s="4">
        <f t="shared" si="3"/>
        <v>171176</v>
      </c>
      <c r="AN24" s="4">
        <f t="shared" si="4"/>
        <v>-37468</v>
      </c>
      <c r="AO24" s="6">
        <f t="shared" si="5"/>
        <v>674198</v>
      </c>
      <c r="AP24" s="4">
        <f t="shared" si="6"/>
        <v>-34653</v>
      </c>
      <c r="AQ24" s="4">
        <f t="shared" si="7"/>
        <v>-266401</v>
      </c>
      <c r="AR24" s="4">
        <f t="shared" si="8"/>
        <v>0</v>
      </c>
      <c r="AS24" s="4">
        <f t="shared" si="9"/>
        <v>1426440</v>
      </c>
      <c r="AT24" s="4">
        <f t="shared" si="10"/>
        <v>36213</v>
      </c>
      <c r="AU24" s="4">
        <f t="shared" si="11"/>
        <v>0</v>
      </c>
    </row>
    <row r="25" spans="1:47">
      <c r="A25" t="s">
        <v>202</v>
      </c>
      <c r="B25">
        <v>30905</v>
      </c>
      <c r="C25" s="4">
        <f>VLOOKUP(B25,'ER Contributions'!A:D,4,FALSE)</f>
        <v>1046632</v>
      </c>
      <c r="D25" s="5">
        <f>VLOOKUP(B25,'ER Contributions'!A:D,3,FALSE)</f>
        <v>3.054E-4</v>
      </c>
      <c r="E25" s="6">
        <f>VLOOKUP(B25,'68 - Summary Exhibit'!A:N,3,FALSE)</f>
        <v>5091624</v>
      </c>
      <c r="F25" s="6">
        <f>VLOOKUP(B25,'68 - Summary Exhibit'!A:N,4,FALSE)</f>
        <v>415088</v>
      </c>
      <c r="G25" s="6">
        <f>VLOOKUP(B25,'68 - Summary Exhibit'!A:N,5,FALSE)</f>
        <v>1418017</v>
      </c>
      <c r="H25" s="6">
        <f>VLOOKUP(B25,'68 - Summary Exhibit'!A:N,6,FALSE)</f>
        <v>178811</v>
      </c>
      <c r="I25" s="4">
        <f>VLOOKUP(B25,'68 - Summary Exhibit'!A:N,7,FALSE)</f>
        <v>265853</v>
      </c>
      <c r="J25" s="4">
        <f>VLOOKUP(B25,'68 - Summary Exhibit'!A:N,8,FALSE)</f>
        <v>37580</v>
      </c>
      <c r="K25" s="4">
        <f>VLOOKUP(B25,'68 - Summary Exhibit'!A:N,9,FALSE)</f>
        <v>0</v>
      </c>
      <c r="L25" s="4">
        <f>VLOOKUP(B25,'68 - Summary Exhibit'!A:N,10,FALSE)</f>
        <v>0</v>
      </c>
      <c r="M25" s="4">
        <f>VLOOKUP(B25,'68 - Summary Exhibit'!A:N,11,FALSE)</f>
        <v>3829</v>
      </c>
      <c r="N25" s="4">
        <f>VLOOKUP(B25,'68 - Summary Exhibit'!A:N,12,FALSE)</f>
        <v>1312961</v>
      </c>
      <c r="O25" s="4">
        <f>VLOOKUP(B25,'68 - Summary Exhibit'!A:N,13,FALSE)</f>
        <v>121657</v>
      </c>
      <c r="P25" s="4">
        <f t="shared" si="0"/>
        <v>1434618</v>
      </c>
      <c r="Q25" s="4">
        <f>VLOOKUP(B25,'68- Deferred Amortization'!A:G,3,FALSE)</f>
        <v>743841.23195701011</v>
      </c>
      <c r="R25" s="4">
        <f>VLOOKUP(B25,'68- Deferred Amortization'!A:G,4,FALSE)</f>
        <v>458121.4081570101</v>
      </c>
      <c r="S25" s="4">
        <f>VLOOKUP(B25,'68- Deferred Amortization'!A:G,5,FALSE)</f>
        <v>973824.13069782557</v>
      </c>
      <c r="T25" s="4">
        <f>VLOOKUP(B25,'68- Deferred Amortization'!A:G,6,FALSE)</f>
        <v>60573.341399999998</v>
      </c>
      <c r="U25" s="4">
        <f>VLOOKUP(B25,'68- Deferred Amortization'!A:G,7,FALSE)</f>
        <v>0</v>
      </c>
      <c r="V25" s="4">
        <f t="shared" si="1"/>
        <v>-1</v>
      </c>
      <c r="W25" s="4">
        <f t="shared" si="2"/>
        <v>0</v>
      </c>
      <c r="X25">
        <v>2</v>
      </c>
      <c r="AC25" s="6">
        <v>4329481</v>
      </c>
      <c r="AD25" s="6">
        <v>18851</v>
      </c>
      <c r="AE25" s="6">
        <v>1421975</v>
      </c>
      <c r="AF25" s="6">
        <v>341580</v>
      </c>
      <c r="AG25" s="4">
        <v>146467</v>
      </c>
      <c r="AH25" s="4">
        <v>59011</v>
      </c>
      <c r="AI25" s="4">
        <v>0</v>
      </c>
      <c r="AJ25" s="4">
        <v>0</v>
      </c>
      <c r="AK25" s="4">
        <v>7658</v>
      </c>
      <c r="AM25" s="4">
        <f t="shared" si="3"/>
        <v>119386</v>
      </c>
      <c r="AN25" s="4">
        <f t="shared" si="4"/>
        <v>-3829</v>
      </c>
      <c r="AO25" s="6">
        <f t="shared" si="5"/>
        <v>396237</v>
      </c>
      <c r="AP25" s="4">
        <f t="shared" si="6"/>
        <v>-21431</v>
      </c>
      <c r="AQ25" s="4">
        <f t="shared" si="7"/>
        <v>-162769</v>
      </c>
      <c r="AR25" s="4">
        <f t="shared" si="8"/>
        <v>0</v>
      </c>
      <c r="AS25" s="4">
        <f t="shared" si="9"/>
        <v>762143</v>
      </c>
      <c r="AT25" s="4">
        <f t="shared" si="10"/>
        <v>-3958</v>
      </c>
      <c r="AU25" s="4">
        <f t="shared" si="11"/>
        <v>0</v>
      </c>
    </row>
    <row r="26" spans="1:47">
      <c r="A26" t="s">
        <v>203</v>
      </c>
      <c r="B26">
        <v>34505</v>
      </c>
      <c r="C26" s="4">
        <f>VLOOKUP(B26,'ER Contributions'!A:D,4,FALSE)</f>
        <v>2265524</v>
      </c>
      <c r="D26" s="5">
        <f>VLOOKUP(B26,'ER Contributions'!A:D,3,FALSE)</f>
        <v>7.7269999999999997E-4</v>
      </c>
      <c r="E26" s="6">
        <f>VLOOKUP(B26,'68 - Summary Exhibit'!A:N,3,FALSE)</f>
        <v>12882441</v>
      </c>
      <c r="F26" s="6">
        <f>VLOOKUP(B26,'68 - Summary Exhibit'!A:N,4,FALSE)</f>
        <v>1050224</v>
      </c>
      <c r="G26" s="6">
        <f>VLOOKUP(B26,'68 - Summary Exhibit'!A:N,5,FALSE)</f>
        <v>3587759</v>
      </c>
      <c r="H26" s="6">
        <f>VLOOKUP(B26,'68 - Summary Exhibit'!A:N,6,FALSE)</f>
        <v>452414</v>
      </c>
      <c r="I26" s="4">
        <f>VLOOKUP(B26,'68 - Summary Exhibit'!A:N,7,FALSE)</f>
        <v>534112</v>
      </c>
      <c r="J26" s="4">
        <f>VLOOKUP(B26,'68 - Summary Exhibit'!A:N,8,FALSE)</f>
        <v>95082</v>
      </c>
      <c r="K26" s="4">
        <f>VLOOKUP(B26,'68 - Summary Exhibit'!A:N,9,FALSE)</f>
        <v>0</v>
      </c>
      <c r="L26" s="4">
        <f>VLOOKUP(B26,'68 - Summary Exhibit'!A:N,10,FALSE)</f>
        <v>0</v>
      </c>
      <c r="M26" s="4">
        <f>VLOOKUP(B26,'68 - Summary Exhibit'!A:N,11,FALSE)</f>
        <v>80096</v>
      </c>
      <c r="N26" s="4">
        <f>VLOOKUP(B26,'68 - Summary Exhibit'!A:N,12,FALSE)</f>
        <v>3321954</v>
      </c>
      <c r="O26" s="4">
        <f>VLOOKUP(B26,'68 - Summary Exhibit'!A:N,13,FALSE)</f>
        <v>226180</v>
      </c>
      <c r="P26" s="4">
        <f t="shared" si="0"/>
        <v>3548134</v>
      </c>
      <c r="Q26" s="4">
        <f>VLOOKUP(B26,'68- Deferred Amortization'!A:G,3,FALSE)</f>
        <v>1772586.2455501179</v>
      </c>
      <c r="R26" s="4">
        <f>VLOOKUP(B26,'68- Deferred Amortization'!A:G,4,FALSE)</f>
        <v>1120087.6936501181</v>
      </c>
      <c r="S26" s="4">
        <f>VLOOKUP(B26,'68- Deferred Amortization'!A:G,5,FALSE)</f>
        <v>2403399.6059930627</v>
      </c>
      <c r="T26" s="4">
        <f>VLOOKUP(B26,'68- Deferred Amortization'!A:G,6,FALSE)</f>
        <v>153258.0907</v>
      </c>
      <c r="U26" s="4">
        <f>VLOOKUP(B26,'68- Deferred Amortization'!A:G,7,FALSE)</f>
        <v>0</v>
      </c>
      <c r="V26" s="4">
        <f t="shared" si="1"/>
        <v>1</v>
      </c>
      <c r="W26" s="4">
        <f t="shared" si="2"/>
        <v>-1</v>
      </c>
      <c r="X26">
        <v>2</v>
      </c>
      <c r="AC26" s="6">
        <v>10720549</v>
      </c>
      <c r="AD26" s="6">
        <v>46678</v>
      </c>
      <c r="AE26" s="6">
        <v>3521058</v>
      </c>
      <c r="AF26" s="6">
        <v>845810</v>
      </c>
      <c r="AG26" s="4">
        <v>462816</v>
      </c>
      <c r="AH26" s="4">
        <v>146123</v>
      </c>
      <c r="AI26" s="4">
        <v>0</v>
      </c>
      <c r="AJ26" s="4">
        <v>0</v>
      </c>
      <c r="AK26" s="4">
        <v>160191</v>
      </c>
      <c r="AM26" s="4">
        <f t="shared" si="3"/>
        <v>71296</v>
      </c>
      <c r="AN26" s="4">
        <f t="shared" si="4"/>
        <v>-80095</v>
      </c>
      <c r="AO26" s="6">
        <f t="shared" si="5"/>
        <v>1003546</v>
      </c>
      <c r="AP26" s="4">
        <f t="shared" si="6"/>
        <v>-51041</v>
      </c>
      <c r="AQ26" s="4">
        <f t="shared" si="7"/>
        <v>-393396</v>
      </c>
      <c r="AR26" s="4">
        <f t="shared" si="8"/>
        <v>0</v>
      </c>
      <c r="AS26" s="4">
        <f t="shared" si="9"/>
        <v>2161892</v>
      </c>
      <c r="AT26" s="4">
        <f t="shared" si="10"/>
        <v>66701</v>
      </c>
      <c r="AU26" s="4">
        <f t="shared" si="11"/>
        <v>0</v>
      </c>
    </row>
    <row r="27" spans="1:47">
      <c r="A27" t="s">
        <v>204</v>
      </c>
      <c r="B27">
        <v>31005</v>
      </c>
      <c r="C27" s="4">
        <f>VLOOKUP(B27,'ER Contributions'!A:D,4,FALSE)</f>
        <v>1533257</v>
      </c>
      <c r="D27" s="5">
        <f>VLOOKUP(B27,'ER Contributions'!A:D,3,FALSE)</f>
        <v>4.863E-4</v>
      </c>
      <c r="E27" s="6">
        <f>VLOOKUP(B27,'68 - Summary Exhibit'!A:N,3,FALSE)</f>
        <v>8107585</v>
      </c>
      <c r="F27" s="6">
        <f>VLOOKUP(B27,'68 - Summary Exhibit'!A:N,4,FALSE)</f>
        <v>660960</v>
      </c>
      <c r="G27" s="6">
        <f>VLOOKUP(B27,'68 - Summary Exhibit'!A:N,5,FALSE)</f>
        <v>2257962</v>
      </c>
      <c r="H27" s="6">
        <f>VLOOKUP(B27,'68 - Summary Exhibit'!A:N,6,FALSE)</f>
        <v>284728</v>
      </c>
      <c r="I27" s="4">
        <f>VLOOKUP(B27,'68 - Summary Exhibit'!A:N,7,FALSE)</f>
        <v>324157</v>
      </c>
      <c r="J27" s="4">
        <f>VLOOKUP(B27,'68 - Summary Exhibit'!A:N,8,FALSE)</f>
        <v>59840</v>
      </c>
      <c r="K27" s="4">
        <f>VLOOKUP(B27,'68 - Summary Exhibit'!A:N,9,FALSE)</f>
        <v>0</v>
      </c>
      <c r="L27" s="4">
        <f>VLOOKUP(B27,'68 - Summary Exhibit'!A:N,10,FALSE)</f>
        <v>0</v>
      </c>
      <c r="M27" s="4">
        <f>VLOOKUP(B27,'68 - Summary Exhibit'!A:N,11,FALSE)</f>
        <v>0</v>
      </c>
      <c r="N27" s="4">
        <f>VLOOKUP(B27,'68 - Summary Exhibit'!A:N,12,FALSE)</f>
        <v>2090677</v>
      </c>
      <c r="O27" s="4">
        <f>VLOOKUP(B27,'68 - Summary Exhibit'!A:N,13,FALSE)</f>
        <v>180295</v>
      </c>
      <c r="P27" s="4">
        <f t="shared" si="0"/>
        <v>2270972</v>
      </c>
      <c r="Q27" s="4">
        <f>VLOOKUP(B27,'68- Deferred Amortization'!A:G,3,FALSE)</f>
        <v>1179307.7434922047</v>
      </c>
      <c r="R27" s="4">
        <f>VLOOKUP(B27,'68- Deferred Amortization'!A:G,4,FALSE)</f>
        <v>664865.17239220464</v>
      </c>
      <c r="S27" s="4">
        <f>VLOOKUP(B27,'68- Deferred Amortization'!A:G,5,FALSE)</f>
        <v>1527340.6500253547</v>
      </c>
      <c r="T27" s="4">
        <f>VLOOKUP(B27,'68- Deferred Amortization'!A:G,6,FALSE)</f>
        <v>96453.228300000002</v>
      </c>
      <c r="U27" s="4">
        <f>VLOOKUP(B27,'68- Deferred Amortization'!A:G,7,FALSE)</f>
        <v>0</v>
      </c>
      <c r="V27" s="4">
        <f t="shared" si="1"/>
        <v>0</v>
      </c>
      <c r="W27" s="4">
        <f t="shared" si="2"/>
        <v>0</v>
      </c>
      <c r="X27">
        <v>2</v>
      </c>
      <c r="AC27" s="6">
        <v>6827429</v>
      </c>
      <c r="AD27" s="6">
        <v>29727</v>
      </c>
      <c r="AE27" s="6">
        <v>2242402</v>
      </c>
      <c r="AF27" s="6">
        <v>538658</v>
      </c>
      <c r="AG27" s="4">
        <v>207798</v>
      </c>
      <c r="AH27" s="4">
        <v>93059</v>
      </c>
      <c r="AI27" s="4">
        <v>0</v>
      </c>
      <c r="AJ27" s="4">
        <v>0</v>
      </c>
      <c r="AK27" s="4">
        <v>0</v>
      </c>
      <c r="AM27" s="4">
        <f t="shared" si="3"/>
        <v>116359</v>
      </c>
      <c r="AN27" s="4">
        <f t="shared" si="4"/>
        <v>0</v>
      </c>
      <c r="AO27" s="6">
        <f t="shared" si="5"/>
        <v>631233</v>
      </c>
      <c r="AP27" s="4">
        <f t="shared" si="6"/>
        <v>-33219</v>
      </c>
      <c r="AQ27" s="4">
        <f t="shared" si="7"/>
        <v>-253930</v>
      </c>
      <c r="AR27" s="4">
        <f t="shared" si="8"/>
        <v>0</v>
      </c>
      <c r="AS27" s="4">
        <f t="shared" si="9"/>
        <v>1280156</v>
      </c>
      <c r="AT27" s="4">
        <f t="shared" si="10"/>
        <v>15560</v>
      </c>
      <c r="AU27" s="4">
        <f t="shared" si="11"/>
        <v>0</v>
      </c>
    </row>
    <row r="28" spans="1:47">
      <c r="A28" t="s">
        <v>205</v>
      </c>
      <c r="B28">
        <v>31405</v>
      </c>
      <c r="C28" s="4">
        <f>VLOOKUP(B28,'ER Contributions'!A:D,4,FALSE)</f>
        <v>3164988</v>
      </c>
      <c r="D28" s="5">
        <f>VLOOKUP(B28,'ER Contributions'!A:D,3,FALSE)</f>
        <v>9.5799999999999998E-4</v>
      </c>
      <c r="E28" s="6">
        <f>VLOOKUP(B28,'68 - Summary Exhibit'!A:N,3,FALSE)</f>
        <v>15971760</v>
      </c>
      <c r="F28" s="6">
        <f>VLOOKUP(B28,'68 - Summary Exhibit'!A:N,4,FALSE)</f>
        <v>1302076</v>
      </c>
      <c r="G28" s="6">
        <f>VLOOKUP(B28,'68 - Summary Exhibit'!A:N,5,FALSE)</f>
        <v>4448134</v>
      </c>
      <c r="H28" s="6">
        <f>VLOOKUP(B28,'68 - Summary Exhibit'!A:N,6,FALSE)</f>
        <v>560907</v>
      </c>
      <c r="I28" s="4">
        <f>VLOOKUP(B28,'68 - Summary Exhibit'!A:N,7,FALSE)</f>
        <v>904969</v>
      </c>
      <c r="J28" s="4">
        <f>VLOOKUP(B28,'68 - Summary Exhibit'!A:N,8,FALSE)</f>
        <v>117883</v>
      </c>
      <c r="K28" s="4">
        <f>VLOOKUP(B28,'68 - Summary Exhibit'!A:N,9,FALSE)</f>
        <v>0</v>
      </c>
      <c r="L28" s="4">
        <f>VLOOKUP(B28,'68 - Summary Exhibit'!A:N,10,FALSE)</f>
        <v>0</v>
      </c>
      <c r="M28" s="4">
        <f>VLOOKUP(B28,'68 - Summary Exhibit'!A:N,11,FALSE)</f>
        <v>0</v>
      </c>
      <c r="N28" s="4">
        <f>VLOOKUP(B28,'68 - Summary Exhibit'!A:N,12,FALSE)</f>
        <v>4118587</v>
      </c>
      <c r="O28" s="4">
        <f>VLOOKUP(B28,'68 - Summary Exhibit'!A:N,13,FALSE)</f>
        <v>409677</v>
      </c>
      <c r="P28" s="4">
        <f t="shared" si="0"/>
        <v>4528264</v>
      </c>
      <c r="Q28" s="4">
        <f>VLOOKUP(B28,'68- Deferred Amortization'!A:G,3,FALSE)</f>
        <v>2444778.5221446841</v>
      </c>
      <c r="R28" s="4">
        <f>VLOOKUP(B28,'68- Deferred Amortization'!A:G,4,FALSE)</f>
        <v>1418930.5961446841</v>
      </c>
      <c r="S28" s="4">
        <f>VLOOKUP(B28,'68- Deferred Amortization'!A:G,5,FALSE)</f>
        <v>3044483.153062135</v>
      </c>
      <c r="T28" s="4">
        <f>VLOOKUP(B28,'68- Deferred Amortization'!A:G,6,FALSE)</f>
        <v>190010.67799999999</v>
      </c>
      <c r="U28" s="4">
        <f>VLOOKUP(B28,'68- Deferred Amortization'!A:G,7,FALSE)</f>
        <v>0</v>
      </c>
      <c r="V28" s="4">
        <f t="shared" si="1"/>
        <v>1</v>
      </c>
      <c r="W28" s="4">
        <f t="shared" si="2"/>
        <v>0</v>
      </c>
      <c r="X28">
        <v>2</v>
      </c>
      <c r="AC28" s="6">
        <v>13453005</v>
      </c>
      <c r="AD28" s="6">
        <v>58575</v>
      </c>
      <c r="AE28" s="6">
        <v>4418506</v>
      </c>
      <c r="AF28" s="6">
        <v>1061391</v>
      </c>
      <c r="AG28" s="4">
        <v>598334</v>
      </c>
      <c r="AH28" s="4">
        <v>183367</v>
      </c>
      <c r="AI28" s="4">
        <v>0</v>
      </c>
      <c r="AJ28" s="4">
        <v>0</v>
      </c>
      <c r="AK28" s="4">
        <v>10716</v>
      </c>
      <c r="AM28" s="4">
        <f t="shared" si="3"/>
        <v>306635</v>
      </c>
      <c r="AN28" s="4">
        <f t="shared" si="4"/>
        <v>-10716</v>
      </c>
      <c r="AO28" s="6">
        <f t="shared" si="5"/>
        <v>1243501</v>
      </c>
      <c r="AP28" s="4">
        <f t="shared" si="6"/>
        <v>-65484</v>
      </c>
      <c r="AQ28" s="4">
        <f t="shared" si="7"/>
        <v>-500484</v>
      </c>
      <c r="AR28" s="4">
        <f t="shared" si="8"/>
        <v>0</v>
      </c>
      <c r="AS28" s="4">
        <f t="shared" si="9"/>
        <v>2518755</v>
      </c>
      <c r="AT28" s="4">
        <f t="shared" si="10"/>
        <v>29628</v>
      </c>
      <c r="AU28" s="4">
        <f t="shared" si="11"/>
        <v>0</v>
      </c>
    </row>
    <row r="29" spans="1:47">
      <c r="A29" t="s">
        <v>206</v>
      </c>
      <c r="B29">
        <v>36505</v>
      </c>
      <c r="C29" s="4">
        <f>VLOOKUP(B29,'ER Contributions'!A:D,4,FALSE)</f>
        <v>6674037</v>
      </c>
      <c r="D29" s="5">
        <f>VLOOKUP(B29,'ER Contributions'!A:D,3,FALSE)</f>
        <v>2.1667000000000001E-3</v>
      </c>
      <c r="E29" s="6">
        <f>VLOOKUP(B29,'68 - Summary Exhibit'!A:N,3,FALSE)</f>
        <v>36123186</v>
      </c>
      <c r="F29" s="6">
        <f>VLOOKUP(B29,'68 - Summary Exhibit'!A:N,4,FALSE)</f>
        <v>2944894</v>
      </c>
      <c r="G29" s="6">
        <f>VLOOKUP(B29,'68 - Summary Exhibit'!A:N,5,FALSE)</f>
        <v>10060304</v>
      </c>
      <c r="H29" s="6">
        <f>VLOOKUP(B29,'68 - Summary Exhibit'!A:N,6,FALSE)</f>
        <v>1268599</v>
      </c>
      <c r="I29" s="4">
        <f>VLOOKUP(B29,'68 - Summary Exhibit'!A:N,7,FALSE)</f>
        <v>1296295</v>
      </c>
      <c r="J29" s="4">
        <f>VLOOKUP(B29,'68 - Summary Exhibit'!A:N,8,FALSE)</f>
        <v>266615</v>
      </c>
      <c r="K29" s="4">
        <f>VLOOKUP(B29,'68 - Summary Exhibit'!A:N,9,FALSE)</f>
        <v>0</v>
      </c>
      <c r="L29" s="4">
        <f>VLOOKUP(B29,'68 - Summary Exhibit'!A:N,10,FALSE)</f>
        <v>0</v>
      </c>
      <c r="M29" s="4">
        <f>VLOOKUP(B29,'68 - Summary Exhibit'!A:N,11,FALSE)</f>
        <v>146024</v>
      </c>
      <c r="N29" s="4">
        <f>VLOOKUP(B29,'68 - Summary Exhibit'!A:N,12,FALSE)</f>
        <v>9314970</v>
      </c>
      <c r="O29" s="4">
        <f>VLOOKUP(B29,'68 - Summary Exhibit'!A:N,13,FALSE)</f>
        <v>241372</v>
      </c>
      <c r="P29" s="4">
        <f t="shared" si="0"/>
        <v>9556342</v>
      </c>
      <c r="Q29" s="4">
        <f>VLOOKUP(B29,'68- Deferred Amortization'!A:G,3,FALSE)</f>
        <v>4918339.7828837009</v>
      </c>
      <c r="R29" s="4">
        <f>VLOOKUP(B29,'68- Deferred Amortization'!A:G,4,FALSE)</f>
        <v>3010122.0129837012</v>
      </c>
      <c r="S29" s="4">
        <f>VLOOKUP(B29,'68- Deferred Amortization'!A:G,5,FALSE)</f>
        <v>6799245.9518113686</v>
      </c>
      <c r="T29" s="4">
        <f>VLOOKUP(B29,'68- Deferred Amortization'!A:G,6,FALSE)</f>
        <v>429745.44470000005</v>
      </c>
      <c r="U29" s="4">
        <f>VLOOKUP(B29,'68- Deferred Amortization'!A:G,7,FALSE)</f>
        <v>0</v>
      </c>
      <c r="V29" s="4">
        <f t="shared" si="1"/>
        <v>-1</v>
      </c>
      <c r="W29" s="4">
        <f t="shared" si="2"/>
        <v>0</v>
      </c>
      <c r="X29">
        <v>2</v>
      </c>
      <c r="AC29" s="6">
        <v>30196533</v>
      </c>
      <c r="AD29" s="6">
        <v>131478</v>
      </c>
      <c r="AE29" s="6">
        <v>9917752</v>
      </c>
      <c r="AF29" s="6">
        <v>2382391</v>
      </c>
      <c r="AG29" s="4">
        <v>483546</v>
      </c>
      <c r="AH29" s="4">
        <v>411583</v>
      </c>
      <c r="AI29" s="4">
        <v>0</v>
      </c>
      <c r="AJ29" s="4">
        <v>0</v>
      </c>
      <c r="AK29" s="4">
        <v>390478</v>
      </c>
      <c r="AM29" s="4">
        <f t="shared" si="3"/>
        <v>812749</v>
      </c>
      <c r="AN29" s="4">
        <f t="shared" si="4"/>
        <v>-244454</v>
      </c>
      <c r="AO29" s="6">
        <f t="shared" si="5"/>
        <v>2813416</v>
      </c>
      <c r="AP29" s="4">
        <f t="shared" si="6"/>
        <v>-144968</v>
      </c>
      <c r="AQ29" s="4">
        <f t="shared" si="7"/>
        <v>-1113792</v>
      </c>
      <c r="AR29" s="4">
        <f t="shared" si="8"/>
        <v>0</v>
      </c>
      <c r="AS29" s="4">
        <f t="shared" si="9"/>
        <v>5926653</v>
      </c>
      <c r="AT29" s="4">
        <f t="shared" si="10"/>
        <v>142552</v>
      </c>
      <c r="AU29" s="4">
        <f t="shared" si="11"/>
        <v>0</v>
      </c>
    </row>
    <row r="30" spans="1:47">
      <c r="A30" t="s">
        <v>207</v>
      </c>
      <c r="B30">
        <v>31605</v>
      </c>
      <c r="C30" s="4">
        <f>VLOOKUP(B30,'ER Contributions'!A:D,4,FALSE)</f>
        <v>1692891</v>
      </c>
      <c r="D30" s="5">
        <f>VLOOKUP(B30,'ER Contributions'!A:D,3,FALSE)</f>
        <v>5.1809999999999996E-4</v>
      </c>
      <c r="E30" s="6">
        <f>VLOOKUP(B30,'68 - Summary Exhibit'!A:N,3,FALSE)</f>
        <v>8637754</v>
      </c>
      <c r="F30" s="6">
        <f>VLOOKUP(B30,'68 - Summary Exhibit'!A:N,4,FALSE)</f>
        <v>704181</v>
      </c>
      <c r="G30" s="6">
        <f>VLOOKUP(B30,'68 - Summary Exhibit'!A:N,5,FALSE)</f>
        <v>2405614</v>
      </c>
      <c r="H30" s="6">
        <f>VLOOKUP(B30,'68 - Summary Exhibit'!A:N,6,FALSE)</f>
        <v>303347</v>
      </c>
      <c r="I30" s="4">
        <f>VLOOKUP(B30,'68 - Summary Exhibit'!A:N,7,FALSE)</f>
        <v>341480</v>
      </c>
      <c r="J30" s="4">
        <f>VLOOKUP(B30,'68 - Summary Exhibit'!A:N,8,FALSE)</f>
        <v>63753</v>
      </c>
      <c r="K30" s="4">
        <f>VLOOKUP(B30,'68 - Summary Exhibit'!A:N,9,FALSE)</f>
        <v>0</v>
      </c>
      <c r="L30" s="4">
        <f>VLOOKUP(B30,'68 - Summary Exhibit'!A:N,10,FALSE)</f>
        <v>0</v>
      </c>
      <c r="M30" s="4">
        <f>VLOOKUP(B30,'68 - Summary Exhibit'!A:N,11,FALSE)</f>
        <v>0</v>
      </c>
      <c r="N30" s="4">
        <f>VLOOKUP(B30,'68 - Summary Exhibit'!A:N,12,FALSE)</f>
        <v>2227390</v>
      </c>
      <c r="O30" s="4">
        <f>VLOOKUP(B30,'68 - Summary Exhibit'!A:N,13,FALSE)</f>
        <v>209431</v>
      </c>
      <c r="P30" s="4">
        <f t="shared" si="0"/>
        <v>2436821</v>
      </c>
      <c r="Q30" s="4">
        <f>VLOOKUP(B30,'68- Deferred Amortization'!A:G,3,FALSE)</f>
        <v>1233089.0170527073</v>
      </c>
      <c r="R30" s="4">
        <f>VLOOKUP(B30,'68- Deferred Amortization'!A:G,4,FALSE)</f>
        <v>731542.96135270735</v>
      </c>
      <c r="S30" s="4">
        <f>VLOOKUP(B30,'68- Deferred Amortization'!A:G,5,FALSE)</f>
        <v>1623476.5755006885</v>
      </c>
      <c r="T30" s="4">
        <f>VLOOKUP(B30,'68- Deferred Amortization'!A:G,6,FALSE)</f>
        <v>102760.4721</v>
      </c>
      <c r="U30" s="4">
        <f>VLOOKUP(B30,'68- Deferred Amortization'!A:G,7,FALSE)</f>
        <v>0</v>
      </c>
      <c r="V30" s="4">
        <f t="shared" si="1"/>
        <v>1</v>
      </c>
      <c r="W30" s="4">
        <f t="shared" si="2"/>
        <v>0</v>
      </c>
      <c r="X30">
        <v>2</v>
      </c>
      <c r="AC30" s="6">
        <v>7397371</v>
      </c>
      <c r="AD30" s="6">
        <v>32209</v>
      </c>
      <c r="AE30" s="6">
        <v>2429593</v>
      </c>
      <c r="AF30" s="6">
        <v>583624</v>
      </c>
      <c r="AG30" s="4">
        <v>249816</v>
      </c>
      <c r="AH30" s="4">
        <v>100827</v>
      </c>
      <c r="AI30" s="4">
        <v>0</v>
      </c>
      <c r="AJ30" s="4">
        <v>0</v>
      </c>
      <c r="AK30" s="4">
        <v>0</v>
      </c>
      <c r="AM30" s="4">
        <f t="shared" si="3"/>
        <v>91664</v>
      </c>
      <c r="AN30" s="4">
        <f t="shared" si="4"/>
        <v>0</v>
      </c>
      <c r="AO30" s="6">
        <f t="shared" si="5"/>
        <v>671972</v>
      </c>
      <c r="AP30" s="4">
        <f t="shared" si="6"/>
        <v>-37074</v>
      </c>
      <c r="AQ30" s="4">
        <f t="shared" si="7"/>
        <v>-280277</v>
      </c>
      <c r="AR30" s="4">
        <f t="shared" si="8"/>
        <v>0</v>
      </c>
      <c r="AS30" s="4">
        <f t="shared" si="9"/>
        <v>1240383</v>
      </c>
      <c r="AT30" s="4">
        <f t="shared" si="10"/>
        <v>-23979</v>
      </c>
      <c r="AU30" s="4">
        <f t="shared" si="11"/>
        <v>0</v>
      </c>
    </row>
    <row r="31" spans="1:47">
      <c r="A31" t="s">
        <v>208</v>
      </c>
      <c r="B31">
        <v>31805</v>
      </c>
      <c r="C31" s="4">
        <f>VLOOKUP(B31,'ER Contributions'!A:D,4,FALSE)</f>
        <v>3959361</v>
      </c>
      <c r="D31" s="5">
        <f>VLOOKUP(B31,'ER Contributions'!A:D,3,FALSE)</f>
        <v>1.2769999999999999E-3</v>
      </c>
      <c r="E31" s="6">
        <f>VLOOKUP(B31,'68 - Summary Exhibit'!A:N,3,FALSE)</f>
        <v>21290122</v>
      </c>
      <c r="F31" s="6">
        <f>VLOOKUP(B31,'68 - Summary Exhibit'!A:N,4,FALSE)</f>
        <v>1735649</v>
      </c>
      <c r="G31" s="6">
        <f>VLOOKUP(B31,'68 - Summary Exhibit'!A:N,5,FALSE)</f>
        <v>5929297</v>
      </c>
      <c r="H31" s="6">
        <f>VLOOKUP(B31,'68 - Summary Exhibit'!A:N,6,FALSE)</f>
        <v>747681</v>
      </c>
      <c r="I31" s="4">
        <f>VLOOKUP(B31,'68 - Summary Exhibit'!A:N,7,FALSE)</f>
        <v>775286</v>
      </c>
      <c r="J31" s="4">
        <f>VLOOKUP(B31,'68 - Summary Exhibit'!A:N,8,FALSE)</f>
        <v>157136</v>
      </c>
      <c r="K31" s="4">
        <f>VLOOKUP(B31,'68 - Summary Exhibit'!A:N,9,FALSE)</f>
        <v>0</v>
      </c>
      <c r="L31" s="4">
        <f>VLOOKUP(B31,'68 - Summary Exhibit'!A:N,10,FALSE)</f>
        <v>0</v>
      </c>
      <c r="M31" s="4">
        <f>VLOOKUP(B31,'68 - Summary Exhibit'!A:N,11,FALSE)</f>
        <v>0</v>
      </c>
      <c r="N31" s="4">
        <f>VLOOKUP(B31,'68 - Summary Exhibit'!A:N,12,FALSE)</f>
        <v>5490016</v>
      </c>
      <c r="O31" s="4">
        <f>VLOOKUP(B31,'68 - Summary Exhibit'!A:N,13,FALSE)</f>
        <v>407575</v>
      </c>
      <c r="P31" s="4">
        <f t="shared" si="0"/>
        <v>5897591</v>
      </c>
      <c r="Q31" s="4">
        <f>VLOOKUP(B31,'68- Deferred Amortization'!A:G,3,FALSE)</f>
        <v>3087530.1583975884</v>
      </c>
      <c r="R31" s="4">
        <f>VLOOKUP(B31,'68- Deferred Amortization'!A:G,4,FALSE)</f>
        <v>1800190.2893975885</v>
      </c>
      <c r="S31" s="4">
        <f>VLOOKUP(B31,'68- Deferred Amortization'!A:G,5,FALSE)</f>
        <v>3889775.2879280015</v>
      </c>
      <c r="T31" s="4">
        <f>VLOOKUP(B31,'68- Deferred Amortization'!A:G,6,FALSE)</f>
        <v>253281.45699999999</v>
      </c>
      <c r="U31" s="4">
        <f>VLOOKUP(B31,'68- Deferred Amortization'!A:G,7,FALSE)</f>
        <v>0</v>
      </c>
      <c r="V31" s="4">
        <f t="shared" si="1"/>
        <v>0</v>
      </c>
      <c r="W31" s="4">
        <f t="shared" si="2"/>
        <v>0</v>
      </c>
      <c r="X31">
        <v>2</v>
      </c>
      <c r="AC31" s="6">
        <v>18621072</v>
      </c>
      <c r="AD31" s="6">
        <v>81077</v>
      </c>
      <c r="AE31" s="6">
        <v>6115907</v>
      </c>
      <c r="AF31" s="6">
        <v>1469132</v>
      </c>
      <c r="AG31" s="4">
        <v>887649</v>
      </c>
      <c r="AH31" s="4">
        <v>253808</v>
      </c>
      <c r="AI31" s="4">
        <v>0</v>
      </c>
      <c r="AJ31" s="4">
        <v>0</v>
      </c>
      <c r="AK31" s="4">
        <v>0</v>
      </c>
      <c r="AM31" s="4">
        <f t="shared" si="3"/>
        <v>-112363</v>
      </c>
      <c r="AN31" s="4">
        <f t="shared" si="4"/>
        <v>0</v>
      </c>
      <c r="AO31" s="6">
        <f t="shared" si="5"/>
        <v>1654572</v>
      </c>
      <c r="AP31" s="4">
        <f t="shared" si="6"/>
        <v>-96672</v>
      </c>
      <c r="AQ31" s="4">
        <f t="shared" si="7"/>
        <v>-721451</v>
      </c>
      <c r="AR31" s="4">
        <f t="shared" si="8"/>
        <v>0</v>
      </c>
      <c r="AS31" s="4">
        <f t="shared" si="9"/>
        <v>2669050</v>
      </c>
      <c r="AT31" s="4">
        <f t="shared" si="10"/>
        <v>-186610</v>
      </c>
      <c r="AU31" s="4">
        <f t="shared" si="11"/>
        <v>0</v>
      </c>
    </row>
    <row r="32" spans="1:47">
      <c r="A32" t="s">
        <v>209</v>
      </c>
      <c r="B32">
        <v>35305</v>
      </c>
      <c r="C32" s="4">
        <f>VLOOKUP(B32,'ER Contributions'!A:D,4,FALSE)</f>
        <v>4403911</v>
      </c>
      <c r="D32" s="5">
        <f>VLOOKUP(B32,'ER Contributions'!A:D,3,FALSE)</f>
        <v>1.4901999999999999E-3</v>
      </c>
      <c r="E32" s="6">
        <f>VLOOKUP(B32,'68 - Summary Exhibit'!A:N,3,FALSE)</f>
        <v>24844589</v>
      </c>
      <c r="F32" s="6">
        <f>VLOOKUP(B32,'68 - Summary Exhibit'!A:N,4,FALSE)</f>
        <v>2025422</v>
      </c>
      <c r="G32" s="6">
        <f>VLOOKUP(B32,'68 - Summary Exhibit'!A:N,5,FALSE)</f>
        <v>6919216</v>
      </c>
      <c r="H32" s="6">
        <f>VLOOKUP(B32,'68 - Summary Exhibit'!A:N,6,FALSE)</f>
        <v>872509</v>
      </c>
      <c r="I32" s="4">
        <f>VLOOKUP(B32,'68 - Summary Exhibit'!A:N,7,FALSE)</f>
        <v>211346</v>
      </c>
      <c r="J32" s="4">
        <f>VLOOKUP(B32,'68 - Summary Exhibit'!A:N,8,FALSE)</f>
        <v>183371</v>
      </c>
      <c r="K32" s="4">
        <f>VLOOKUP(B32,'68 - Summary Exhibit'!A:N,9,FALSE)</f>
        <v>0</v>
      </c>
      <c r="L32" s="4">
        <f>VLOOKUP(B32,'68 - Summary Exhibit'!A:N,10,FALSE)</f>
        <v>0</v>
      </c>
      <c r="M32" s="4">
        <f>VLOOKUP(B32,'68 - Summary Exhibit'!A:N,11,FALSE)</f>
        <v>263772</v>
      </c>
      <c r="N32" s="4">
        <f>VLOOKUP(B32,'68 - Summary Exhibit'!A:N,12,FALSE)</f>
        <v>6406595</v>
      </c>
      <c r="O32" s="4">
        <f>VLOOKUP(B32,'68 - Summary Exhibit'!A:N,13,FALSE)</f>
        <v>92258</v>
      </c>
      <c r="P32" s="4">
        <f t="shared" si="0"/>
        <v>6498853</v>
      </c>
      <c r="Q32" s="4">
        <f>VLOOKUP(B32,'68- Deferred Amortization'!A:G,3,FALSE)</f>
        <v>3246674.7970917956</v>
      </c>
      <c r="R32" s="4">
        <f>VLOOKUP(B32,'68- Deferred Amortization'!A:G,4,FALSE)</f>
        <v>1622474.6476917956</v>
      </c>
      <c r="S32" s="4">
        <f>VLOOKUP(B32,'68- Deferred Amortization'!A:G,5,FALSE)</f>
        <v>4416632.9827631311</v>
      </c>
      <c r="T32" s="4">
        <f>VLOOKUP(B32,'68- Deferred Amortization'!A:G,6,FALSE)</f>
        <v>295567.75819999998</v>
      </c>
      <c r="U32" s="4">
        <f>VLOOKUP(B32,'68- Deferred Amortization'!A:G,7,FALSE)</f>
        <v>0</v>
      </c>
      <c r="V32" s="4">
        <f t="shared" si="1"/>
        <v>0</v>
      </c>
      <c r="W32" s="4">
        <f t="shared" si="2"/>
        <v>0</v>
      </c>
      <c r="X32">
        <v>2</v>
      </c>
      <c r="AC32" s="6">
        <v>22184693</v>
      </c>
      <c r="AD32" s="6">
        <v>96593</v>
      </c>
      <c r="AE32" s="6">
        <v>7286343</v>
      </c>
      <c r="AF32" s="6">
        <v>1750288</v>
      </c>
      <c r="AG32" s="4">
        <v>422691</v>
      </c>
      <c r="AH32" s="4">
        <v>302381</v>
      </c>
      <c r="AI32" s="4">
        <v>0</v>
      </c>
      <c r="AJ32" s="4">
        <v>0</v>
      </c>
      <c r="AK32" s="4">
        <v>237138</v>
      </c>
      <c r="AM32" s="4">
        <f t="shared" si="3"/>
        <v>-211345</v>
      </c>
      <c r="AN32" s="4">
        <f t="shared" si="4"/>
        <v>26634</v>
      </c>
      <c r="AO32" s="6">
        <f t="shared" si="5"/>
        <v>1928829</v>
      </c>
      <c r="AP32" s="4">
        <f t="shared" si="6"/>
        <v>-119010</v>
      </c>
      <c r="AQ32" s="4">
        <f t="shared" si="7"/>
        <v>-877779</v>
      </c>
      <c r="AR32" s="4">
        <f t="shared" si="8"/>
        <v>0</v>
      </c>
      <c r="AS32" s="4">
        <f t="shared" si="9"/>
        <v>2659896</v>
      </c>
      <c r="AT32" s="4">
        <f t="shared" si="10"/>
        <v>-367127</v>
      </c>
      <c r="AU32" s="4">
        <f t="shared" si="11"/>
        <v>0</v>
      </c>
    </row>
    <row r="33" spans="1:47">
      <c r="A33" t="s">
        <v>210</v>
      </c>
      <c r="B33">
        <v>36005</v>
      </c>
      <c r="C33" s="4">
        <f>VLOOKUP(B33,'ER Contributions'!A:D,4,FALSE)</f>
        <v>12422969</v>
      </c>
      <c r="D33" s="5">
        <f>VLOOKUP(B33,'ER Contributions'!A:D,3,FALSE)</f>
        <v>4.1365000000000004E-3</v>
      </c>
      <c r="E33" s="6">
        <f>VLOOKUP(B33,'68 - Summary Exhibit'!A:N,3,FALSE)</f>
        <v>68963658</v>
      </c>
      <c r="F33" s="6">
        <f>VLOOKUP(B33,'68 - Summary Exhibit'!A:N,4,FALSE)</f>
        <v>5622169</v>
      </c>
      <c r="G33" s="6">
        <f>VLOOKUP(B33,'68 - Summary Exhibit'!A:N,5,FALSE)</f>
        <v>19206373</v>
      </c>
      <c r="H33" s="6">
        <f>VLOOKUP(B33,'68 - Summary Exhibit'!A:N,6,FALSE)</f>
        <v>2421912</v>
      </c>
      <c r="I33" s="4">
        <f>VLOOKUP(B33,'68 - Summary Exhibit'!A:N,7,FALSE)</f>
        <v>0</v>
      </c>
      <c r="J33" s="4">
        <f>VLOOKUP(B33,'68 - Summary Exhibit'!A:N,8,FALSE)</f>
        <v>509000</v>
      </c>
      <c r="K33" s="4">
        <f>VLOOKUP(B33,'68 - Summary Exhibit'!A:N,9,FALSE)</f>
        <v>0</v>
      </c>
      <c r="L33" s="4">
        <f>VLOOKUP(B33,'68 - Summary Exhibit'!A:N,10,FALSE)</f>
        <v>0</v>
      </c>
      <c r="M33" s="4">
        <f>VLOOKUP(B33,'68 - Summary Exhibit'!A:N,11,FALSE)</f>
        <v>2130108</v>
      </c>
      <c r="N33" s="4">
        <f>VLOOKUP(B33,'68 - Summary Exhibit'!A:N,12,FALSE)</f>
        <v>17783438</v>
      </c>
      <c r="O33" s="4">
        <f>VLOOKUP(B33,'68 - Summary Exhibit'!A:N,13,FALSE)</f>
        <v>-1507979</v>
      </c>
      <c r="P33" s="4">
        <f t="shared" si="0"/>
        <v>16275459</v>
      </c>
      <c r="Q33" s="4">
        <f>VLOOKUP(B33,'68- Deferred Amortization'!A:G,3,FALSE)</f>
        <v>7532271.6715465439</v>
      </c>
      <c r="R33" s="4">
        <f>VLOOKUP(B33,'68- Deferred Amortization'!A:G,4,FALSE)</f>
        <v>4062106.4310465446</v>
      </c>
      <c r="S33" s="4">
        <f>VLOOKUP(B33,'68- Deferred Amortization'!A:G,5,FALSE)</f>
        <v>12196531.301014688</v>
      </c>
      <c r="T33" s="4">
        <f>VLOOKUP(B33,'68- Deferred Amortization'!A:G,6,FALSE)</f>
        <v>820437.54650000005</v>
      </c>
      <c r="U33" s="4">
        <f>VLOOKUP(B33,'68- Deferred Amortization'!A:G,7,FALSE)</f>
        <v>0</v>
      </c>
      <c r="V33" s="4">
        <f t="shared" si="1"/>
        <v>-2</v>
      </c>
      <c r="W33" s="4">
        <f t="shared" si="2"/>
        <v>-1</v>
      </c>
      <c r="X33">
        <v>2</v>
      </c>
      <c r="AC33" s="6">
        <v>62329978</v>
      </c>
      <c r="AD33" s="6">
        <v>271388</v>
      </c>
      <c r="AE33" s="6">
        <v>20471664</v>
      </c>
      <c r="AF33" s="6">
        <v>4917598</v>
      </c>
      <c r="AG33" s="4">
        <v>0</v>
      </c>
      <c r="AH33" s="4">
        <v>849567</v>
      </c>
      <c r="AI33" s="4">
        <v>0</v>
      </c>
      <c r="AJ33" s="4">
        <v>0</v>
      </c>
      <c r="AK33" s="4">
        <v>2980925</v>
      </c>
      <c r="AM33" s="4">
        <f t="shared" si="3"/>
        <v>0</v>
      </c>
      <c r="AN33" s="4">
        <f t="shared" si="4"/>
        <v>-850817</v>
      </c>
      <c r="AO33" s="6">
        <f t="shared" si="5"/>
        <v>5350781</v>
      </c>
      <c r="AP33" s="4">
        <f t="shared" si="6"/>
        <v>-340567</v>
      </c>
      <c r="AQ33" s="4">
        <f t="shared" si="7"/>
        <v>-2495686</v>
      </c>
      <c r="AR33" s="4">
        <f t="shared" si="8"/>
        <v>0</v>
      </c>
      <c r="AS33" s="4">
        <f t="shared" si="9"/>
        <v>6633680</v>
      </c>
      <c r="AT33" s="4">
        <f t="shared" si="10"/>
        <v>-1265291</v>
      </c>
      <c r="AU33" s="4">
        <f t="shared" si="11"/>
        <v>0</v>
      </c>
    </row>
    <row r="34" spans="1:47">
      <c r="A34" t="s">
        <v>211</v>
      </c>
      <c r="B34">
        <v>32305</v>
      </c>
      <c r="C34" s="4">
        <f>VLOOKUP(B34,'ER Contributions'!A:D,4,FALSE)</f>
        <v>2102581</v>
      </c>
      <c r="D34" s="5">
        <f>VLOOKUP(B34,'ER Contributions'!A:D,3,FALSE)</f>
        <v>6.9149999999999995E-4</v>
      </c>
      <c r="E34" s="6">
        <f>VLOOKUP(B34,'68 - Summary Exhibit'!A:N,3,FALSE)</f>
        <v>11528676</v>
      </c>
      <c r="F34" s="6">
        <f>VLOOKUP(B34,'68 - Summary Exhibit'!A:N,4,FALSE)</f>
        <v>939860</v>
      </c>
      <c r="G34" s="6">
        <f>VLOOKUP(B34,'68 - Summary Exhibit'!A:N,5,FALSE)</f>
        <v>3210735</v>
      </c>
      <c r="H34" s="6">
        <f>VLOOKUP(B34,'68 - Summary Exhibit'!A:N,6,FALSE)</f>
        <v>404872</v>
      </c>
      <c r="I34" s="4">
        <f>VLOOKUP(B34,'68 - Summary Exhibit'!A:N,7,FALSE)</f>
        <v>626597</v>
      </c>
      <c r="J34" s="4">
        <f>VLOOKUP(B34,'68 - Summary Exhibit'!A:N,8,FALSE)</f>
        <v>85090</v>
      </c>
      <c r="K34" s="4">
        <f>VLOOKUP(B34,'68 - Summary Exhibit'!A:N,9,FALSE)</f>
        <v>0</v>
      </c>
      <c r="L34" s="4">
        <f>VLOOKUP(B34,'68 - Summary Exhibit'!A:N,10,FALSE)</f>
        <v>0</v>
      </c>
      <c r="M34" s="4">
        <f>VLOOKUP(B34,'68 - Summary Exhibit'!A:N,11,FALSE)</f>
        <v>0</v>
      </c>
      <c r="N34" s="4">
        <f>VLOOKUP(B34,'68 - Summary Exhibit'!A:N,12,FALSE)</f>
        <v>2972863</v>
      </c>
      <c r="O34" s="4">
        <f>VLOOKUP(B34,'68 - Summary Exhibit'!A:N,13,FALSE)</f>
        <v>157755</v>
      </c>
      <c r="P34" s="4">
        <f t="shared" si="0"/>
        <v>3130618</v>
      </c>
      <c r="Q34" s="4">
        <f>VLOOKUP(B34,'68- Deferred Amortization'!A:G,3,FALSE)</f>
        <v>1700927.8146684598</v>
      </c>
      <c r="R34" s="4">
        <f>VLOOKUP(B34,'68- Deferred Amortization'!A:G,4,FALSE)</f>
        <v>1027860.73916846</v>
      </c>
      <c r="S34" s="4">
        <f>VLOOKUP(B34,'68- Deferred Amortization'!A:G,5,FALSE)</f>
        <v>2231032.6762082232</v>
      </c>
      <c r="T34" s="4">
        <f>VLOOKUP(B34,'68- Deferred Amortization'!A:G,6,FALSE)</f>
        <v>137152.8015</v>
      </c>
      <c r="U34" s="4">
        <f>VLOOKUP(B34,'68- Deferred Amortization'!A:G,7,FALSE)</f>
        <v>0</v>
      </c>
      <c r="V34" s="4">
        <f t="shared" si="1"/>
        <v>0</v>
      </c>
      <c r="W34" s="4">
        <f t="shared" si="2"/>
        <v>0</v>
      </c>
      <c r="X34">
        <v>2</v>
      </c>
      <c r="AC34" s="6">
        <v>9185861</v>
      </c>
      <c r="AD34" s="6">
        <v>39996</v>
      </c>
      <c r="AE34" s="6">
        <v>3017005</v>
      </c>
      <c r="AF34" s="6">
        <v>724729</v>
      </c>
      <c r="AG34" s="4">
        <v>207609</v>
      </c>
      <c r="AH34" s="4">
        <v>125205</v>
      </c>
      <c r="AI34" s="4">
        <v>0</v>
      </c>
      <c r="AJ34" s="4">
        <v>0</v>
      </c>
      <c r="AK34" s="4">
        <v>81938</v>
      </c>
      <c r="AM34" s="4">
        <f t="shared" si="3"/>
        <v>418988</v>
      </c>
      <c r="AN34" s="4">
        <f t="shared" si="4"/>
        <v>-81938</v>
      </c>
      <c r="AO34" s="6">
        <f t="shared" si="5"/>
        <v>899864</v>
      </c>
      <c r="AP34" s="4">
        <f t="shared" si="6"/>
        <v>-40115</v>
      </c>
      <c r="AQ34" s="4">
        <f t="shared" si="7"/>
        <v>-319857</v>
      </c>
      <c r="AR34" s="4">
        <f t="shared" si="8"/>
        <v>0</v>
      </c>
      <c r="AS34" s="4">
        <f t="shared" si="9"/>
        <v>2342815</v>
      </c>
      <c r="AT34" s="4">
        <f t="shared" si="10"/>
        <v>193730</v>
      </c>
      <c r="AU34" s="4">
        <f t="shared" si="11"/>
        <v>0</v>
      </c>
    </row>
    <row r="35" spans="1:47">
      <c r="A35" t="s">
        <v>212</v>
      </c>
      <c r="B35">
        <v>36705</v>
      </c>
      <c r="C35" s="4">
        <f>VLOOKUP(B35,'ER Contributions'!A:D,4,FALSE)</f>
        <v>2846671</v>
      </c>
      <c r="D35" s="5">
        <f>VLOOKUP(B35,'ER Contributions'!A:D,3,FALSE)</f>
        <v>9.1889999999999995E-4</v>
      </c>
      <c r="E35" s="6">
        <f>VLOOKUP(B35,'68 - Summary Exhibit'!A:N,3,FALSE)</f>
        <v>15319885</v>
      </c>
      <c r="F35" s="6">
        <f>VLOOKUP(B35,'68 - Summary Exhibit'!A:N,4,FALSE)</f>
        <v>1248933</v>
      </c>
      <c r="G35" s="6">
        <f>VLOOKUP(B35,'68 - Summary Exhibit'!A:N,5,FALSE)</f>
        <v>4266587</v>
      </c>
      <c r="H35" s="6">
        <f>VLOOKUP(B35,'68 - Summary Exhibit'!A:N,6,FALSE)</f>
        <v>538014</v>
      </c>
      <c r="I35" s="4">
        <f>VLOOKUP(B35,'68 - Summary Exhibit'!A:N,7,FALSE)</f>
        <v>464500</v>
      </c>
      <c r="J35" s="4">
        <f>VLOOKUP(B35,'68 - Summary Exhibit'!A:N,8,FALSE)</f>
        <v>113072</v>
      </c>
      <c r="K35" s="4">
        <f>VLOOKUP(B35,'68 - Summary Exhibit'!A:N,9,FALSE)</f>
        <v>0</v>
      </c>
      <c r="L35" s="4">
        <f>VLOOKUP(B35,'68 - Summary Exhibit'!A:N,10,FALSE)</f>
        <v>0</v>
      </c>
      <c r="M35" s="4">
        <f>VLOOKUP(B35,'68 - Summary Exhibit'!A:N,11,FALSE)</f>
        <v>1287969</v>
      </c>
      <c r="N35" s="4">
        <f>VLOOKUP(B35,'68 - Summary Exhibit'!A:N,12,FALSE)</f>
        <v>3950490</v>
      </c>
      <c r="O35" s="4">
        <f>VLOOKUP(B35,'68 - Summary Exhibit'!A:N,13,FALSE)</f>
        <v>-407885</v>
      </c>
      <c r="P35" s="4">
        <f t="shared" ref="P35:P66" si="12">N35+O35</f>
        <v>3542605</v>
      </c>
      <c r="Q35" s="4">
        <f>VLOOKUP(B35,'68- Deferred Amortization'!A:G,3,FALSE)</f>
        <v>1661569.9052912104</v>
      </c>
      <c r="R35" s="4">
        <f>VLOOKUP(B35,'68- Deferred Amortization'!A:G,4,FALSE)</f>
        <v>915044.57199121045</v>
      </c>
      <c r="S35" s="4">
        <f>VLOOKUP(B35,'68- Deferred Amortization'!A:G,5,FALSE)</f>
        <v>2358123.8649165137</v>
      </c>
      <c r="T35" s="4">
        <f>VLOOKUP(B35,'68- Deferred Amortization'!A:G,6,FALSE)</f>
        <v>182255.54489999998</v>
      </c>
      <c r="U35" s="4">
        <f>VLOOKUP(B35,'68- Deferred Amortization'!A:G,7,FALSE)</f>
        <v>0</v>
      </c>
      <c r="V35" s="4">
        <f t="shared" si="1"/>
        <v>-1</v>
      </c>
      <c r="W35" s="4">
        <f t="shared" si="2"/>
        <v>-1</v>
      </c>
      <c r="X35">
        <v>2</v>
      </c>
      <c r="AC35" s="6">
        <v>16324978</v>
      </c>
      <c r="AD35" s="6">
        <v>71080</v>
      </c>
      <c r="AE35" s="6">
        <v>5361777</v>
      </c>
      <c r="AF35" s="6">
        <v>1287979</v>
      </c>
      <c r="AG35" s="4">
        <v>696750</v>
      </c>
      <c r="AH35" s="4">
        <v>222512</v>
      </c>
      <c r="AI35" s="4">
        <v>0</v>
      </c>
      <c r="AJ35" s="4">
        <v>0</v>
      </c>
      <c r="AK35" s="4">
        <v>377053</v>
      </c>
      <c r="AM35" s="4">
        <f t="shared" si="3"/>
        <v>-232250</v>
      </c>
      <c r="AN35" s="4">
        <f t="shared" si="4"/>
        <v>910916</v>
      </c>
      <c r="AO35" s="6">
        <f t="shared" si="5"/>
        <v>1177853</v>
      </c>
      <c r="AP35" s="4">
        <f t="shared" si="6"/>
        <v>-109440</v>
      </c>
      <c r="AQ35" s="4">
        <f t="shared" si="7"/>
        <v>-749965</v>
      </c>
      <c r="AR35" s="4">
        <f t="shared" si="8"/>
        <v>0</v>
      </c>
      <c r="AS35" s="4">
        <f t="shared" si="9"/>
        <v>-1005093</v>
      </c>
      <c r="AT35" s="4">
        <f t="shared" si="10"/>
        <v>-1095190</v>
      </c>
      <c r="AU35" s="4">
        <f t="shared" si="11"/>
        <v>0</v>
      </c>
    </row>
    <row r="36" spans="1:47">
      <c r="A36" t="s">
        <v>213</v>
      </c>
      <c r="B36">
        <v>37005</v>
      </c>
      <c r="C36" s="4">
        <f>VLOOKUP(B36,'ER Contributions'!A:D,4,FALSE)</f>
        <v>1897954</v>
      </c>
      <c r="D36" s="5">
        <f>VLOOKUP(B36,'ER Contributions'!A:D,3,FALSE)</f>
        <v>6.0959999999999996E-4</v>
      </c>
      <c r="E36" s="6">
        <f>VLOOKUP(B36,'68 - Summary Exhibit'!A:N,3,FALSE)</f>
        <v>10163241</v>
      </c>
      <c r="F36" s="6">
        <f>VLOOKUP(B36,'68 - Summary Exhibit'!A:N,4,FALSE)</f>
        <v>828545</v>
      </c>
      <c r="G36" s="6">
        <f>VLOOKUP(B36,'68 - Summary Exhibit'!A:N,5,FALSE)</f>
        <v>2830462</v>
      </c>
      <c r="H36" s="6">
        <f>VLOOKUP(B36,'68 - Summary Exhibit'!A:N,6,FALSE)</f>
        <v>356920</v>
      </c>
      <c r="I36" s="4">
        <f>VLOOKUP(B36,'68 - Summary Exhibit'!A:N,7,FALSE)</f>
        <v>464899</v>
      </c>
      <c r="J36" s="4">
        <f>VLOOKUP(B36,'68 - Summary Exhibit'!A:N,8,FALSE)</f>
        <v>75012</v>
      </c>
      <c r="K36" s="4">
        <f>VLOOKUP(B36,'68 - Summary Exhibit'!A:N,9,FALSE)</f>
        <v>0</v>
      </c>
      <c r="L36" s="4">
        <f>VLOOKUP(B36,'68 - Summary Exhibit'!A:N,10,FALSE)</f>
        <v>0</v>
      </c>
      <c r="M36" s="4">
        <f>VLOOKUP(B36,'68 - Summary Exhibit'!A:N,11,FALSE)</f>
        <v>0</v>
      </c>
      <c r="N36" s="4">
        <f>VLOOKUP(B36,'68 - Summary Exhibit'!A:N,12,FALSE)</f>
        <v>2620762</v>
      </c>
      <c r="O36" s="4">
        <f>VLOOKUP(B36,'68 - Summary Exhibit'!A:N,13,FALSE)</f>
        <v>282918</v>
      </c>
      <c r="P36" s="4">
        <f t="shared" si="12"/>
        <v>2903680</v>
      </c>
      <c r="Q36" s="4">
        <f>VLOOKUP(B36,'68- Deferred Amortization'!A:G,3,FALSE)</f>
        <v>1523545.6754988558</v>
      </c>
      <c r="R36" s="4">
        <f>VLOOKUP(B36,'68- Deferred Amortization'!A:G,4,FALSE)</f>
        <v>856728.74429885566</v>
      </c>
      <c r="S36" s="4">
        <f>VLOOKUP(B36,'68- Deferred Amortization'!A:G,5,FALSE)</f>
        <v>1904629.9494614115</v>
      </c>
      <c r="T36" s="4">
        <f>VLOOKUP(B36,'68- Deferred Amortization'!A:G,6,FALSE)</f>
        <v>120908.67359999999</v>
      </c>
      <c r="U36" s="4">
        <f>VLOOKUP(B36,'68- Deferred Amortization'!A:G,7,FALSE)</f>
        <v>0</v>
      </c>
      <c r="V36" s="4">
        <f t="shared" ref="V36:V67" si="13">ROUND(((F36-AD36)+(G36-AE36)+(H36-AF36)+(I36-AG36)+(AI36-K36)+P36-(E36-AC36)-(J36-AH36)-(M36-AK36)-C36),0)</f>
        <v>-1</v>
      </c>
      <c r="W36" s="4">
        <f t="shared" ref="W36:W67" si="14">ROUND((F36+G36+H36+I36-J36-K36-L36-M36-Q36-R36-S36-T36-U36),0)</f>
        <v>1</v>
      </c>
      <c r="X36">
        <v>2</v>
      </c>
      <c r="AC36" s="6">
        <v>8584750</v>
      </c>
      <c r="AD36" s="6">
        <v>37379</v>
      </c>
      <c r="AE36" s="6">
        <v>2819576</v>
      </c>
      <c r="AF36" s="6">
        <v>677304</v>
      </c>
      <c r="AG36" s="4">
        <v>415802</v>
      </c>
      <c r="AH36" s="4">
        <v>117011</v>
      </c>
      <c r="AI36" s="4">
        <v>0</v>
      </c>
      <c r="AJ36" s="4">
        <v>0</v>
      </c>
      <c r="AK36" s="4">
        <v>0</v>
      </c>
      <c r="AM36" s="4">
        <f t="shared" ref="AM36:AM67" si="15">I36-AG36</f>
        <v>49097</v>
      </c>
      <c r="AN36" s="4">
        <f t="shared" ref="AN36:AN67" si="16">M36-AK36</f>
        <v>0</v>
      </c>
      <c r="AO36" s="6">
        <f t="shared" ref="AO36:AO67" si="17">F36-AD36</f>
        <v>791166</v>
      </c>
      <c r="AP36" s="4">
        <f t="shared" ref="AP36:AP67" si="18">J36-AH36</f>
        <v>-41999</v>
      </c>
      <c r="AQ36" s="4">
        <f t="shared" ref="AQ36:AQ67" si="19">H36-AF36</f>
        <v>-320384</v>
      </c>
      <c r="AR36" s="4">
        <f t="shared" ref="AR36:AR67" si="20">L36-AJ36</f>
        <v>0</v>
      </c>
      <c r="AS36" s="4">
        <f t="shared" ref="AS36:AS67" si="21">E36-AC36</f>
        <v>1578491</v>
      </c>
      <c r="AT36" s="4">
        <f t="shared" ref="AT36:AT67" si="22">SUM(G36-AE36)</f>
        <v>10886</v>
      </c>
      <c r="AU36" s="4">
        <f t="shared" ref="AU36:AU67" si="23">SUM(K36-AI36)</f>
        <v>0</v>
      </c>
    </row>
    <row r="37" spans="1:47">
      <c r="A37" t="s">
        <v>214</v>
      </c>
      <c r="B37">
        <v>32505</v>
      </c>
      <c r="C37" s="4">
        <f>VLOOKUP(B37,'ER Contributions'!A:D,4,FALSE)</f>
        <v>2366168</v>
      </c>
      <c r="D37" s="5">
        <f>VLOOKUP(B37,'ER Contributions'!A:D,3,FALSE)</f>
        <v>7.7010000000000002E-4</v>
      </c>
      <c r="E37" s="6">
        <f>VLOOKUP(B37,'68 - Summary Exhibit'!A:N,3,FALSE)</f>
        <v>12839094</v>
      </c>
      <c r="F37" s="6">
        <f>VLOOKUP(B37,'68 - Summary Exhibit'!A:N,4,FALSE)</f>
        <v>1046690</v>
      </c>
      <c r="G37" s="6">
        <f>VLOOKUP(B37,'68 - Summary Exhibit'!A:N,5,FALSE)</f>
        <v>3575687</v>
      </c>
      <c r="H37" s="6">
        <f>VLOOKUP(B37,'68 - Summary Exhibit'!A:N,6,FALSE)</f>
        <v>450892</v>
      </c>
      <c r="I37" s="4">
        <f>VLOOKUP(B37,'68 - Summary Exhibit'!A:N,7,FALSE)</f>
        <v>224350</v>
      </c>
      <c r="J37" s="4">
        <f>VLOOKUP(B37,'68 - Summary Exhibit'!A:N,8,FALSE)</f>
        <v>94762</v>
      </c>
      <c r="K37" s="4">
        <f>VLOOKUP(B37,'68 - Summary Exhibit'!A:N,9,FALSE)</f>
        <v>0</v>
      </c>
      <c r="L37" s="4">
        <f>VLOOKUP(B37,'68 - Summary Exhibit'!A:N,10,FALSE)</f>
        <v>0</v>
      </c>
      <c r="M37" s="4">
        <f>VLOOKUP(B37,'68 - Summary Exhibit'!A:N,11,FALSE)</f>
        <v>0</v>
      </c>
      <c r="N37" s="4">
        <f>VLOOKUP(B37,'68 - Summary Exhibit'!A:N,12,FALSE)</f>
        <v>3310776</v>
      </c>
      <c r="O37" s="4">
        <f>VLOOKUP(B37,'68 - Summary Exhibit'!A:N,13,FALSE)</f>
        <v>121928</v>
      </c>
      <c r="P37" s="4">
        <f t="shared" si="12"/>
        <v>3432704</v>
      </c>
      <c r="Q37" s="4">
        <f>VLOOKUP(B37,'68- Deferred Amortization'!A:G,3,FALSE)</f>
        <v>1750534.9297803738</v>
      </c>
      <c r="R37" s="4">
        <f>VLOOKUP(B37,'68- Deferred Amortization'!A:G,4,FALSE)</f>
        <v>958568.43008037366</v>
      </c>
      <c r="S37" s="4">
        <f>VLOOKUP(B37,'68- Deferred Amortization'!A:G,5,FALSE)</f>
        <v>2341010.9061988778</v>
      </c>
      <c r="T37" s="4">
        <f>VLOOKUP(B37,'68- Deferred Amortization'!A:G,6,FALSE)</f>
        <v>152742.40410000001</v>
      </c>
      <c r="U37" s="4">
        <f>VLOOKUP(B37,'68- Deferred Amortization'!A:G,7,FALSE)</f>
        <v>0</v>
      </c>
      <c r="V37" s="4">
        <f t="shared" si="13"/>
        <v>2</v>
      </c>
      <c r="W37" s="4">
        <f t="shared" si="14"/>
        <v>0</v>
      </c>
      <c r="X37">
        <v>2</v>
      </c>
      <c r="AC37" s="6">
        <v>11225185</v>
      </c>
      <c r="AD37" s="6">
        <v>48875</v>
      </c>
      <c r="AE37" s="6">
        <v>3686801</v>
      </c>
      <c r="AF37" s="6">
        <v>885624</v>
      </c>
      <c r="AG37" s="4">
        <v>188464</v>
      </c>
      <c r="AH37" s="4">
        <v>153001</v>
      </c>
      <c r="AI37" s="4">
        <v>0</v>
      </c>
      <c r="AJ37" s="4">
        <v>0</v>
      </c>
      <c r="AK37" s="4">
        <v>1281</v>
      </c>
      <c r="AM37" s="4">
        <f t="shared" si="15"/>
        <v>35886</v>
      </c>
      <c r="AN37" s="4">
        <f t="shared" si="16"/>
        <v>-1281</v>
      </c>
      <c r="AO37" s="6">
        <f t="shared" si="17"/>
        <v>997815</v>
      </c>
      <c r="AP37" s="4">
        <f t="shared" si="18"/>
        <v>-58239</v>
      </c>
      <c r="AQ37" s="4">
        <f t="shared" si="19"/>
        <v>-434732</v>
      </c>
      <c r="AR37" s="4">
        <f t="shared" si="20"/>
        <v>0</v>
      </c>
      <c r="AS37" s="4">
        <f t="shared" si="21"/>
        <v>1613909</v>
      </c>
      <c r="AT37" s="4">
        <f t="shared" si="22"/>
        <v>-111114</v>
      </c>
      <c r="AU37" s="4">
        <f t="shared" si="23"/>
        <v>0</v>
      </c>
    </row>
    <row r="38" spans="1:47">
      <c r="A38" t="s">
        <v>215</v>
      </c>
      <c r="B38">
        <v>32905</v>
      </c>
      <c r="C38" s="4">
        <f>VLOOKUP(B38,'ER Contributions'!A:D,4,FALSE)</f>
        <v>2693340</v>
      </c>
      <c r="D38" s="5">
        <f>VLOOKUP(B38,'ER Contributions'!A:D,3,FALSE)</f>
        <v>8.6970000000000005E-4</v>
      </c>
      <c r="E38" s="6">
        <f>VLOOKUP(B38,'68 - Summary Exhibit'!A:N,3,FALSE)</f>
        <v>14499624</v>
      </c>
      <c r="F38" s="6">
        <f>VLOOKUP(B38,'68 - Summary Exhibit'!A:N,4,FALSE)</f>
        <v>1182062</v>
      </c>
      <c r="G38" s="6">
        <f>VLOOKUP(B38,'68 - Summary Exhibit'!A:N,5,FALSE)</f>
        <v>4038144</v>
      </c>
      <c r="H38" s="6">
        <f>VLOOKUP(B38,'68 - Summary Exhibit'!A:N,6,FALSE)</f>
        <v>509208</v>
      </c>
      <c r="I38" s="4">
        <f>VLOOKUP(B38,'68 - Summary Exhibit'!A:N,7,FALSE)</f>
        <v>103567</v>
      </c>
      <c r="J38" s="4">
        <f>VLOOKUP(B38,'68 - Summary Exhibit'!A:N,8,FALSE)</f>
        <v>107017</v>
      </c>
      <c r="K38" s="4">
        <f>VLOOKUP(B38,'68 - Summary Exhibit'!A:N,9,FALSE)</f>
        <v>0</v>
      </c>
      <c r="L38" s="4">
        <f>VLOOKUP(B38,'68 - Summary Exhibit'!A:N,10,FALSE)</f>
        <v>0</v>
      </c>
      <c r="M38" s="4">
        <f>VLOOKUP(B38,'68 - Summary Exhibit'!A:N,11,FALSE)</f>
        <v>0</v>
      </c>
      <c r="N38" s="4">
        <f>VLOOKUP(B38,'68 - Summary Exhibit'!A:N,12,FALSE)</f>
        <v>3738972</v>
      </c>
      <c r="O38" s="4">
        <f>VLOOKUP(B38,'68 - Summary Exhibit'!A:N,13,FALSE)</f>
        <v>55086</v>
      </c>
      <c r="P38" s="4">
        <f t="shared" si="12"/>
        <v>3794058</v>
      </c>
      <c r="Q38" s="4">
        <f>VLOOKUP(B38,'68- Deferred Amortization'!A:G,3,FALSE)</f>
        <v>1900142.3179566828</v>
      </c>
      <c r="R38" s="4">
        <f>VLOOKUP(B38,'68- Deferred Amortization'!A:G,4,FALSE)</f>
        <v>1042414.3570566826</v>
      </c>
      <c r="S38" s="4">
        <f>VLOOKUP(B38,'68- Deferred Amortization'!A:G,5,FALSE)</f>
        <v>2610909.9815887152</v>
      </c>
      <c r="T38" s="4">
        <f>VLOOKUP(B38,'68- Deferred Amortization'!A:G,6,FALSE)</f>
        <v>172497.16770000002</v>
      </c>
      <c r="U38" s="4">
        <f>VLOOKUP(B38,'68- Deferred Amortization'!A:G,7,FALSE)</f>
        <v>0</v>
      </c>
      <c r="V38" s="4">
        <f t="shared" si="13"/>
        <v>1</v>
      </c>
      <c r="W38" s="4">
        <f t="shared" si="14"/>
        <v>0</v>
      </c>
      <c r="X38">
        <v>2</v>
      </c>
      <c r="AC38" s="6">
        <v>12930558</v>
      </c>
      <c r="AD38" s="6">
        <v>56300</v>
      </c>
      <c r="AE38" s="6">
        <v>4246914</v>
      </c>
      <c r="AF38" s="6">
        <v>1020172</v>
      </c>
      <c r="AG38" s="4">
        <v>117734</v>
      </c>
      <c r="AH38" s="4">
        <v>176246</v>
      </c>
      <c r="AI38" s="4">
        <v>0</v>
      </c>
      <c r="AJ38" s="4">
        <v>0</v>
      </c>
      <c r="AK38" s="4">
        <v>7259</v>
      </c>
      <c r="AM38" s="4">
        <f t="shared" si="15"/>
        <v>-14167</v>
      </c>
      <c r="AN38" s="4">
        <f t="shared" si="16"/>
        <v>-7259</v>
      </c>
      <c r="AO38" s="6">
        <f t="shared" si="17"/>
        <v>1125762</v>
      </c>
      <c r="AP38" s="4">
        <f t="shared" si="18"/>
        <v>-69229</v>
      </c>
      <c r="AQ38" s="4">
        <f t="shared" si="19"/>
        <v>-510964</v>
      </c>
      <c r="AR38" s="4">
        <f t="shared" si="20"/>
        <v>0</v>
      </c>
      <c r="AS38" s="4">
        <f t="shared" si="21"/>
        <v>1569066</v>
      </c>
      <c r="AT38" s="4">
        <f t="shared" si="22"/>
        <v>-208770</v>
      </c>
      <c r="AU38" s="4">
        <f t="shared" si="23"/>
        <v>0</v>
      </c>
    </row>
    <row r="39" spans="1:47">
      <c r="A39" t="s">
        <v>216</v>
      </c>
      <c r="B39">
        <v>33205</v>
      </c>
      <c r="C39" s="4">
        <f>VLOOKUP(B39,'ER Contributions'!A:D,4,FALSE)</f>
        <v>4119476</v>
      </c>
      <c r="D39" s="5">
        <f>VLOOKUP(B39,'ER Contributions'!A:D,3,FALSE)</f>
        <v>1.3216E-3</v>
      </c>
      <c r="E39" s="6">
        <f>VLOOKUP(B39,'68 - Summary Exhibit'!A:N,3,FALSE)</f>
        <v>22033693</v>
      </c>
      <c r="F39" s="6">
        <f>VLOOKUP(B39,'68 - Summary Exhibit'!A:N,4,FALSE)</f>
        <v>1796267</v>
      </c>
      <c r="G39" s="6">
        <f>VLOOKUP(B39,'68 - Summary Exhibit'!A:N,5,FALSE)</f>
        <v>6136382</v>
      </c>
      <c r="H39" s="6">
        <f>VLOOKUP(B39,'68 - Summary Exhibit'!A:N,6,FALSE)</f>
        <v>773794</v>
      </c>
      <c r="I39" s="4">
        <f>VLOOKUP(B39,'68 - Summary Exhibit'!A:N,7,FALSE)</f>
        <v>697587</v>
      </c>
      <c r="J39" s="4">
        <f>VLOOKUP(B39,'68 - Summary Exhibit'!A:N,8,FALSE)</f>
        <v>162624</v>
      </c>
      <c r="K39" s="4">
        <f>VLOOKUP(B39,'68 - Summary Exhibit'!A:N,9,FALSE)</f>
        <v>0</v>
      </c>
      <c r="L39" s="4">
        <f>VLOOKUP(B39,'68 - Summary Exhibit'!A:N,10,FALSE)</f>
        <v>0</v>
      </c>
      <c r="M39" s="4">
        <f>VLOOKUP(B39,'68 - Summary Exhibit'!A:N,11,FALSE)</f>
        <v>0</v>
      </c>
      <c r="N39" s="4">
        <f>VLOOKUP(B39,'68 - Summary Exhibit'!A:N,12,FALSE)</f>
        <v>5681758</v>
      </c>
      <c r="O39" s="4">
        <f>VLOOKUP(B39,'68 - Summary Exhibit'!A:N,13,FALSE)</f>
        <v>424066</v>
      </c>
      <c r="P39" s="4">
        <f t="shared" si="12"/>
        <v>6105824</v>
      </c>
      <c r="Q39" s="4">
        <f>VLOOKUP(B39,'68- Deferred Amortization'!A:G,3,FALSE)</f>
        <v>3141149.0643883417</v>
      </c>
      <c r="R39" s="4">
        <f>VLOOKUP(B39,'68- Deferred Amortization'!A:G,4,FALSE)</f>
        <v>1744465.0691883415</v>
      </c>
      <c r="S39" s="4">
        <f>VLOOKUP(B39,'68- Deferred Amortization'!A:G,5,FALSE)</f>
        <v>4093664.5271165525</v>
      </c>
      <c r="T39" s="4">
        <f>VLOOKUP(B39,'68- Deferred Amortization'!A:G,6,FALSE)</f>
        <v>262127.4656</v>
      </c>
      <c r="U39" s="4">
        <f>VLOOKUP(B39,'68- Deferred Amortization'!A:G,7,FALSE)</f>
        <v>0</v>
      </c>
      <c r="V39" s="4">
        <f t="shared" si="13"/>
        <v>1</v>
      </c>
      <c r="W39" s="4">
        <f t="shared" si="14"/>
        <v>0</v>
      </c>
      <c r="X39">
        <v>2</v>
      </c>
      <c r="AC39" s="6">
        <v>18855579</v>
      </c>
      <c r="AD39" s="6">
        <v>82098</v>
      </c>
      <c r="AE39" s="6">
        <v>6192928</v>
      </c>
      <c r="AF39" s="6">
        <v>1487633</v>
      </c>
      <c r="AG39" s="4">
        <v>543984</v>
      </c>
      <c r="AH39" s="4">
        <v>257004</v>
      </c>
      <c r="AI39" s="4">
        <v>0</v>
      </c>
      <c r="AJ39" s="4">
        <v>0</v>
      </c>
      <c r="AK39" s="4">
        <v>0</v>
      </c>
      <c r="AM39" s="4">
        <f t="shared" si="15"/>
        <v>153603</v>
      </c>
      <c r="AN39" s="4">
        <f t="shared" si="16"/>
        <v>0</v>
      </c>
      <c r="AO39" s="6">
        <f t="shared" si="17"/>
        <v>1714169</v>
      </c>
      <c r="AP39" s="4">
        <f t="shared" si="18"/>
        <v>-94380</v>
      </c>
      <c r="AQ39" s="4">
        <f t="shared" si="19"/>
        <v>-713839</v>
      </c>
      <c r="AR39" s="4">
        <f t="shared" si="20"/>
        <v>0</v>
      </c>
      <c r="AS39" s="4">
        <f t="shared" si="21"/>
        <v>3178114</v>
      </c>
      <c r="AT39" s="4">
        <f t="shared" si="22"/>
        <v>-56546</v>
      </c>
      <c r="AU39" s="4">
        <f t="shared" si="23"/>
        <v>0</v>
      </c>
    </row>
    <row r="40" spans="1:47">
      <c r="A40" t="s">
        <v>217</v>
      </c>
      <c r="B40">
        <v>33305</v>
      </c>
      <c r="C40" s="4">
        <f>VLOOKUP(B40,'ER Contributions'!A:D,4,FALSE)</f>
        <v>1475070</v>
      </c>
      <c r="D40" s="5">
        <f>VLOOKUP(B40,'ER Contributions'!A:D,3,FALSE)</f>
        <v>4.661E-4</v>
      </c>
      <c r="E40" s="6">
        <f>VLOOKUP(B40,'68 - Summary Exhibit'!A:N,3,FALSE)</f>
        <v>7770811</v>
      </c>
      <c r="F40" s="6">
        <f>VLOOKUP(B40,'68 - Summary Exhibit'!A:N,4,FALSE)</f>
        <v>633505</v>
      </c>
      <c r="G40" s="6">
        <f>VLOOKUP(B40,'68 - Summary Exhibit'!A:N,5,FALSE)</f>
        <v>2164170</v>
      </c>
      <c r="H40" s="6">
        <f>VLOOKUP(B40,'68 - Summary Exhibit'!A:N,6,FALSE)</f>
        <v>272901</v>
      </c>
      <c r="I40" s="4">
        <f>VLOOKUP(B40,'68 - Summary Exhibit'!A:N,7,FALSE)</f>
        <v>319850</v>
      </c>
      <c r="J40" s="4">
        <f>VLOOKUP(B40,'68 - Summary Exhibit'!A:N,8,FALSE)</f>
        <v>57354</v>
      </c>
      <c r="K40" s="4">
        <f>VLOOKUP(B40,'68 - Summary Exhibit'!A:N,9,FALSE)</f>
        <v>0</v>
      </c>
      <c r="L40" s="4">
        <f>VLOOKUP(B40,'68 - Summary Exhibit'!A:N,10,FALSE)</f>
        <v>0</v>
      </c>
      <c r="M40" s="4">
        <f>VLOOKUP(B40,'68 - Summary Exhibit'!A:N,11,FALSE)</f>
        <v>55586</v>
      </c>
      <c r="N40" s="4">
        <f>VLOOKUP(B40,'68 - Summary Exhibit'!A:N,12,FALSE)</f>
        <v>2003834</v>
      </c>
      <c r="O40" s="4">
        <f>VLOOKUP(B40,'68 - Summary Exhibit'!A:N,13,FALSE)</f>
        <v>-21703</v>
      </c>
      <c r="P40" s="4">
        <f t="shared" si="12"/>
        <v>1982131</v>
      </c>
      <c r="Q40" s="4">
        <f>VLOOKUP(B40,'68- Deferred Amortization'!A:G,3,FALSE)</f>
        <v>1040991.4522243517</v>
      </c>
      <c r="R40" s="4">
        <f>VLOOKUP(B40,'68- Deferred Amortization'!A:G,4,FALSE)</f>
        <v>654669.44052435167</v>
      </c>
      <c r="S40" s="4">
        <f>VLOOKUP(B40,'68- Deferred Amortization'!A:G,5,FALSE)</f>
        <v>1489378.4102009982</v>
      </c>
      <c r="T40" s="4">
        <f>VLOOKUP(B40,'68- Deferred Amortization'!A:G,6,FALSE)</f>
        <v>92446.740099999995</v>
      </c>
      <c r="U40" s="4">
        <f>VLOOKUP(B40,'68- Deferred Amortization'!A:G,7,FALSE)</f>
        <v>0</v>
      </c>
      <c r="V40" s="4">
        <f t="shared" si="13"/>
        <v>0</v>
      </c>
      <c r="W40" s="4">
        <f t="shared" si="14"/>
        <v>0</v>
      </c>
      <c r="X40">
        <v>2</v>
      </c>
      <c r="AC40" s="6">
        <v>6383647</v>
      </c>
      <c r="AD40" s="6">
        <v>27795</v>
      </c>
      <c r="AE40" s="6">
        <v>2096645</v>
      </c>
      <c r="AF40" s="6">
        <v>503645</v>
      </c>
      <c r="AG40" s="4">
        <v>45240</v>
      </c>
      <c r="AH40" s="4">
        <v>87010</v>
      </c>
      <c r="AI40" s="4">
        <v>0</v>
      </c>
      <c r="AJ40" s="4">
        <v>0</v>
      </c>
      <c r="AK40" s="4">
        <v>188932</v>
      </c>
      <c r="AM40" s="4">
        <f t="shared" si="15"/>
        <v>274610</v>
      </c>
      <c r="AN40" s="4">
        <f t="shared" si="16"/>
        <v>-133346</v>
      </c>
      <c r="AO40" s="6">
        <f t="shared" si="17"/>
        <v>605710</v>
      </c>
      <c r="AP40" s="4">
        <f t="shared" si="18"/>
        <v>-29656</v>
      </c>
      <c r="AQ40" s="4">
        <f t="shared" si="19"/>
        <v>-230744</v>
      </c>
      <c r="AR40" s="4">
        <f t="shared" si="20"/>
        <v>0</v>
      </c>
      <c r="AS40" s="4">
        <f t="shared" si="21"/>
        <v>1387164</v>
      </c>
      <c r="AT40" s="4">
        <f t="shared" si="22"/>
        <v>67525</v>
      </c>
      <c r="AU40" s="4">
        <f t="shared" si="23"/>
        <v>0</v>
      </c>
    </row>
    <row r="41" spans="1:47">
      <c r="A41" t="s">
        <v>218</v>
      </c>
      <c r="B41">
        <v>32605</v>
      </c>
      <c r="C41" s="4">
        <f>VLOOKUP(B41,'ER Contributions'!A:D,4,FALSE)</f>
        <v>9293259</v>
      </c>
      <c r="D41" s="5">
        <f>VLOOKUP(B41,'ER Contributions'!A:D,3,FALSE)</f>
        <v>3.0879000000000002E-3</v>
      </c>
      <c r="E41" s="6">
        <f>VLOOKUP(B41,'68 - Summary Exhibit'!A:N,3,FALSE)</f>
        <v>51481416</v>
      </c>
      <c r="F41" s="6">
        <f>VLOOKUP(B41,'68 - Summary Exhibit'!A:N,4,FALSE)</f>
        <v>4196953</v>
      </c>
      <c r="G41" s="6">
        <f>VLOOKUP(B41,'68 - Summary Exhibit'!A:N,5,FALSE)</f>
        <v>14337571</v>
      </c>
      <c r="H41" s="6">
        <f>VLOOKUP(B41,'68 - Summary Exhibit'!A:N,6,FALSE)</f>
        <v>1807959</v>
      </c>
      <c r="I41" s="4">
        <f>VLOOKUP(B41,'68 - Summary Exhibit'!A:N,7,FALSE)</f>
        <v>2671220</v>
      </c>
      <c r="J41" s="4">
        <f>VLOOKUP(B41,'68 - Summary Exhibit'!A:N,8,FALSE)</f>
        <v>379969</v>
      </c>
      <c r="K41" s="4">
        <f>VLOOKUP(B41,'68 - Summary Exhibit'!A:N,9,FALSE)</f>
        <v>0</v>
      </c>
      <c r="L41" s="4">
        <f>VLOOKUP(B41,'68 - Summary Exhibit'!A:N,10,FALSE)</f>
        <v>0</v>
      </c>
      <c r="M41" s="4">
        <f>VLOOKUP(B41,'68 - Summary Exhibit'!A:N,11,FALSE)</f>
        <v>0</v>
      </c>
      <c r="N41" s="4">
        <f>VLOOKUP(B41,'68 - Summary Exhibit'!A:N,12,FALSE)</f>
        <v>13275348</v>
      </c>
      <c r="O41" s="4">
        <f>VLOOKUP(B41,'68 - Summary Exhibit'!A:N,13,FALSE)</f>
        <v>1541158</v>
      </c>
      <c r="P41" s="4">
        <f t="shared" si="12"/>
        <v>14816506</v>
      </c>
      <c r="Q41" s="4">
        <f>VLOOKUP(B41,'68- Deferred Amortization'!A:G,3,FALSE)</f>
        <v>7789780.4674078068</v>
      </c>
      <c r="R41" s="4">
        <f>VLOOKUP(B41,'68- Deferred Amortization'!A:G,4,FALSE)</f>
        <v>4380302.7411078075</v>
      </c>
      <c r="S41" s="4">
        <f>VLOOKUP(B41,'68- Deferred Amortization'!A:G,5,FALSE)</f>
        <v>9851193.9913635068</v>
      </c>
      <c r="T41" s="4">
        <f>VLOOKUP(B41,'68- Deferred Amortization'!A:G,6,FALSE)</f>
        <v>612457.17390000005</v>
      </c>
      <c r="U41" s="4">
        <f>VLOOKUP(B41,'68- Deferred Amortization'!A:G,7,FALSE)</f>
        <v>0</v>
      </c>
      <c r="V41" s="4">
        <f t="shared" si="13"/>
        <v>0</v>
      </c>
      <c r="W41" s="4">
        <f t="shared" si="14"/>
        <v>0</v>
      </c>
      <c r="X41">
        <v>2</v>
      </c>
      <c r="AC41" s="6">
        <v>41601309</v>
      </c>
      <c r="AD41" s="6">
        <v>181135</v>
      </c>
      <c r="AE41" s="6">
        <v>13663538</v>
      </c>
      <c r="AF41" s="6">
        <v>3282185</v>
      </c>
      <c r="AG41" s="4">
        <v>1717048</v>
      </c>
      <c r="AH41" s="4">
        <v>567032</v>
      </c>
      <c r="AI41" s="4">
        <v>0</v>
      </c>
      <c r="AJ41" s="4">
        <v>0</v>
      </c>
      <c r="AK41" s="4">
        <v>0</v>
      </c>
      <c r="AM41" s="4">
        <f t="shared" si="15"/>
        <v>954172</v>
      </c>
      <c r="AN41" s="4">
        <f t="shared" si="16"/>
        <v>0</v>
      </c>
      <c r="AO41" s="6">
        <f t="shared" si="17"/>
        <v>4015818</v>
      </c>
      <c r="AP41" s="4">
        <f t="shared" si="18"/>
        <v>-187063</v>
      </c>
      <c r="AQ41" s="4">
        <f t="shared" si="19"/>
        <v>-1474226</v>
      </c>
      <c r="AR41" s="4">
        <f t="shared" si="20"/>
        <v>0</v>
      </c>
      <c r="AS41" s="4">
        <f t="shared" si="21"/>
        <v>9880107</v>
      </c>
      <c r="AT41" s="4">
        <f t="shared" si="22"/>
        <v>674033</v>
      </c>
      <c r="AU41" s="4">
        <f t="shared" si="23"/>
        <v>0</v>
      </c>
    </row>
    <row r="42" spans="1:47">
      <c r="A42" t="s">
        <v>219</v>
      </c>
      <c r="B42">
        <v>33405</v>
      </c>
      <c r="C42" s="4">
        <f>VLOOKUP(B42,'ER Contributions'!A:D,4,FALSE)</f>
        <v>5853190</v>
      </c>
      <c r="D42" s="5">
        <f>VLOOKUP(B42,'ER Contributions'!A:D,3,FALSE)</f>
        <v>1.8741000000000001E-3</v>
      </c>
      <c r="E42" s="6">
        <f>VLOOKUP(B42,'68 - Summary Exhibit'!A:N,3,FALSE)</f>
        <v>31244963</v>
      </c>
      <c r="F42" s="6">
        <f>VLOOKUP(B42,'68 - Summary Exhibit'!A:N,4,FALSE)</f>
        <v>2547204</v>
      </c>
      <c r="G42" s="6">
        <f>VLOOKUP(B42,'68 - Summary Exhibit'!A:N,5,FALSE)</f>
        <v>8701720</v>
      </c>
      <c r="H42" s="6">
        <f>VLOOKUP(B42,'68 - Summary Exhibit'!A:N,6,FALSE)</f>
        <v>1097282</v>
      </c>
      <c r="I42" s="4">
        <f>VLOOKUP(B42,'68 - Summary Exhibit'!A:N,7,FALSE)</f>
        <v>417026</v>
      </c>
      <c r="J42" s="4">
        <f>VLOOKUP(B42,'68 - Summary Exhibit'!A:N,8,FALSE)</f>
        <v>230610</v>
      </c>
      <c r="K42" s="4">
        <f>VLOOKUP(B42,'68 - Summary Exhibit'!A:N,9,FALSE)</f>
        <v>0</v>
      </c>
      <c r="L42" s="4">
        <f>VLOOKUP(B42,'68 - Summary Exhibit'!A:N,10,FALSE)</f>
        <v>0</v>
      </c>
      <c r="M42" s="4">
        <f>VLOOKUP(B42,'68 - Summary Exhibit'!A:N,11,FALSE)</f>
        <v>172644</v>
      </c>
      <c r="N42" s="4">
        <f>VLOOKUP(B42,'68 - Summary Exhibit'!A:N,12,FALSE)</f>
        <v>8057039</v>
      </c>
      <c r="O42" s="4">
        <f>VLOOKUP(B42,'68 - Summary Exhibit'!A:N,13,FALSE)</f>
        <v>231442</v>
      </c>
      <c r="P42" s="4">
        <f t="shared" si="12"/>
        <v>8288481</v>
      </c>
      <c r="Q42" s="4">
        <f>VLOOKUP(B42,'68- Deferred Amortization'!A:G,3,FALSE)</f>
        <v>4161938.7096569799</v>
      </c>
      <c r="R42" s="4">
        <f>VLOOKUP(B42,'68- Deferred Amortization'!A:G,4,FALSE)</f>
        <v>2161583.1219569799</v>
      </c>
      <c r="S42" s="4">
        <f>VLOOKUP(B42,'68- Deferred Amortization'!A:G,5,FALSE)</f>
        <v>5664745.3543347586</v>
      </c>
      <c r="T42" s="4">
        <f>VLOOKUP(B42,'68- Deferred Amortization'!A:G,6,FALSE)</f>
        <v>371710.86810000002</v>
      </c>
      <c r="U42" s="4">
        <f>VLOOKUP(B42,'68- Deferred Amortization'!A:G,7,FALSE)</f>
        <v>0</v>
      </c>
      <c r="V42" s="4">
        <f t="shared" si="13"/>
        <v>1</v>
      </c>
      <c r="W42" s="4">
        <f t="shared" si="14"/>
        <v>0</v>
      </c>
      <c r="X42">
        <v>2</v>
      </c>
      <c r="AC42" s="6">
        <v>27689679</v>
      </c>
      <c r="AD42" s="6">
        <v>120563</v>
      </c>
      <c r="AE42" s="6">
        <v>9094401</v>
      </c>
      <c r="AF42" s="6">
        <v>2184610</v>
      </c>
      <c r="AG42" s="4">
        <v>476791</v>
      </c>
      <c r="AH42" s="4">
        <v>377415</v>
      </c>
      <c r="AI42" s="4">
        <v>0</v>
      </c>
      <c r="AJ42" s="4">
        <v>0</v>
      </c>
      <c r="AK42" s="4">
        <v>258966</v>
      </c>
      <c r="AM42" s="4">
        <f t="shared" si="15"/>
        <v>-59765</v>
      </c>
      <c r="AN42" s="4">
        <f t="shared" si="16"/>
        <v>-86322</v>
      </c>
      <c r="AO42" s="6">
        <f t="shared" si="17"/>
        <v>2426641</v>
      </c>
      <c r="AP42" s="4">
        <f t="shared" si="18"/>
        <v>-146805</v>
      </c>
      <c r="AQ42" s="4">
        <f t="shared" si="19"/>
        <v>-1087328</v>
      </c>
      <c r="AR42" s="4">
        <f t="shared" si="20"/>
        <v>0</v>
      </c>
      <c r="AS42" s="4">
        <f t="shared" si="21"/>
        <v>3555284</v>
      </c>
      <c r="AT42" s="4">
        <f t="shared" si="22"/>
        <v>-392681</v>
      </c>
      <c r="AU42" s="4">
        <f t="shared" si="23"/>
        <v>0</v>
      </c>
    </row>
    <row r="43" spans="1:47">
      <c r="A43" t="s">
        <v>220</v>
      </c>
      <c r="B43">
        <v>33605</v>
      </c>
      <c r="C43" s="4">
        <f>VLOOKUP(B43,'ER Contributions'!A:D,4,FALSE)</f>
        <v>4508017</v>
      </c>
      <c r="D43" s="5">
        <f>VLOOKUP(B43,'ER Contributions'!A:D,3,FALSE)</f>
        <v>1.3082E-3</v>
      </c>
      <c r="E43" s="6">
        <f>VLOOKUP(B43,'68 - Summary Exhibit'!A:N,3,FALSE)</f>
        <v>21810288</v>
      </c>
      <c r="F43" s="6">
        <f>VLOOKUP(B43,'68 - Summary Exhibit'!A:N,4,FALSE)</f>
        <v>1778054</v>
      </c>
      <c r="G43" s="6">
        <f>VLOOKUP(B43,'68 - Summary Exhibit'!A:N,5,FALSE)</f>
        <v>6074164</v>
      </c>
      <c r="H43" s="6">
        <f>VLOOKUP(B43,'68 - Summary Exhibit'!A:N,6,FALSE)</f>
        <v>765948</v>
      </c>
      <c r="I43" s="4">
        <f>VLOOKUP(B43,'68 - Summary Exhibit'!A:N,7,FALSE)</f>
        <v>1127820</v>
      </c>
      <c r="J43" s="4">
        <f>VLOOKUP(B43,'68 - Summary Exhibit'!A:N,8,FALSE)</f>
        <v>160975</v>
      </c>
      <c r="K43" s="4">
        <f>VLOOKUP(B43,'68 - Summary Exhibit'!A:N,9,FALSE)</f>
        <v>0</v>
      </c>
      <c r="L43" s="4">
        <f>VLOOKUP(B43,'68 - Summary Exhibit'!A:N,10,FALSE)</f>
        <v>0</v>
      </c>
      <c r="M43" s="4">
        <f>VLOOKUP(B43,'68 - Summary Exhibit'!A:N,11,FALSE)</f>
        <v>0</v>
      </c>
      <c r="N43" s="4">
        <f>VLOOKUP(B43,'68 - Summary Exhibit'!A:N,12,FALSE)</f>
        <v>5624149</v>
      </c>
      <c r="O43" s="4">
        <f>VLOOKUP(B43,'68 - Summary Exhibit'!A:N,13,FALSE)</f>
        <v>449585</v>
      </c>
      <c r="P43" s="4">
        <f t="shared" si="12"/>
        <v>6073734</v>
      </c>
      <c r="Q43" s="4">
        <f>VLOOKUP(B43,'68- Deferred Amortization'!A:G,3,FALSE)</f>
        <v>3249110.4677194175</v>
      </c>
      <c r="R43" s="4">
        <f>VLOOKUP(B43,'68- Deferred Amortization'!A:G,4,FALSE)</f>
        <v>1885606.9723194176</v>
      </c>
      <c r="S43" s="4">
        <f>VLOOKUP(B43,'68- Deferred Amortization'!A:G,5,FALSE)</f>
        <v>4190824.021398217</v>
      </c>
      <c r="T43" s="4">
        <f>VLOOKUP(B43,'68- Deferred Amortization'!A:G,6,FALSE)</f>
        <v>259469.69620000001</v>
      </c>
      <c r="U43" s="4">
        <f>VLOOKUP(B43,'68- Deferred Amortization'!A:G,7,FALSE)</f>
        <v>0</v>
      </c>
      <c r="V43" s="4">
        <f t="shared" si="13"/>
        <v>0</v>
      </c>
      <c r="W43" s="4">
        <f t="shared" si="14"/>
        <v>0</v>
      </c>
      <c r="X43">
        <v>2</v>
      </c>
      <c r="AC43" s="6">
        <v>18457807</v>
      </c>
      <c r="AD43" s="6">
        <v>80366</v>
      </c>
      <c r="AE43" s="6">
        <v>6062284</v>
      </c>
      <c r="AF43" s="6">
        <v>1456251</v>
      </c>
      <c r="AG43" s="4">
        <v>486047</v>
      </c>
      <c r="AH43" s="4">
        <v>251583</v>
      </c>
      <c r="AI43" s="4">
        <v>0</v>
      </c>
      <c r="AJ43" s="4">
        <v>0</v>
      </c>
      <c r="AK43" s="4">
        <v>35118</v>
      </c>
      <c r="AM43" s="4">
        <f t="shared" si="15"/>
        <v>641773</v>
      </c>
      <c r="AN43" s="4">
        <f t="shared" si="16"/>
        <v>-35118</v>
      </c>
      <c r="AO43" s="6">
        <f t="shared" si="17"/>
        <v>1697688</v>
      </c>
      <c r="AP43" s="4">
        <f t="shared" si="18"/>
        <v>-90608</v>
      </c>
      <c r="AQ43" s="4">
        <f t="shared" si="19"/>
        <v>-690303</v>
      </c>
      <c r="AR43" s="4">
        <f t="shared" si="20"/>
        <v>0</v>
      </c>
      <c r="AS43" s="4">
        <f t="shared" si="21"/>
        <v>3352481</v>
      </c>
      <c r="AT43" s="4">
        <f t="shared" si="22"/>
        <v>11880</v>
      </c>
      <c r="AU43" s="4">
        <f t="shared" si="23"/>
        <v>0</v>
      </c>
    </row>
    <row r="44" spans="1:47">
      <c r="A44" t="s">
        <v>221</v>
      </c>
      <c r="B44">
        <v>34105</v>
      </c>
      <c r="C44" s="4">
        <f>VLOOKUP(B44,'ER Contributions'!A:D,4,FALSE)</f>
        <v>7332398</v>
      </c>
      <c r="D44" s="5">
        <f>VLOOKUP(B44,'ER Contributions'!A:D,3,FALSE)</f>
        <v>2.1749E-3</v>
      </c>
      <c r="E44" s="6">
        <f>VLOOKUP(B44,'68 - Summary Exhibit'!A:N,3,FALSE)</f>
        <v>36259896</v>
      </c>
      <c r="F44" s="6">
        <f>VLOOKUP(B44,'68 - Summary Exhibit'!A:N,4,FALSE)</f>
        <v>2956039</v>
      </c>
      <c r="G44" s="6">
        <f>VLOOKUP(B44,'68 - Summary Exhibit'!A:N,5,FALSE)</f>
        <v>10098378</v>
      </c>
      <c r="H44" s="6">
        <f>VLOOKUP(B44,'68 - Summary Exhibit'!A:N,6,FALSE)</f>
        <v>1273400</v>
      </c>
      <c r="I44" s="4">
        <f>VLOOKUP(B44,'68 - Summary Exhibit'!A:N,7,FALSE)</f>
        <v>1045937</v>
      </c>
      <c r="J44" s="4">
        <f>VLOOKUP(B44,'68 - Summary Exhibit'!A:N,8,FALSE)</f>
        <v>267624</v>
      </c>
      <c r="K44" s="4">
        <f>VLOOKUP(B44,'68 - Summary Exhibit'!A:N,9,FALSE)</f>
        <v>0</v>
      </c>
      <c r="L44" s="4">
        <f>VLOOKUP(B44,'68 - Summary Exhibit'!A:N,10,FALSE)</f>
        <v>0</v>
      </c>
      <c r="M44" s="4">
        <f>VLOOKUP(B44,'68 - Summary Exhibit'!A:N,11,FALSE)</f>
        <v>130399</v>
      </c>
      <c r="N44" s="4">
        <f>VLOOKUP(B44,'68 - Summary Exhibit'!A:N,12,FALSE)</f>
        <v>9350224</v>
      </c>
      <c r="O44" s="4">
        <f>VLOOKUP(B44,'68 - Summary Exhibit'!A:N,13,FALSE)</f>
        <v>379575</v>
      </c>
      <c r="P44" s="4">
        <f t="shared" si="12"/>
        <v>9729799</v>
      </c>
      <c r="Q44" s="4">
        <f>VLOOKUP(B44,'68- Deferred Amortization'!A:G,3,FALSE)</f>
        <v>4942892.3560564825</v>
      </c>
      <c r="R44" s="4">
        <f>VLOOKUP(B44,'68- Deferred Amortization'!A:G,4,FALSE)</f>
        <v>2785506.190756483</v>
      </c>
      <c r="S44" s="4">
        <f>VLOOKUP(B44,'68- Deferred Amortization'!A:G,5,FALSE)</f>
        <v>6815961.4238973344</v>
      </c>
      <c r="T44" s="4">
        <f>VLOOKUP(B44,'68- Deferred Amortization'!A:G,6,FALSE)</f>
        <v>431371.84090000001</v>
      </c>
      <c r="U44" s="4">
        <f>VLOOKUP(B44,'68- Deferred Amortization'!A:G,7,FALSE)</f>
        <v>0</v>
      </c>
      <c r="V44" s="4">
        <f t="shared" si="13"/>
        <v>1</v>
      </c>
      <c r="W44" s="4">
        <f t="shared" si="14"/>
        <v>-1</v>
      </c>
      <c r="X44">
        <v>2</v>
      </c>
      <c r="AC44" s="6">
        <v>31422502</v>
      </c>
      <c r="AD44" s="6">
        <v>136815</v>
      </c>
      <c r="AE44" s="6">
        <v>10320409</v>
      </c>
      <c r="AF44" s="6">
        <v>2479116</v>
      </c>
      <c r="AG44" s="4">
        <v>223289</v>
      </c>
      <c r="AH44" s="4">
        <v>428294</v>
      </c>
      <c r="AI44" s="4">
        <v>0</v>
      </c>
      <c r="AJ44" s="4">
        <v>0</v>
      </c>
      <c r="AK44" s="4">
        <v>195598</v>
      </c>
      <c r="AM44" s="4">
        <f t="shared" si="15"/>
        <v>822648</v>
      </c>
      <c r="AN44" s="4">
        <f t="shared" si="16"/>
        <v>-65199</v>
      </c>
      <c r="AO44" s="6">
        <f t="shared" si="17"/>
        <v>2819224</v>
      </c>
      <c r="AP44" s="4">
        <f t="shared" si="18"/>
        <v>-160670</v>
      </c>
      <c r="AQ44" s="4">
        <f t="shared" si="19"/>
        <v>-1205716</v>
      </c>
      <c r="AR44" s="4">
        <f t="shared" si="20"/>
        <v>0</v>
      </c>
      <c r="AS44" s="4">
        <f t="shared" si="21"/>
        <v>4837394</v>
      </c>
      <c r="AT44" s="4">
        <f t="shared" si="22"/>
        <v>-222031</v>
      </c>
      <c r="AU44" s="4">
        <f t="shared" si="23"/>
        <v>0</v>
      </c>
    </row>
    <row r="45" spans="1:47">
      <c r="A45" t="s">
        <v>222</v>
      </c>
      <c r="B45">
        <v>34205</v>
      </c>
      <c r="C45" s="4">
        <f>VLOOKUP(B45,'ER Contributions'!A:D,4,FALSE)</f>
        <v>1146376</v>
      </c>
      <c r="D45" s="5">
        <f>VLOOKUP(B45,'ER Contributions'!A:D,3,FALSE)</f>
        <v>3.4880000000000002E-4</v>
      </c>
      <c r="E45" s="6">
        <f>VLOOKUP(B45,'68 - Summary Exhibit'!A:N,3,FALSE)</f>
        <v>5815188</v>
      </c>
      <c r="F45" s="6">
        <f>VLOOKUP(B45,'68 - Summary Exhibit'!A:N,4,FALSE)</f>
        <v>474075</v>
      </c>
      <c r="G45" s="6">
        <f>VLOOKUP(B45,'68 - Summary Exhibit'!A:N,5,FALSE)</f>
        <v>1619529</v>
      </c>
      <c r="H45" s="6">
        <f>VLOOKUP(B45,'68 - Summary Exhibit'!A:N,6,FALSE)</f>
        <v>204222</v>
      </c>
      <c r="I45" s="4">
        <f>VLOOKUP(B45,'68 - Summary Exhibit'!A:N,7,FALSE)</f>
        <v>93751</v>
      </c>
      <c r="J45" s="4">
        <f>VLOOKUP(B45,'68 - Summary Exhibit'!A:N,8,FALSE)</f>
        <v>42920</v>
      </c>
      <c r="K45" s="4">
        <f>VLOOKUP(B45,'68 - Summary Exhibit'!A:N,9,FALSE)</f>
        <v>0</v>
      </c>
      <c r="L45" s="4">
        <f>VLOOKUP(B45,'68 - Summary Exhibit'!A:N,10,FALSE)</f>
        <v>0</v>
      </c>
      <c r="M45" s="4">
        <f>VLOOKUP(B45,'68 - Summary Exhibit'!A:N,11,FALSE)</f>
        <v>223378</v>
      </c>
      <c r="N45" s="4">
        <f>VLOOKUP(B45,'68 - Summary Exhibit'!A:N,12,FALSE)</f>
        <v>1499544</v>
      </c>
      <c r="O45" s="4">
        <f>VLOOKUP(B45,'68 - Summary Exhibit'!A:N,13,FALSE)</f>
        <v>-40956</v>
      </c>
      <c r="P45" s="4">
        <f t="shared" si="12"/>
        <v>1458588</v>
      </c>
      <c r="Q45" s="4">
        <f>VLOOKUP(B45,'68- Deferred Amortization'!A:G,3,FALSE)</f>
        <v>735794.60118192283</v>
      </c>
      <c r="R45" s="4">
        <f>VLOOKUP(B45,'68- Deferred Amortization'!A:G,4,FALSE)</f>
        <v>311347.36758192279</v>
      </c>
      <c r="S45" s="4">
        <f>VLOOKUP(B45,'68- Deferred Amortization'!A:G,5,FALSE)</f>
        <v>1008955.6349801365</v>
      </c>
      <c r="T45" s="4">
        <f>VLOOKUP(B45,'68- Deferred Amortization'!A:G,6,FALSE)</f>
        <v>69181.340800000005</v>
      </c>
      <c r="U45" s="4">
        <f>VLOOKUP(B45,'68- Deferred Amortization'!A:G,7,FALSE)</f>
        <v>0</v>
      </c>
      <c r="V45" s="4">
        <f t="shared" si="13"/>
        <v>2</v>
      </c>
      <c r="W45" s="4">
        <f t="shared" si="14"/>
        <v>0</v>
      </c>
      <c r="X45">
        <v>2</v>
      </c>
      <c r="AC45" s="6">
        <v>5549513</v>
      </c>
      <c r="AD45" s="6">
        <v>24163</v>
      </c>
      <c r="AE45" s="6">
        <v>1822682</v>
      </c>
      <c r="AF45" s="6">
        <v>437835</v>
      </c>
      <c r="AG45" s="4">
        <v>187501</v>
      </c>
      <c r="AH45" s="4">
        <v>75641</v>
      </c>
      <c r="AI45" s="4">
        <v>0</v>
      </c>
      <c r="AJ45" s="4">
        <v>0</v>
      </c>
      <c r="AK45" s="4">
        <v>224726</v>
      </c>
      <c r="AM45" s="4">
        <f t="shared" si="15"/>
        <v>-93750</v>
      </c>
      <c r="AN45" s="4">
        <f t="shared" si="16"/>
        <v>-1348</v>
      </c>
      <c r="AO45" s="6">
        <f t="shared" si="17"/>
        <v>449912</v>
      </c>
      <c r="AP45" s="4">
        <f t="shared" si="18"/>
        <v>-32721</v>
      </c>
      <c r="AQ45" s="4">
        <f t="shared" si="19"/>
        <v>-233613</v>
      </c>
      <c r="AR45" s="4">
        <f t="shared" si="20"/>
        <v>0</v>
      </c>
      <c r="AS45" s="4">
        <f t="shared" si="21"/>
        <v>265675</v>
      </c>
      <c r="AT45" s="4">
        <f t="shared" si="22"/>
        <v>-203153</v>
      </c>
      <c r="AU45" s="4">
        <f t="shared" si="23"/>
        <v>0</v>
      </c>
    </row>
    <row r="46" spans="1:47">
      <c r="A46" t="s">
        <v>223</v>
      </c>
      <c r="B46">
        <v>34405</v>
      </c>
      <c r="C46" s="4">
        <f>VLOOKUP(B46,'ER Contributions'!A:D,4,FALSE)</f>
        <v>1436551</v>
      </c>
      <c r="D46" s="5">
        <f>VLOOKUP(B46,'ER Contributions'!A:D,3,FALSE)</f>
        <v>5.0259999999999997E-4</v>
      </c>
      <c r="E46" s="6">
        <f>VLOOKUP(B46,'68 - Summary Exhibit'!A:N,3,FALSE)</f>
        <v>8379339</v>
      </c>
      <c r="F46" s="6">
        <f>VLOOKUP(B46,'68 - Summary Exhibit'!A:N,4,FALSE)</f>
        <v>683114</v>
      </c>
      <c r="G46" s="6">
        <f>VLOOKUP(B46,'68 - Summary Exhibit'!A:N,5,FALSE)</f>
        <v>2333645</v>
      </c>
      <c r="H46" s="6">
        <f>VLOOKUP(B46,'68 - Summary Exhibit'!A:N,6,FALSE)</f>
        <v>294271</v>
      </c>
      <c r="I46" s="4">
        <f>VLOOKUP(B46,'68 - Summary Exhibit'!A:N,7,FALSE)</f>
        <v>36722</v>
      </c>
      <c r="J46" s="4">
        <f>VLOOKUP(B46,'68 - Summary Exhibit'!A:N,8,FALSE)</f>
        <v>61845</v>
      </c>
      <c r="K46" s="4">
        <f>VLOOKUP(B46,'68 - Summary Exhibit'!A:N,9,FALSE)</f>
        <v>0</v>
      </c>
      <c r="L46" s="4">
        <f>VLOOKUP(B46,'68 - Summary Exhibit'!A:N,10,FALSE)</f>
        <v>0</v>
      </c>
      <c r="M46" s="4">
        <f>VLOOKUP(B46,'68 - Summary Exhibit'!A:N,11,FALSE)</f>
        <v>164004</v>
      </c>
      <c r="N46" s="4">
        <f>VLOOKUP(B46,'68 - Summary Exhibit'!A:N,12,FALSE)</f>
        <v>2160753</v>
      </c>
      <c r="O46" s="4">
        <f>VLOOKUP(B46,'68 - Summary Exhibit'!A:N,13,FALSE)</f>
        <v>-167677</v>
      </c>
      <c r="P46" s="4">
        <f t="shared" si="12"/>
        <v>1993076</v>
      </c>
      <c r="Q46" s="4">
        <f>VLOOKUP(B46,'68- Deferred Amortization'!A:G,3,FALSE)</f>
        <v>1001030.0958527829</v>
      </c>
      <c r="R46" s="4">
        <f>VLOOKUP(B46,'68- Deferred Amortization'!A:G,4,FALSE)</f>
        <v>561606.54365278292</v>
      </c>
      <c r="S46" s="4">
        <f>VLOOKUP(B46,'68- Deferred Amortization'!A:G,5,FALSE)</f>
        <v>1459580.6556324344</v>
      </c>
      <c r="T46" s="4">
        <f>VLOOKUP(B46,'68- Deferred Amortization'!A:G,6,FALSE)</f>
        <v>99686.186599999986</v>
      </c>
      <c r="U46" s="4">
        <f>VLOOKUP(B46,'68- Deferred Amortization'!A:G,7,FALSE)</f>
        <v>0</v>
      </c>
      <c r="V46" s="4">
        <f t="shared" si="13"/>
        <v>-2</v>
      </c>
      <c r="W46" s="4">
        <f t="shared" si="14"/>
        <v>0</v>
      </c>
      <c r="X46">
        <v>2</v>
      </c>
      <c r="AC46" s="6">
        <v>7600710</v>
      </c>
      <c r="AD46" s="6">
        <v>33094</v>
      </c>
      <c r="AE46" s="6">
        <v>2496378</v>
      </c>
      <c r="AF46" s="6">
        <v>599667</v>
      </c>
      <c r="AG46" s="4">
        <v>55084</v>
      </c>
      <c r="AH46" s="4">
        <v>103599</v>
      </c>
      <c r="AI46" s="4">
        <v>0</v>
      </c>
      <c r="AJ46" s="4">
        <v>0</v>
      </c>
      <c r="AK46" s="4">
        <v>180823</v>
      </c>
      <c r="AM46" s="4">
        <f t="shared" si="15"/>
        <v>-18362</v>
      </c>
      <c r="AN46" s="4">
        <f t="shared" si="16"/>
        <v>-16819</v>
      </c>
      <c r="AO46" s="6">
        <f t="shared" si="17"/>
        <v>650020</v>
      </c>
      <c r="AP46" s="4">
        <f t="shared" si="18"/>
        <v>-41754</v>
      </c>
      <c r="AQ46" s="4">
        <f t="shared" si="19"/>
        <v>-305396</v>
      </c>
      <c r="AR46" s="4">
        <f t="shared" si="20"/>
        <v>0</v>
      </c>
      <c r="AS46" s="4">
        <f t="shared" si="21"/>
        <v>778629</v>
      </c>
      <c r="AT46" s="4">
        <f t="shared" si="22"/>
        <v>-162733</v>
      </c>
      <c r="AU46" s="4">
        <f t="shared" si="23"/>
        <v>0</v>
      </c>
    </row>
    <row r="47" spans="1:47">
      <c r="A47" t="s">
        <v>224</v>
      </c>
      <c r="B47">
        <v>38105</v>
      </c>
      <c r="C47" s="4">
        <f>VLOOKUP(B47,'ER Contributions'!A:D,4,FALSE)</f>
        <v>1873311</v>
      </c>
      <c r="D47" s="5">
        <f>VLOOKUP(B47,'ER Contributions'!A:D,3,FALSE)</f>
        <v>5.9750000000000005E-4</v>
      </c>
      <c r="E47" s="6">
        <f>VLOOKUP(B47,'68 - Summary Exhibit'!A:N,3,FALSE)</f>
        <v>9961510</v>
      </c>
      <c r="F47" s="6">
        <f>VLOOKUP(B47,'68 - Summary Exhibit'!A:N,4,FALSE)</f>
        <v>812099</v>
      </c>
      <c r="G47" s="6">
        <f>VLOOKUP(B47,'68 - Summary Exhibit'!A:N,5,FALSE)</f>
        <v>2774280</v>
      </c>
      <c r="H47" s="6">
        <f>VLOOKUP(B47,'68 - Summary Exhibit'!A:N,6,FALSE)</f>
        <v>349835</v>
      </c>
      <c r="I47" s="4">
        <f>VLOOKUP(B47,'68 - Summary Exhibit'!A:N,7,FALSE)</f>
        <v>184954</v>
      </c>
      <c r="J47" s="4">
        <f>VLOOKUP(B47,'68 - Summary Exhibit'!A:N,8,FALSE)</f>
        <v>73523</v>
      </c>
      <c r="K47" s="4">
        <f>VLOOKUP(B47,'68 - Summary Exhibit'!A:N,9,FALSE)</f>
        <v>0</v>
      </c>
      <c r="L47" s="4">
        <f>VLOOKUP(B47,'68 - Summary Exhibit'!A:N,10,FALSE)</f>
        <v>0</v>
      </c>
      <c r="M47" s="4">
        <f>VLOOKUP(B47,'68 - Summary Exhibit'!A:N,11,FALSE)</f>
        <v>42398</v>
      </c>
      <c r="N47" s="4">
        <f>VLOOKUP(B47,'68 - Summary Exhibit'!A:N,12,FALSE)</f>
        <v>2568743</v>
      </c>
      <c r="O47" s="4">
        <f>VLOOKUP(B47,'68 - Summary Exhibit'!A:N,13,FALSE)</f>
        <v>-16627</v>
      </c>
      <c r="P47" s="4">
        <f t="shared" si="12"/>
        <v>2552116</v>
      </c>
      <c r="Q47" s="4">
        <f>VLOOKUP(B47,'68- Deferred Amortization'!A:G,3,FALSE)</f>
        <v>1291452.217333596</v>
      </c>
      <c r="R47" s="4">
        <f>VLOOKUP(B47,'68- Deferred Amortization'!A:G,4,FALSE)</f>
        <v>748165.2598335956</v>
      </c>
      <c r="S47" s="4">
        <f>VLOOKUP(B47,'68- Deferred Amortization'!A:G,5,FALSE)</f>
        <v>1847119.9536421688</v>
      </c>
      <c r="T47" s="4">
        <f>VLOOKUP(B47,'68- Deferred Amortization'!A:G,6,FALSE)</f>
        <v>118508.74750000001</v>
      </c>
      <c r="U47" s="4">
        <f>VLOOKUP(B47,'68- Deferred Amortization'!A:G,7,FALSE)</f>
        <v>0</v>
      </c>
      <c r="V47" s="4">
        <f t="shared" si="13"/>
        <v>2</v>
      </c>
      <c r="W47" s="4">
        <f t="shared" si="14"/>
        <v>1</v>
      </c>
      <c r="X47">
        <v>2</v>
      </c>
      <c r="AC47" s="6">
        <v>8566940</v>
      </c>
      <c r="AD47" s="6">
        <v>37301</v>
      </c>
      <c r="AE47" s="6">
        <v>2813726</v>
      </c>
      <c r="AF47" s="6">
        <v>675899</v>
      </c>
      <c r="AG47" s="4">
        <v>0</v>
      </c>
      <c r="AH47" s="4">
        <v>116769</v>
      </c>
      <c r="AI47" s="4">
        <v>0</v>
      </c>
      <c r="AJ47" s="4">
        <v>0</v>
      </c>
      <c r="AK47" s="4">
        <v>120677</v>
      </c>
      <c r="AM47" s="4">
        <f t="shared" si="15"/>
        <v>184954</v>
      </c>
      <c r="AN47" s="4">
        <f t="shared" si="16"/>
        <v>-78279</v>
      </c>
      <c r="AO47" s="6">
        <f t="shared" si="17"/>
        <v>774798</v>
      </c>
      <c r="AP47" s="4">
        <f t="shared" si="18"/>
        <v>-43246</v>
      </c>
      <c r="AQ47" s="4">
        <f t="shared" si="19"/>
        <v>-326064</v>
      </c>
      <c r="AR47" s="4">
        <f t="shared" si="20"/>
        <v>0</v>
      </c>
      <c r="AS47" s="4">
        <f t="shared" si="21"/>
        <v>1394570</v>
      </c>
      <c r="AT47" s="4">
        <f t="shared" si="22"/>
        <v>-39446</v>
      </c>
      <c r="AU47" s="4">
        <f t="shared" si="23"/>
        <v>0</v>
      </c>
    </row>
    <row r="48" spans="1:47">
      <c r="A48" t="s">
        <v>225</v>
      </c>
      <c r="B48">
        <v>33105</v>
      </c>
      <c r="C48" s="4">
        <f>VLOOKUP(B48,'ER Contributions'!A:D,4,FALSE)</f>
        <v>1308346</v>
      </c>
      <c r="D48" s="5">
        <f>VLOOKUP(B48,'ER Contributions'!A:D,3,FALSE)</f>
        <v>4.3649999999999998E-4</v>
      </c>
      <c r="E48" s="6">
        <f>VLOOKUP(B48,'68 - Summary Exhibit'!A:N,3,FALSE)</f>
        <v>7277321</v>
      </c>
      <c r="F48" s="6">
        <f>VLOOKUP(B48,'68 - Summary Exhibit'!A:N,4,FALSE)</f>
        <v>593274</v>
      </c>
      <c r="G48" s="6">
        <f>VLOOKUP(B48,'68 - Summary Exhibit'!A:N,5,FALSE)</f>
        <v>2026733</v>
      </c>
      <c r="H48" s="6">
        <f>VLOOKUP(B48,'68 - Summary Exhibit'!A:N,6,FALSE)</f>
        <v>255570</v>
      </c>
      <c r="I48" s="4">
        <f>VLOOKUP(B48,'68 - Summary Exhibit'!A:N,7,FALSE)</f>
        <v>304261</v>
      </c>
      <c r="J48" s="4">
        <f>VLOOKUP(B48,'68 - Summary Exhibit'!A:N,8,FALSE)</f>
        <v>53712</v>
      </c>
      <c r="K48" s="4">
        <f>VLOOKUP(B48,'68 - Summary Exhibit'!A:N,9,FALSE)</f>
        <v>0</v>
      </c>
      <c r="L48" s="4">
        <f>VLOOKUP(B48,'68 - Summary Exhibit'!A:N,10,FALSE)</f>
        <v>0</v>
      </c>
      <c r="M48" s="4">
        <f>VLOOKUP(B48,'68 - Summary Exhibit'!A:N,11,FALSE)</f>
        <v>0</v>
      </c>
      <c r="N48" s="4">
        <f>VLOOKUP(B48,'68 - Summary Exhibit'!A:N,12,FALSE)</f>
        <v>1876579</v>
      </c>
      <c r="O48" s="4">
        <f>VLOOKUP(B48,'68 - Summary Exhibit'!A:N,13,FALSE)</f>
        <v>170656</v>
      </c>
      <c r="P48" s="4">
        <f t="shared" si="12"/>
        <v>2047235</v>
      </c>
      <c r="Q48" s="4">
        <f>VLOOKUP(B48,'68- Deferred Amortization'!A:G,3,FALSE)</f>
        <v>1059050.4801615921</v>
      </c>
      <c r="R48" s="4">
        <f>VLOOKUP(B48,'68- Deferred Amortization'!A:G,4,FALSE)</f>
        <v>612486.13966159208</v>
      </c>
      <c r="S48" s="4">
        <f>VLOOKUP(B48,'68- Deferred Amortization'!A:G,5,FALSE)</f>
        <v>1368014.1367364363</v>
      </c>
      <c r="T48" s="4">
        <f>VLOOKUP(B48,'68- Deferred Amortization'!A:G,6,FALSE)</f>
        <v>86575.8465</v>
      </c>
      <c r="U48" s="4">
        <f>VLOOKUP(B48,'68- Deferred Amortization'!A:G,7,FALSE)</f>
        <v>0</v>
      </c>
      <c r="V48" s="4">
        <f t="shared" si="13"/>
        <v>-1</v>
      </c>
      <c r="W48" s="4">
        <f t="shared" si="14"/>
        <v>-1</v>
      </c>
      <c r="X48">
        <v>2</v>
      </c>
      <c r="AC48" s="6">
        <v>6034854</v>
      </c>
      <c r="AD48" s="6">
        <v>26276</v>
      </c>
      <c r="AE48" s="6">
        <v>1982088</v>
      </c>
      <c r="AF48" s="6">
        <v>476127</v>
      </c>
      <c r="AG48" s="4">
        <v>220314</v>
      </c>
      <c r="AH48" s="4">
        <v>82256</v>
      </c>
      <c r="AI48" s="4">
        <v>0</v>
      </c>
      <c r="AJ48" s="4">
        <v>0</v>
      </c>
      <c r="AK48" s="4">
        <v>0</v>
      </c>
      <c r="AM48" s="4">
        <f t="shared" si="15"/>
        <v>83947</v>
      </c>
      <c r="AN48" s="4">
        <f t="shared" si="16"/>
        <v>0</v>
      </c>
      <c r="AO48" s="6">
        <f t="shared" si="17"/>
        <v>566998</v>
      </c>
      <c r="AP48" s="4">
        <f t="shared" si="18"/>
        <v>-28544</v>
      </c>
      <c r="AQ48" s="4">
        <f t="shared" si="19"/>
        <v>-220557</v>
      </c>
      <c r="AR48" s="4">
        <f t="shared" si="20"/>
        <v>0</v>
      </c>
      <c r="AS48" s="4">
        <f t="shared" si="21"/>
        <v>1242467</v>
      </c>
      <c r="AT48" s="4">
        <f t="shared" si="22"/>
        <v>44645</v>
      </c>
      <c r="AU48" s="4">
        <f t="shared" si="23"/>
        <v>0</v>
      </c>
    </row>
    <row r="49" spans="1:47">
      <c r="A49" t="s">
        <v>226</v>
      </c>
      <c r="B49">
        <v>35105</v>
      </c>
      <c r="C49" s="4">
        <f>VLOOKUP(B49,'ER Contributions'!A:D,4,FALSE)</f>
        <v>3326244</v>
      </c>
      <c r="D49" s="5">
        <f>VLOOKUP(B49,'ER Contributions'!A:D,3,FALSE)</f>
        <v>1.085E-3</v>
      </c>
      <c r="E49" s="6">
        <f>VLOOKUP(B49,'68 - Summary Exhibit'!A:N,3,FALSE)</f>
        <v>18089102</v>
      </c>
      <c r="F49" s="6">
        <f>VLOOKUP(B49,'68 - Summary Exhibit'!A:N,4,FALSE)</f>
        <v>1474690</v>
      </c>
      <c r="G49" s="6">
        <f>VLOOKUP(B49,'68 - Summary Exhibit'!A:N,5,FALSE)</f>
        <v>5037813</v>
      </c>
      <c r="H49" s="6">
        <f>VLOOKUP(B49,'68 - Summary Exhibit'!A:N,6,FALSE)</f>
        <v>635265</v>
      </c>
      <c r="I49" s="4">
        <f>VLOOKUP(B49,'68 - Summary Exhibit'!A:N,7,FALSE)</f>
        <v>0</v>
      </c>
      <c r="J49" s="4">
        <f>VLOOKUP(B49,'68 - Summary Exhibit'!A:N,8,FALSE)</f>
        <v>133510</v>
      </c>
      <c r="K49" s="4">
        <f>VLOOKUP(B49,'68 - Summary Exhibit'!A:N,9,FALSE)</f>
        <v>0</v>
      </c>
      <c r="L49" s="4">
        <f>VLOOKUP(B49,'68 - Summary Exhibit'!A:N,10,FALSE)</f>
        <v>0</v>
      </c>
      <c r="M49" s="4">
        <f>VLOOKUP(B49,'68 - Summary Exhibit'!A:N,11,FALSE)</f>
        <v>474550</v>
      </c>
      <c r="N49" s="4">
        <f>VLOOKUP(B49,'68 - Summary Exhibit'!A:N,12,FALSE)</f>
        <v>4664579</v>
      </c>
      <c r="O49" s="4">
        <f>VLOOKUP(B49,'68 - Summary Exhibit'!A:N,13,FALSE)</f>
        <v>-258483</v>
      </c>
      <c r="P49" s="4">
        <f t="shared" si="12"/>
        <v>4406096</v>
      </c>
      <c r="Q49" s="4">
        <f>VLOOKUP(B49,'68- Deferred Amortization'!A:G,3,FALSE)</f>
        <v>2052371.9731937945</v>
      </c>
      <c r="R49" s="4">
        <f>VLOOKUP(B49,'68- Deferred Amortization'!A:G,4,FALSE)</f>
        <v>1064278.7281937946</v>
      </c>
      <c r="S49" s="4">
        <f>VLOOKUP(B49,'68- Deferred Amortization'!A:G,5,FALSE)</f>
        <v>3207857.8063617623</v>
      </c>
      <c r="T49" s="4">
        <f>VLOOKUP(B49,'68- Deferred Amortization'!A:G,6,FALSE)</f>
        <v>215199.98500000002</v>
      </c>
      <c r="U49" s="4">
        <f>VLOOKUP(B49,'68- Deferred Amortization'!A:G,7,FALSE)</f>
        <v>0</v>
      </c>
      <c r="V49" s="4">
        <f t="shared" si="13"/>
        <v>0</v>
      </c>
      <c r="W49" s="4">
        <f t="shared" si="14"/>
        <v>0</v>
      </c>
      <c r="X49">
        <v>2</v>
      </c>
      <c r="AC49" s="6">
        <v>16403641</v>
      </c>
      <c r="AD49" s="6">
        <v>71422</v>
      </c>
      <c r="AE49" s="6">
        <v>5387613</v>
      </c>
      <c r="AF49" s="6">
        <v>1294185</v>
      </c>
      <c r="AG49" s="4">
        <v>0</v>
      </c>
      <c r="AH49" s="4">
        <v>223584</v>
      </c>
      <c r="AI49" s="4">
        <v>0</v>
      </c>
      <c r="AJ49" s="4">
        <v>0</v>
      </c>
      <c r="AK49" s="4">
        <v>595537</v>
      </c>
      <c r="AM49" s="4">
        <f t="shared" si="15"/>
        <v>0</v>
      </c>
      <c r="AN49" s="4">
        <f t="shared" si="16"/>
        <v>-120987</v>
      </c>
      <c r="AO49" s="6">
        <f t="shared" si="17"/>
        <v>1403268</v>
      </c>
      <c r="AP49" s="4">
        <f t="shared" si="18"/>
        <v>-90074</v>
      </c>
      <c r="AQ49" s="4">
        <f t="shared" si="19"/>
        <v>-658920</v>
      </c>
      <c r="AR49" s="4">
        <f t="shared" si="20"/>
        <v>0</v>
      </c>
      <c r="AS49" s="4">
        <f t="shared" si="21"/>
        <v>1685461</v>
      </c>
      <c r="AT49" s="4">
        <f t="shared" si="22"/>
        <v>-349800</v>
      </c>
      <c r="AU49" s="4">
        <f t="shared" si="23"/>
        <v>0</v>
      </c>
    </row>
    <row r="50" spans="1:47">
      <c r="A50" t="s">
        <v>227</v>
      </c>
      <c r="B50">
        <v>35405</v>
      </c>
      <c r="C50" s="4">
        <f>VLOOKUP(B50,'ER Contributions'!A:D,4,FALSE)</f>
        <v>2479662</v>
      </c>
      <c r="D50" s="5">
        <f>VLOOKUP(B50,'ER Contributions'!A:D,3,FALSE)</f>
        <v>8.4389999999999997E-4</v>
      </c>
      <c r="E50" s="6">
        <f>VLOOKUP(B50,'68 - Summary Exhibit'!A:N,3,FALSE)</f>
        <v>14069486</v>
      </c>
      <c r="F50" s="6">
        <f>VLOOKUP(B50,'68 - Summary Exhibit'!A:N,4,FALSE)</f>
        <v>1146996</v>
      </c>
      <c r="G50" s="6">
        <f>VLOOKUP(B50,'68 - Summary Exhibit'!A:N,5,FALSE)</f>
        <v>3918351</v>
      </c>
      <c r="H50" s="6">
        <f>VLOOKUP(B50,'68 - Summary Exhibit'!A:N,6,FALSE)</f>
        <v>494102</v>
      </c>
      <c r="I50" s="4">
        <f>VLOOKUP(B50,'68 - Summary Exhibit'!A:N,7,FALSE)</f>
        <v>0</v>
      </c>
      <c r="J50" s="4">
        <f>VLOOKUP(B50,'68 - Summary Exhibit'!A:N,8,FALSE)</f>
        <v>103843</v>
      </c>
      <c r="K50" s="4">
        <f>VLOOKUP(B50,'68 - Summary Exhibit'!A:N,9,FALSE)</f>
        <v>0</v>
      </c>
      <c r="L50" s="4">
        <f>VLOOKUP(B50,'68 - Summary Exhibit'!A:N,10,FALSE)</f>
        <v>0</v>
      </c>
      <c r="M50" s="4">
        <f>VLOOKUP(B50,'68 - Summary Exhibit'!A:N,11,FALSE)</f>
        <v>565455</v>
      </c>
      <c r="N50" s="4">
        <f>VLOOKUP(B50,'68 - Summary Exhibit'!A:N,12,FALSE)</f>
        <v>3628054</v>
      </c>
      <c r="O50" s="4">
        <f>VLOOKUP(B50,'68 - Summary Exhibit'!A:N,13,FALSE)</f>
        <v>-338840</v>
      </c>
      <c r="P50" s="4">
        <f t="shared" si="12"/>
        <v>3289214</v>
      </c>
      <c r="Q50" s="4">
        <f>VLOOKUP(B50,'68- Deferred Amortization'!A:G,3,FALSE)</f>
        <v>1515371.0404077093</v>
      </c>
      <c r="R50" s="4">
        <f>VLOOKUP(B50,'68- Deferred Amortization'!A:G,4,FALSE)</f>
        <v>750147.98210770951</v>
      </c>
      <c r="S50" s="4">
        <f>VLOOKUP(B50,'68- Deferred Amortization'!A:G,5,FALSE)</f>
        <v>2457251.5964685772</v>
      </c>
      <c r="T50" s="4">
        <f>VLOOKUP(B50,'68- Deferred Amortization'!A:G,6,FALSE)</f>
        <v>167379.9699</v>
      </c>
      <c r="U50" s="4">
        <f>VLOOKUP(B50,'68- Deferred Amortization'!A:G,7,FALSE)</f>
        <v>0</v>
      </c>
      <c r="V50" s="4">
        <f t="shared" si="13"/>
        <v>3</v>
      </c>
      <c r="W50" s="4">
        <f t="shared" si="14"/>
        <v>0</v>
      </c>
      <c r="X50">
        <v>2</v>
      </c>
      <c r="AC50" s="6">
        <v>12831115</v>
      </c>
      <c r="AD50" s="6">
        <v>55867</v>
      </c>
      <c r="AE50" s="6">
        <v>4214252</v>
      </c>
      <c r="AF50" s="6">
        <v>1012326</v>
      </c>
      <c r="AG50" s="4">
        <v>0</v>
      </c>
      <c r="AH50" s="4">
        <v>174890</v>
      </c>
      <c r="AI50" s="4">
        <v>0</v>
      </c>
      <c r="AJ50" s="4">
        <v>0</v>
      </c>
      <c r="AK50" s="4">
        <v>646226</v>
      </c>
      <c r="AM50" s="4">
        <f t="shared" si="15"/>
        <v>0</v>
      </c>
      <c r="AN50" s="4">
        <f t="shared" si="16"/>
        <v>-80771</v>
      </c>
      <c r="AO50" s="6">
        <f t="shared" si="17"/>
        <v>1091129</v>
      </c>
      <c r="AP50" s="4">
        <f t="shared" si="18"/>
        <v>-71047</v>
      </c>
      <c r="AQ50" s="4">
        <f t="shared" si="19"/>
        <v>-518224</v>
      </c>
      <c r="AR50" s="4">
        <f t="shared" si="20"/>
        <v>0</v>
      </c>
      <c r="AS50" s="4">
        <f t="shared" si="21"/>
        <v>1238371</v>
      </c>
      <c r="AT50" s="4">
        <f t="shared" si="22"/>
        <v>-295901</v>
      </c>
      <c r="AU50" s="4">
        <f t="shared" si="23"/>
        <v>0</v>
      </c>
    </row>
    <row r="51" spans="1:47">
      <c r="A51" t="s">
        <v>228</v>
      </c>
      <c r="B51">
        <v>35805</v>
      </c>
      <c r="C51" s="4">
        <f>VLOOKUP(B51,'ER Contributions'!A:D,4,FALSE)</f>
        <v>833513</v>
      </c>
      <c r="D51" s="5">
        <f>VLOOKUP(B51,'ER Contributions'!A:D,3,FALSE)</f>
        <v>2.2560000000000001E-4</v>
      </c>
      <c r="E51" s="6">
        <f>VLOOKUP(B51,'68 - Summary Exhibit'!A:N,3,FALSE)</f>
        <v>3761199</v>
      </c>
      <c r="F51" s="6">
        <f>VLOOKUP(B51,'68 - Summary Exhibit'!A:N,4,FALSE)</f>
        <v>306627</v>
      </c>
      <c r="G51" s="6">
        <f>VLOOKUP(B51,'68 - Summary Exhibit'!A:N,5,FALSE)</f>
        <v>1047494</v>
      </c>
      <c r="H51" s="6">
        <f>VLOOKUP(B51,'68 - Summary Exhibit'!A:N,6,FALSE)</f>
        <v>132088</v>
      </c>
      <c r="I51" s="4">
        <f>VLOOKUP(B51,'68 - Summary Exhibit'!A:N,7,FALSE)</f>
        <v>43944</v>
      </c>
      <c r="J51" s="4">
        <f>VLOOKUP(B51,'68 - Summary Exhibit'!A:N,8,FALSE)</f>
        <v>27760</v>
      </c>
      <c r="K51" s="4">
        <f>VLOOKUP(B51,'68 - Summary Exhibit'!A:N,9,FALSE)</f>
        <v>0</v>
      </c>
      <c r="L51" s="4">
        <f>VLOOKUP(B51,'68 - Summary Exhibit'!A:N,10,FALSE)</f>
        <v>0</v>
      </c>
      <c r="M51" s="4">
        <f>VLOOKUP(B51,'68 - Summary Exhibit'!A:N,11,FALSE)</f>
        <v>3119</v>
      </c>
      <c r="N51" s="4">
        <f>VLOOKUP(B51,'68 - Summary Exhibit'!A:N,12,FALSE)</f>
        <v>969888</v>
      </c>
      <c r="O51" s="4">
        <f>VLOOKUP(B51,'68 - Summary Exhibit'!A:N,13,FALSE)</f>
        <v>5844</v>
      </c>
      <c r="P51" s="4">
        <f t="shared" si="12"/>
        <v>975732</v>
      </c>
      <c r="Q51" s="4">
        <f>VLOOKUP(B51,'68- Deferred Amortization'!A:G,3,FALSE)</f>
        <v>507570.92527765362</v>
      </c>
      <c r="R51" s="4">
        <f>VLOOKUP(B51,'68- Deferred Amortization'!A:G,4,FALSE)</f>
        <v>267043.24207765353</v>
      </c>
      <c r="S51" s="4">
        <f>VLOOKUP(B51,'68- Deferred Amortization'!A:G,5,FALSE)</f>
        <v>679914.24048493197</v>
      </c>
      <c r="T51" s="4">
        <f>VLOOKUP(B51,'68- Deferred Amortization'!A:G,6,FALSE)</f>
        <v>44745.729599999999</v>
      </c>
      <c r="U51" s="4">
        <f>VLOOKUP(B51,'68- Deferred Amortization'!A:G,7,FALSE)</f>
        <v>0</v>
      </c>
      <c r="V51" s="4">
        <f t="shared" si="13"/>
        <v>0</v>
      </c>
      <c r="W51" s="4">
        <f t="shared" si="14"/>
        <v>0</v>
      </c>
      <c r="X51">
        <v>2</v>
      </c>
      <c r="AC51" s="6">
        <v>3560653</v>
      </c>
      <c r="AD51" s="6">
        <v>15503</v>
      </c>
      <c r="AE51" s="6">
        <v>1169461</v>
      </c>
      <c r="AF51" s="6">
        <v>280922</v>
      </c>
      <c r="AG51" s="4">
        <v>53273</v>
      </c>
      <c r="AH51" s="4">
        <v>48532</v>
      </c>
      <c r="AI51" s="4">
        <v>0</v>
      </c>
      <c r="AJ51" s="4">
        <v>0</v>
      </c>
      <c r="AK51" s="4">
        <v>29680</v>
      </c>
      <c r="AM51" s="4">
        <f t="shared" si="15"/>
        <v>-9329</v>
      </c>
      <c r="AN51" s="4">
        <f t="shared" si="16"/>
        <v>-26561</v>
      </c>
      <c r="AO51" s="6">
        <f t="shared" si="17"/>
        <v>291124</v>
      </c>
      <c r="AP51" s="4">
        <f t="shared" si="18"/>
        <v>-20772</v>
      </c>
      <c r="AQ51" s="4">
        <f t="shared" si="19"/>
        <v>-148834</v>
      </c>
      <c r="AR51" s="4">
        <f t="shared" si="20"/>
        <v>0</v>
      </c>
      <c r="AS51" s="4">
        <f t="shared" si="21"/>
        <v>200546</v>
      </c>
      <c r="AT51" s="4">
        <f t="shared" si="22"/>
        <v>-121967</v>
      </c>
      <c r="AU51" s="4">
        <f t="shared" si="23"/>
        <v>0</v>
      </c>
    </row>
    <row r="52" spans="1:47">
      <c r="A52" t="s">
        <v>229</v>
      </c>
      <c r="B52">
        <v>36105</v>
      </c>
      <c r="C52" s="4">
        <f>VLOOKUP(B52,'ER Contributions'!A:D,4,FALSE)</f>
        <v>1072133</v>
      </c>
      <c r="D52" s="5">
        <f>VLOOKUP(B52,'ER Contributions'!A:D,3,FALSE)</f>
        <v>3.2380000000000001E-4</v>
      </c>
      <c r="E52" s="6">
        <f>VLOOKUP(B52,'68 - Summary Exhibit'!A:N,3,FALSE)</f>
        <v>5398388</v>
      </c>
      <c r="F52" s="6">
        <f>VLOOKUP(B52,'68 - Summary Exhibit'!A:N,4,FALSE)</f>
        <v>440096</v>
      </c>
      <c r="G52" s="6">
        <f>VLOOKUP(B52,'68 - Summary Exhibit'!A:N,5,FALSE)</f>
        <v>1503451</v>
      </c>
      <c r="H52" s="6">
        <f>VLOOKUP(B52,'68 - Summary Exhibit'!A:N,6,FALSE)</f>
        <v>189584</v>
      </c>
      <c r="I52" s="4">
        <f>VLOOKUP(B52,'68 - Summary Exhibit'!A:N,7,FALSE)</f>
        <v>116126</v>
      </c>
      <c r="J52" s="4">
        <f>VLOOKUP(B52,'68 - Summary Exhibit'!A:N,8,FALSE)</f>
        <v>39844</v>
      </c>
      <c r="K52" s="4">
        <f>VLOOKUP(B52,'68 - Summary Exhibit'!A:N,9,FALSE)</f>
        <v>0</v>
      </c>
      <c r="L52" s="4">
        <f>VLOOKUP(B52,'68 - Summary Exhibit'!A:N,10,FALSE)</f>
        <v>0</v>
      </c>
      <c r="M52" s="4">
        <f>VLOOKUP(B52,'68 - Summary Exhibit'!A:N,11,FALSE)</f>
        <v>133107</v>
      </c>
      <c r="N52" s="4">
        <f>VLOOKUP(B52,'68 - Summary Exhibit'!A:N,12,FALSE)</f>
        <v>1392065</v>
      </c>
      <c r="O52" s="4">
        <f>VLOOKUP(B52,'68 - Summary Exhibit'!A:N,13,FALSE)</f>
        <v>-27225</v>
      </c>
      <c r="P52" s="4">
        <f t="shared" si="12"/>
        <v>1364840</v>
      </c>
      <c r="Q52" s="4">
        <f>VLOOKUP(B52,'68- Deferred Amortization'!A:G,3,FALSE)</f>
        <v>633015.88540181145</v>
      </c>
      <c r="R52" s="4">
        <f>VLOOKUP(B52,'68- Deferred Amortization'!A:G,4,FALSE)</f>
        <v>372770.07680181146</v>
      </c>
      <c r="S52" s="4">
        <f>VLOOKUP(B52,'68- Deferred Amortization'!A:G,5,FALSE)</f>
        <v>1006298.2684748236</v>
      </c>
      <c r="T52" s="4">
        <f>VLOOKUP(B52,'68- Deferred Amortization'!A:G,6,FALSE)</f>
        <v>64222.815800000004</v>
      </c>
      <c r="U52" s="4">
        <f>VLOOKUP(B52,'68- Deferred Amortization'!A:G,7,FALSE)</f>
        <v>0</v>
      </c>
      <c r="V52" s="4">
        <f t="shared" si="13"/>
        <v>-2</v>
      </c>
      <c r="W52" s="4">
        <f t="shared" si="14"/>
        <v>-1</v>
      </c>
      <c r="X52">
        <v>2</v>
      </c>
      <c r="AC52" s="6">
        <v>4702021</v>
      </c>
      <c r="AD52" s="6">
        <v>20473</v>
      </c>
      <c r="AE52" s="6">
        <v>1544332</v>
      </c>
      <c r="AF52" s="6">
        <v>370972</v>
      </c>
      <c r="AG52" s="4">
        <v>23995</v>
      </c>
      <c r="AH52" s="4">
        <v>64089</v>
      </c>
      <c r="AI52" s="4">
        <v>0</v>
      </c>
      <c r="AJ52" s="4">
        <v>0</v>
      </c>
      <c r="AK52" s="4">
        <v>223035</v>
      </c>
      <c r="AM52" s="4">
        <f t="shared" si="15"/>
        <v>92131</v>
      </c>
      <c r="AN52" s="4">
        <f t="shared" si="16"/>
        <v>-89928</v>
      </c>
      <c r="AO52" s="6">
        <f t="shared" si="17"/>
        <v>419623</v>
      </c>
      <c r="AP52" s="4">
        <f t="shared" si="18"/>
        <v>-24245</v>
      </c>
      <c r="AQ52" s="4">
        <f t="shared" si="19"/>
        <v>-181388</v>
      </c>
      <c r="AR52" s="4">
        <f t="shared" si="20"/>
        <v>0</v>
      </c>
      <c r="AS52" s="4">
        <f t="shared" si="21"/>
        <v>696367</v>
      </c>
      <c r="AT52" s="4">
        <f t="shared" si="22"/>
        <v>-40881</v>
      </c>
      <c r="AU52" s="4">
        <f t="shared" si="23"/>
        <v>0</v>
      </c>
    </row>
    <row r="53" spans="1:47">
      <c r="A53" t="s">
        <v>230</v>
      </c>
      <c r="B53">
        <v>35905</v>
      </c>
      <c r="C53" s="4">
        <f>VLOOKUP(B53,'ER Contributions'!A:D,4,FALSE)</f>
        <v>1168699</v>
      </c>
      <c r="D53" s="5">
        <f>VLOOKUP(B53,'ER Contributions'!A:D,3,FALSE)</f>
        <v>3.4079999999999999E-4</v>
      </c>
      <c r="E53" s="6">
        <f>VLOOKUP(B53,'68 - Summary Exhibit'!A:N,3,FALSE)</f>
        <v>5681812</v>
      </c>
      <c r="F53" s="6">
        <f>VLOOKUP(B53,'68 - Summary Exhibit'!A:N,4,FALSE)</f>
        <v>463202</v>
      </c>
      <c r="G53" s="6">
        <f>VLOOKUP(B53,'68 - Summary Exhibit'!A:N,5,FALSE)</f>
        <v>1582384</v>
      </c>
      <c r="H53" s="6">
        <f>VLOOKUP(B53,'68 - Summary Exhibit'!A:N,6,FALSE)</f>
        <v>199538</v>
      </c>
      <c r="I53" s="4">
        <f>VLOOKUP(B53,'68 - Summary Exhibit'!A:N,7,FALSE)</f>
        <v>675391</v>
      </c>
      <c r="J53" s="4">
        <f>VLOOKUP(B53,'68 - Summary Exhibit'!A:N,8,FALSE)</f>
        <v>41936</v>
      </c>
      <c r="K53" s="4">
        <f>VLOOKUP(B53,'68 - Summary Exhibit'!A:N,9,FALSE)</f>
        <v>0</v>
      </c>
      <c r="L53" s="4">
        <f>VLOOKUP(B53,'68 - Summary Exhibit'!A:N,10,FALSE)</f>
        <v>0</v>
      </c>
      <c r="M53" s="4">
        <f>VLOOKUP(B53,'68 - Summary Exhibit'!A:N,11,FALSE)</f>
        <v>0</v>
      </c>
      <c r="N53" s="4">
        <f>VLOOKUP(B53,'68 - Summary Exhibit'!A:N,12,FALSE)</f>
        <v>1465151</v>
      </c>
      <c r="O53" s="4">
        <f>VLOOKUP(B53,'68 - Summary Exhibit'!A:N,13,FALSE)</f>
        <v>276868</v>
      </c>
      <c r="P53" s="4">
        <f t="shared" si="12"/>
        <v>1742019</v>
      </c>
      <c r="Q53" s="4">
        <f>VLOOKUP(B53,'68- Deferred Amortization'!A:G,3,FALSE)</f>
        <v>1001550.3620936541</v>
      </c>
      <c r="R53" s="4">
        <f>VLOOKUP(B53,'68- Deferred Amortization'!A:G,4,FALSE)</f>
        <v>633845.90449365415</v>
      </c>
      <c r="S53" s="4">
        <f>VLOOKUP(B53,'68- Deferred Amortization'!A:G,5,FALSE)</f>
        <v>1175588.494839876</v>
      </c>
      <c r="T53" s="4">
        <f>VLOOKUP(B53,'68- Deferred Amortization'!A:G,6,FALSE)</f>
        <v>67594.612800000003</v>
      </c>
      <c r="U53" s="4">
        <f>VLOOKUP(B53,'68- Deferred Amortization'!A:G,7,FALSE)</f>
        <v>0</v>
      </c>
      <c r="V53" s="4">
        <f t="shared" si="13"/>
        <v>-1</v>
      </c>
      <c r="W53" s="4">
        <f t="shared" si="14"/>
        <v>0</v>
      </c>
      <c r="X53">
        <v>2</v>
      </c>
      <c r="AC53" s="6">
        <v>4241912</v>
      </c>
      <c r="AD53" s="6">
        <v>18470</v>
      </c>
      <c r="AE53" s="6">
        <v>1393214</v>
      </c>
      <c r="AF53" s="6">
        <v>334671</v>
      </c>
      <c r="AG53" s="4">
        <v>327989</v>
      </c>
      <c r="AH53" s="4">
        <v>57818</v>
      </c>
      <c r="AI53" s="4">
        <v>0</v>
      </c>
      <c r="AJ53" s="4">
        <v>0</v>
      </c>
      <c r="AK53" s="4">
        <v>4526</v>
      </c>
      <c r="AM53" s="4">
        <f t="shared" si="15"/>
        <v>347402</v>
      </c>
      <c r="AN53" s="4">
        <f t="shared" si="16"/>
        <v>-4526</v>
      </c>
      <c r="AO53" s="6">
        <f t="shared" si="17"/>
        <v>444732</v>
      </c>
      <c r="AP53" s="4">
        <f t="shared" si="18"/>
        <v>-15882</v>
      </c>
      <c r="AQ53" s="4">
        <f t="shared" si="19"/>
        <v>-135133</v>
      </c>
      <c r="AR53" s="4">
        <f t="shared" si="20"/>
        <v>0</v>
      </c>
      <c r="AS53" s="4">
        <f t="shared" si="21"/>
        <v>1439900</v>
      </c>
      <c r="AT53" s="4">
        <f t="shared" si="22"/>
        <v>189170</v>
      </c>
      <c r="AU53" s="4">
        <f t="shared" si="23"/>
        <v>0</v>
      </c>
    </row>
    <row r="54" spans="1:47">
      <c r="A54" t="s">
        <v>231</v>
      </c>
      <c r="B54">
        <v>34905</v>
      </c>
      <c r="C54" s="4">
        <f>VLOOKUP(B54,'ER Contributions'!A:D,4,FALSE)</f>
        <v>2036565</v>
      </c>
      <c r="D54" s="5">
        <f>VLOOKUP(B54,'ER Contributions'!A:D,3,FALSE)</f>
        <v>6.5490000000000004E-4</v>
      </c>
      <c r="E54" s="6">
        <f>VLOOKUP(B54,'68 - Summary Exhibit'!A:N,3,FALSE)</f>
        <v>10918482</v>
      </c>
      <c r="F54" s="6">
        <f>VLOOKUP(B54,'68 - Summary Exhibit'!A:N,4,FALSE)</f>
        <v>890115</v>
      </c>
      <c r="G54" s="6">
        <f>VLOOKUP(B54,'68 - Summary Exhibit'!A:N,5,FALSE)</f>
        <v>3040796</v>
      </c>
      <c r="H54" s="6">
        <f>VLOOKUP(B54,'68 - Summary Exhibit'!A:N,6,FALSE)</f>
        <v>383443</v>
      </c>
      <c r="I54" s="4">
        <f>VLOOKUP(B54,'68 - Summary Exhibit'!A:N,7,FALSE)</f>
        <v>177123</v>
      </c>
      <c r="J54" s="4">
        <f>VLOOKUP(B54,'68 - Summary Exhibit'!A:N,8,FALSE)</f>
        <v>80586</v>
      </c>
      <c r="K54" s="4">
        <f>VLOOKUP(B54,'68 - Summary Exhibit'!A:N,9,FALSE)</f>
        <v>0</v>
      </c>
      <c r="L54" s="4">
        <f>VLOOKUP(B54,'68 - Summary Exhibit'!A:N,10,FALSE)</f>
        <v>0</v>
      </c>
      <c r="M54" s="4">
        <f>VLOOKUP(B54,'68 - Summary Exhibit'!A:N,11,FALSE)</f>
        <v>166162</v>
      </c>
      <c r="N54" s="4">
        <f>VLOOKUP(B54,'68 - Summary Exhibit'!A:N,12,FALSE)</f>
        <v>2815514</v>
      </c>
      <c r="O54" s="4">
        <f>VLOOKUP(B54,'68 - Summary Exhibit'!A:N,13,FALSE)</f>
        <v>-25597</v>
      </c>
      <c r="P54" s="4">
        <f t="shared" si="12"/>
        <v>2789917</v>
      </c>
      <c r="Q54" s="4">
        <f>VLOOKUP(B54,'68- Deferred Amortization'!A:G,3,FALSE)</f>
        <v>1335985.0391656957</v>
      </c>
      <c r="R54" s="4">
        <f>VLOOKUP(B54,'68- Deferred Amortization'!A:G,4,FALSE)</f>
        <v>762815.31386569561</v>
      </c>
      <c r="S54" s="4">
        <f>VLOOKUP(B54,'68- Deferred Amortization'!A:G,5,FALSE)</f>
        <v>2016034.0346279347</v>
      </c>
      <c r="T54" s="4">
        <f>VLOOKUP(B54,'68- Deferred Amortization'!A:G,6,FALSE)</f>
        <v>129893.5209</v>
      </c>
      <c r="U54" s="4">
        <f>VLOOKUP(B54,'68- Deferred Amortization'!A:G,7,FALSE)</f>
        <v>0</v>
      </c>
      <c r="V54" s="4">
        <f t="shared" si="13"/>
        <v>1</v>
      </c>
      <c r="W54" s="4">
        <f t="shared" si="14"/>
        <v>1</v>
      </c>
      <c r="X54">
        <v>2</v>
      </c>
      <c r="AC54" s="6">
        <v>9418884</v>
      </c>
      <c r="AD54" s="6">
        <v>41010</v>
      </c>
      <c r="AE54" s="6">
        <v>3093539</v>
      </c>
      <c r="AF54" s="6">
        <v>743114</v>
      </c>
      <c r="AG54" s="4">
        <v>22312</v>
      </c>
      <c r="AH54" s="4">
        <v>128381</v>
      </c>
      <c r="AI54" s="4">
        <v>0</v>
      </c>
      <c r="AJ54" s="4">
        <v>0</v>
      </c>
      <c r="AK54" s="4">
        <v>273112</v>
      </c>
      <c r="AM54" s="4">
        <f t="shared" si="15"/>
        <v>154811</v>
      </c>
      <c r="AN54" s="4">
        <f t="shared" si="16"/>
        <v>-106950</v>
      </c>
      <c r="AO54" s="6">
        <f t="shared" si="17"/>
        <v>849105</v>
      </c>
      <c r="AP54" s="4">
        <f t="shared" si="18"/>
        <v>-47795</v>
      </c>
      <c r="AQ54" s="4">
        <f t="shared" si="19"/>
        <v>-359671</v>
      </c>
      <c r="AR54" s="4">
        <f t="shared" si="20"/>
        <v>0</v>
      </c>
      <c r="AS54" s="4">
        <f t="shared" si="21"/>
        <v>1499598</v>
      </c>
      <c r="AT54" s="4">
        <f t="shared" si="22"/>
        <v>-52743</v>
      </c>
      <c r="AU54" s="4">
        <f t="shared" si="23"/>
        <v>0</v>
      </c>
    </row>
    <row r="55" spans="1:47">
      <c r="A55" t="s">
        <v>232</v>
      </c>
      <c r="B55">
        <v>36205</v>
      </c>
      <c r="C55" s="4">
        <f>VLOOKUP(B55,'ER Contributions'!A:D,4,FALSE)</f>
        <v>843839</v>
      </c>
      <c r="D55" s="5">
        <f>VLOOKUP(B55,'ER Contributions'!A:D,3,FALSE)</f>
        <v>2.856E-4</v>
      </c>
      <c r="E55" s="6">
        <f>VLOOKUP(B55,'68 - Summary Exhibit'!A:N,3,FALSE)</f>
        <v>4761518</v>
      </c>
      <c r="F55" s="6">
        <f>VLOOKUP(B55,'68 - Summary Exhibit'!A:N,4,FALSE)</f>
        <v>388176</v>
      </c>
      <c r="G55" s="6">
        <f>VLOOKUP(B55,'68 - Summary Exhibit'!A:N,5,FALSE)</f>
        <v>1326082</v>
      </c>
      <c r="H55" s="6">
        <f>VLOOKUP(B55,'68 - Summary Exhibit'!A:N,6,FALSE)</f>
        <v>167218</v>
      </c>
      <c r="I55" s="4">
        <f>VLOOKUP(B55,'68 - Summary Exhibit'!A:N,7,FALSE)</f>
        <v>0</v>
      </c>
      <c r="J55" s="4">
        <f>VLOOKUP(B55,'68 - Summary Exhibit'!A:N,8,FALSE)</f>
        <v>35143</v>
      </c>
      <c r="K55" s="4">
        <f>VLOOKUP(B55,'68 - Summary Exhibit'!A:N,9,FALSE)</f>
        <v>0</v>
      </c>
      <c r="L55" s="4">
        <f>VLOOKUP(B55,'68 - Summary Exhibit'!A:N,10,FALSE)</f>
        <v>0</v>
      </c>
      <c r="M55" s="4">
        <f>VLOOKUP(B55,'68 - Summary Exhibit'!A:N,11,FALSE)</f>
        <v>142949</v>
      </c>
      <c r="N55" s="4">
        <f>VLOOKUP(B55,'68 - Summary Exhibit'!A:N,12,FALSE)</f>
        <v>1227838</v>
      </c>
      <c r="O55" s="4">
        <f>VLOOKUP(B55,'68 - Summary Exhibit'!A:N,13,FALSE)</f>
        <v>-72623</v>
      </c>
      <c r="P55" s="4">
        <f t="shared" si="12"/>
        <v>1155215</v>
      </c>
      <c r="Q55" s="4">
        <f>VLOOKUP(B55,'68- Deferred Amortization'!A:G,3,FALSE)</f>
        <v>526091.77152813505</v>
      </c>
      <c r="R55" s="4">
        <f>VLOOKUP(B55,'68- Deferred Amortization'!A:G,4,FALSE)</f>
        <v>295090.26832813508</v>
      </c>
      <c r="S55" s="4">
        <f>VLOOKUP(B55,'68- Deferred Amortization'!A:G,5,FALSE)</f>
        <v>825556.34066488221</v>
      </c>
      <c r="T55" s="4">
        <f>VLOOKUP(B55,'68- Deferred Amortization'!A:G,6,FALSE)</f>
        <v>56646.189599999998</v>
      </c>
      <c r="U55" s="4">
        <f>VLOOKUP(B55,'68- Deferred Amortization'!A:G,7,FALSE)</f>
        <v>0</v>
      </c>
      <c r="V55" s="4">
        <f t="shared" si="13"/>
        <v>-1</v>
      </c>
      <c r="W55" s="4">
        <f t="shared" si="14"/>
        <v>-1</v>
      </c>
      <c r="X55">
        <v>2</v>
      </c>
      <c r="AC55" s="6">
        <v>4390334</v>
      </c>
      <c r="AD55" s="6">
        <v>19116</v>
      </c>
      <c r="AE55" s="6">
        <v>1441962</v>
      </c>
      <c r="AF55" s="6">
        <v>346381</v>
      </c>
      <c r="AG55" s="4">
        <v>4800</v>
      </c>
      <c r="AH55" s="4">
        <v>59841</v>
      </c>
      <c r="AI55" s="4">
        <v>0</v>
      </c>
      <c r="AJ55" s="4">
        <v>0</v>
      </c>
      <c r="AK55" s="4">
        <v>108841</v>
      </c>
      <c r="AM55" s="4">
        <f t="shared" si="15"/>
        <v>-4800</v>
      </c>
      <c r="AN55" s="4">
        <f t="shared" si="16"/>
        <v>34108</v>
      </c>
      <c r="AO55" s="6">
        <f t="shared" si="17"/>
        <v>369060</v>
      </c>
      <c r="AP55" s="4">
        <f t="shared" si="18"/>
        <v>-24698</v>
      </c>
      <c r="AQ55" s="4">
        <f t="shared" si="19"/>
        <v>-179163</v>
      </c>
      <c r="AR55" s="4">
        <f t="shared" si="20"/>
        <v>0</v>
      </c>
      <c r="AS55" s="4">
        <f t="shared" si="21"/>
        <v>371184</v>
      </c>
      <c r="AT55" s="4">
        <f t="shared" si="22"/>
        <v>-115880</v>
      </c>
      <c r="AU55" s="4">
        <f t="shared" si="23"/>
        <v>0</v>
      </c>
    </row>
    <row r="56" spans="1:47">
      <c r="A56" t="s">
        <v>233</v>
      </c>
      <c r="B56">
        <v>36405</v>
      </c>
      <c r="C56" s="4">
        <f>VLOOKUP(B56,'ER Contributions'!A:D,4,FALSE)</f>
        <v>2229541</v>
      </c>
      <c r="D56" s="5">
        <f>VLOOKUP(B56,'ER Contributions'!A:D,3,FALSE)</f>
        <v>7.2800000000000002E-4</v>
      </c>
      <c r="E56" s="6">
        <f>VLOOKUP(B56,'68 - Summary Exhibit'!A:N,3,FALSE)</f>
        <v>12137204</v>
      </c>
      <c r="F56" s="6">
        <f>VLOOKUP(B56,'68 - Summary Exhibit'!A:N,4,FALSE)</f>
        <v>989469</v>
      </c>
      <c r="G56" s="6">
        <f>VLOOKUP(B56,'68 - Summary Exhibit'!A:N,5,FALSE)</f>
        <v>3380210</v>
      </c>
      <c r="H56" s="6">
        <f>VLOOKUP(B56,'68 - Summary Exhibit'!A:N,6,FALSE)</f>
        <v>426243</v>
      </c>
      <c r="I56" s="4">
        <f>VLOOKUP(B56,'68 - Summary Exhibit'!A:N,7,FALSE)</f>
        <v>0</v>
      </c>
      <c r="J56" s="4">
        <f>VLOOKUP(B56,'68 - Summary Exhibit'!A:N,8,FALSE)</f>
        <v>89581</v>
      </c>
      <c r="K56" s="4">
        <f>VLOOKUP(B56,'68 - Summary Exhibit'!A:N,9,FALSE)</f>
        <v>0</v>
      </c>
      <c r="L56" s="4">
        <f>VLOOKUP(B56,'68 - Summary Exhibit'!A:N,10,FALSE)</f>
        <v>0</v>
      </c>
      <c r="M56" s="4">
        <f>VLOOKUP(B56,'68 - Summary Exhibit'!A:N,11,FALSE)</f>
        <v>430613</v>
      </c>
      <c r="N56" s="4">
        <f>VLOOKUP(B56,'68 - Summary Exhibit'!A:N,12,FALSE)</f>
        <v>3129782</v>
      </c>
      <c r="O56" s="4">
        <f>VLOOKUP(B56,'68 - Summary Exhibit'!A:N,13,FALSE)</f>
        <v>-278116</v>
      </c>
      <c r="P56" s="4">
        <f t="shared" si="12"/>
        <v>2851666</v>
      </c>
      <c r="Q56" s="4">
        <f>VLOOKUP(B56,'68- Deferred Amortization'!A:G,3,FALSE)</f>
        <v>1296958.0319822563</v>
      </c>
      <c r="R56" s="4">
        <f>VLOOKUP(B56,'68- Deferred Amortization'!A:G,4,FALSE)</f>
        <v>736282.41598225629</v>
      </c>
      <c r="S56" s="4">
        <f>VLOOKUP(B56,'68- Deferred Amortization'!A:G,5,FALSE)</f>
        <v>2098095.1004836606</v>
      </c>
      <c r="T56" s="4">
        <f>VLOOKUP(B56,'68- Deferred Amortization'!A:G,6,FALSE)</f>
        <v>144392.24799999999</v>
      </c>
      <c r="U56" s="4">
        <f>VLOOKUP(B56,'68- Deferred Amortization'!A:G,7,FALSE)</f>
        <v>0</v>
      </c>
      <c r="V56" s="4">
        <f t="shared" si="13"/>
        <v>-1</v>
      </c>
      <c r="W56" s="4">
        <f t="shared" si="14"/>
        <v>0</v>
      </c>
      <c r="X56">
        <v>2</v>
      </c>
      <c r="AC56" s="6">
        <v>11363217</v>
      </c>
      <c r="AD56" s="6">
        <v>49476</v>
      </c>
      <c r="AE56" s="6">
        <v>3732136</v>
      </c>
      <c r="AF56" s="6">
        <v>896515</v>
      </c>
      <c r="AG56" s="4">
        <v>0</v>
      </c>
      <c r="AH56" s="4">
        <v>154882</v>
      </c>
      <c r="AI56" s="4">
        <v>0</v>
      </c>
      <c r="AJ56" s="4">
        <v>0</v>
      </c>
      <c r="AK56" s="4">
        <v>399378</v>
      </c>
      <c r="AM56" s="4">
        <f t="shared" si="15"/>
        <v>0</v>
      </c>
      <c r="AN56" s="4">
        <f t="shared" si="16"/>
        <v>31235</v>
      </c>
      <c r="AO56" s="6">
        <f t="shared" si="17"/>
        <v>939993</v>
      </c>
      <c r="AP56" s="4">
        <f t="shared" si="18"/>
        <v>-65301</v>
      </c>
      <c r="AQ56" s="4">
        <f t="shared" si="19"/>
        <v>-470272</v>
      </c>
      <c r="AR56" s="4">
        <f t="shared" si="20"/>
        <v>0</v>
      </c>
      <c r="AS56" s="4">
        <f t="shared" si="21"/>
        <v>773987</v>
      </c>
      <c r="AT56" s="4">
        <f t="shared" si="22"/>
        <v>-351926</v>
      </c>
      <c r="AU56" s="4">
        <f t="shared" si="23"/>
        <v>0</v>
      </c>
    </row>
    <row r="57" spans="1:47">
      <c r="A57" t="s">
        <v>234</v>
      </c>
      <c r="B57">
        <v>36905</v>
      </c>
      <c r="C57" s="4">
        <f>VLOOKUP(B57,'ER Contributions'!A:D,4,FALSE)</f>
        <v>664366</v>
      </c>
      <c r="D57" s="5">
        <f>VLOOKUP(B57,'ER Contributions'!A:D,3,FALSE)</f>
        <v>1.9990000000000001E-4</v>
      </c>
      <c r="E57" s="6">
        <f>VLOOKUP(B57,'68 - Summary Exhibit'!A:N,3,FALSE)</f>
        <v>3332729</v>
      </c>
      <c r="F57" s="6">
        <f>VLOOKUP(B57,'68 - Summary Exhibit'!A:N,4,FALSE)</f>
        <v>271696</v>
      </c>
      <c r="G57" s="6">
        <f>VLOOKUP(B57,'68 - Summary Exhibit'!A:N,5,FALSE)</f>
        <v>928165</v>
      </c>
      <c r="H57" s="6">
        <f>VLOOKUP(B57,'68 - Summary Exhibit'!A:N,6,FALSE)</f>
        <v>117041</v>
      </c>
      <c r="I57" s="4">
        <f>VLOOKUP(B57,'68 - Summary Exhibit'!A:N,7,FALSE)</f>
        <v>0</v>
      </c>
      <c r="J57" s="4">
        <f>VLOOKUP(B57,'68 - Summary Exhibit'!A:N,8,FALSE)</f>
        <v>24598</v>
      </c>
      <c r="K57" s="4">
        <f>VLOOKUP(B57,'68 - Summary Exhibit'!A:N,9,FALSE)</f>
        <v>0</v>
      </c>
      <c r="L57" s="4">
        <f>VLOOKUP(B57,'68 - Summary Exhibit'!A:N,10,FALSE)</f>
        <v>0</v>
      </c>
      <c r="M57" s="4">
        <f>VLOOKUP(B57,'68 - Summary Exhibit'!A:N,11,FALSE)</f>
        <v>87754</v>
      </c>
      <c r="N57" s="4">
        <f>VLOOKUP(B57,'68 - Summary Exhibit'!A:N,12,FALSE)</f>
        <v>859400</v>
      </c>
      <c r="O57" s="4">
        <f>VLOOKUP(B57,'68 - Summary Exhibit'!A:N,13,FALSE)</f>
        <v>-40485</v>
      </c>
      <c r="P57" s="4">
        <f t="shared" si="12"/>
        <v>818915</v>
      </c>
      <c r="Q57" s="4">
        <f>VLOOKUP(B57,'68- Deferred Amortization'!A:G,3,FALSE)</f>
        <v>380028.98516640789</v>
      </c>
      <c r="R57" s="4">
        <f>VLOOKUP(B57,'68- Deferred Amortization'!A:G,4,FALSE)</f>
        <v>194326.39486640794</v>
      </c>
      <c r="S57" s="4">
        <f>VLOOKUP(B57,'68- Deferred Amortization'!A:G,5,FALSE)</f>
        <v>590546.68814564694</v>
      </c>
      <c r="T57" s="4">
        <f>VLOOKUP(B57,'68- Deferred Amortization'!A:G,6,FALSE)</f>
        <v>39648.365900000004</v>
      </c>
      <c r="U57" s="4">
        <f>VLOOKUP(B57,'68- Deferred Amortization'!A:G,7,FALSE)</f>
        <v>0</v>
      </c>
      <c r="V57" s="4">
        <f t="shared" si="13"/>
        <v>0</v>
      </c>
      <c r="W57" s="4">
        <f t="shared" si="14"/>
        <v>0</v>
      </c>
      <c r="X57">
        <v>2</v>
      </c>
      <c r="AC57" s="6">
        <v>3110933</v>
      </c>
      <c r="AD57" s="6">
        <v>13545</v>
      </c>
      <c r="AE57" s="6">
        <v>1021755</v>
      </c>
      <c r="AF57" s="6">
        <v>245441</v>
      </c>
      <c r="AG57" s="4">
        <v>1903</v>
      </c>
      <c r="AH57" s="4">
        <v>42402</v>
      </c>
      <c r="AI57" s="4">
        <v>0</v>
      </c>
      <c r="AJ57" s="4">
        <v>0</v>
      </c>
      <c r="AK57" s="4">
        <v>102939</v>
      </c>
      <c r="AM57" s="4">
        <f t="shared" si="15"/>
        <v>-1903</v>
      </c>
      <c r="AN57" s="4">
        <f t="shared" si="16"/>
        <v>-15185</v>
      </c>
      <c r="AO57" s="6">
        <f t="shared" si="17"/>
        <v>258151</v>
      </c>
      <c r="AP57" s="4">
        <f t="shared" si="18"/>
        <v>-17804</v>
      </c>
      <c r="AQ57" s="4">
        <f t="shared" si="19"/>
        <v>-128400</v>
      </c>
      <c r="AR57" s="4">
        <f t="shared" si="20"/>
        <v>0</v>
      </c>
      <c r="AS57" s="4">
        <f t="shared" si="21"/>
        <v>221796</v>
      </c>
      <c r="AT57" s="4">
        <f t="shared" si="22"/>
        <v>-93590</v>
      </c>
      <c r="AU57" s="4">
        <f t="shared" si="23"/>
        <v>0</v>
      </c>
    </row>
    <row r="58" spans="1:47">
      <c r="A58" t="s">
        <v>235</v>
      </c>
      <c r="B58">
        <v>37305</v>
      </c>
      <c r="C58" s="4">
        <f>VLOOKUP(B58,'ER Contributions'!A:D,4,FALSE)</f>
        <v>1454678</v>
      </c>
      <c r="D58" s="5">
        <f>VLOOKUP(B58,'ER Contributions'!A:D,3,FALSE)</f>
        <v>4.5080000000000001E-4</v>
      </c>
      <c r="E58" s="6">
        <f>VLOOKUP(B58,'68 - Summary Exhibit'!A:N,3,FALSE)</f>
        <v>7515730</v>
      </c>
      <c r="F58" s="6">
        <f>VLOOKUP(B58,'68 - Summary Exhibit'!A:N,4,FALSE)</f>
        <v>612710</v>
      </c>
      <c r="G58" s="6">
        <f>VLOOKUP(B58,'68 - Summary Exhibit'!A:N,5,FALSE)</f>
        <v>2093130</v>
      </c>
      <c r="H58" s="6">
        <f>VLOOKUP(B58,'68 - Summary Exhibit'!A:N,6,FALSE)</f>
        <v>263942</v>
      </c>
      <c r="I58" s="4">
        <f>VLOOKUP(B58,'68 - Summary Exhibit'!A:N,7,FALSE)</f>
        <v>246986</v>
      </c>
      <c r="J58" s="4">
        <f>VLOOKUP(B58,'68 - Summary Exhibit'!A:N,8,FALSE)</f>
        <v>55471</v>
      </c>
      <c r="K58" s="4">
        <f>VLOOKUP(B58,'68 - Summary Exhibit'!A:N,9,FALSE)</f>
        <v>0</v>
      </c>
      <c r="L58" s="4">
        <f>VLOOKUP(B58,'68 - Summary Exhibit'!A:N,10,FALSE)</f>
        <v>0</v>
      </c>
      <c r="M58" s="4">
        <f>VLOOKUP(B58,'68 - Summary Exhibit'!A:N,11,FALSE)</f>
        <v>0</v>
      </c>
      <c r="N58" s="4">
        <f>VLOOKUP(B58,'68 - Summary Exhibit'!A:N,12,FALSE)</f>
        <v>1938057</v>
      </c>
      <c r="O58" s="4">
        <f>VLOOKUP(B58,'68 - Summary Exhibit'!A:N,13,FALSE)</f>
        <v>62717</v>
      </c>
      <c r="P58" s="4">
        <f t="shared" si="12"/>
        <v>2000774</v>
      </c>
      <c r="Q58" s="4">
        <f>VLOOKUP(B58,'68- Deferred Amortization'!A:G,3,FALSE)</f>
        <v>1058557.511502438</v>
      </c>
      <c r="R58" s="4">
        <f>VLOOKUP(B58,'68- Deferred Amortization'!A:G,4,FALSE)</f>
        <v>626624.3839024381</v>
      </c>
      <c r="S58" s="4">
        <f>VLOOKUP(B58,'68- Deferred Amortization'!A:G,5,FALSE)</f>
        <v>1386702.870726451</v>
      </c>
      <c r="T58" s="4">
        <f>VLOOKUP(B58,'68- Deferred Amortization'!A:G,6,FALSE)</f>
        <v>89412.122799999997</v>
      </c>
      <c r="U58" s="4">
        <f>VLOOKUP(B58,'68- Deferred Amortization'!A:G,7,FALSE)</f>
        <v>0</v>
      </c>
      <c r="V58" s="4">
        <f t="shared" si="13"/>
        <v>0</v>
      </c>
      <c r="W58" s="4">
        <f t="shared" si="14"/>
        <v>0</v>
      </c>
      <c r="X58">
        <v>2</v>
      </c>
      <c r="AC58" s="6">
        <v>6578080</v>
      </c>
      <c r="AD58" s="6">
        <v>28641</v>
      </c>
      <c r="AE58" s="6">
        <v>2160505</v>
      </c>
      <c r="AF58" s="6">
        <v>518985</v>
      </c>
      <c r="AG58" s="4">
        <v>194510</v>
      </c>
      <c r="AH58" s="4">
        <v>89660</v>
      </c>
      <c r="AI58" s="4">
        <v>0</v>
      </c>
      <c r="AJ58" s="4">
        <v>0</v>
      </c>
      <c r="AK58" s="4">
        <v>43238</v>
      </c>
      <c r="AM58" s="4">
        <f t="shared" si="15"/>
        <v>52476</v>
      </c>
      <c r="AN58" s="4">
        <f t="shared" si="16"/>
        <v>-43238</v>
      </c>
      <c r="AO58" s="6">
        <f t="shared" si="17"/>
        <v>584069</v>
      </c>
      <c r="AP58" s="4">
        <f t="shared" si="18"/>
        <v>-34189</v>
      </c>
      <c r="AQ58" s="4">
        <f t="shared" si="19"/>
        <v>-255043</v>
      </c>
      <c r="AR58" s="4">
        <f t="shared" si="20"/>
        <v>0</v>
      </c>
      <c r="AS58" s="4">
        <f t="shared" si="21"/>
        <v>937650</v>
      </c>
      <c r="AT58" s="4">
        <f t="shared" si="22"/>
        <v>-67375</v>
      </c>
      <c r="AU58" s="4">
        <f t="shared" si="23"/>
        <v>0</v>
      </c>
    </row>
    <row r="59" spans="1:47">
      <c r="A59" t="s">
        <v>236</v>
      </c>
      <c r="B59">
        <v>37405</v>
      </c>
      <c r="C59" s="4">
        <f>VLOOKUP(B59,'ER Contributions'!A:D,4,FALSE)</f>
        <v>5525959</v>
      </c>
      <c r="D59" s="5">
        <f>VLOOKUP(B59,'ER Contributions'!A:D,3,FALSE)</f>
        <v>1.7394000000000001E-3</v>
      </c>
      <c r="E59" s="6">
        <f>VLOOKUP(B59,'68 - Summary Exhibit'!A:N,3,FALSE)</f>
        <v>28999247</v>
      </c>
      <c r="F59" s="6">
        <f>VLOOKUP(B59,'68 - Summary Exhibit'!A:N,4,FALSE)</f>
        <v>2364125</v>
      </c>
      <c r="G59" s="6">
        <f>VLOOKUP(B59,'68 - Summary Exhibit'!A:N,5,FALSE)</f>
        <v>8076288</v>
      </c>
      <c r="H59" s="6">
        <f>VLOOKUP(B59,'68 - Summary Exhibit'!A:N,6,FALSE)</f>
        <v>1018415</v>
      </c>
      <c r="I59" s="4">
        <f>VLOOKUP(B59,'68 - Summary Exhibit'!A:N,7,FALSE)</f>
        <v>0</v>
      </c>
      <c r="J59" s="4">
        <f>VLOOKUP(B59,'68 - Summary Exhibit'!A:N,8,FALSE)</f>
        <v>214035</v>
      </c>
      <c r="K59" s="4">
        <f>VLOOKUP(B59,'68 - Summary Exhibit'!A:N,9,FALSE)</f>
        <v>0</v>
      </c>
      <c r="L59" s="4">
        <f>VLOOKUP(B59,'68 - Summary Exhibit'!A:N,10,FALSE)</f>
        <v>0</v>
      </c>
      <c r="M59" s="4">
        <f>VLOOKUP(B59,'68 - Summary Exhibit'!A:N,11,FALSE)</f>
        <v>259888</v>
      </c>
      <c r="N59" s="4">
        <f>VLOOKUP(B59,'68 - Summary Exhibit'!A:N,12,FALSE)</f>
        <v>7477943</v>
      </c>
      <c r="O59" s="4">
        <f>VLOOKUP(B59,'68 - Summary Exhibit'!A:N,13,FALSE)</f>
        <v>-290181</v>
      </c>
      <c r="P59" s="4">
        <f t="shared" si="12"/>
        <v>7187762</v>
      </c>
      <c r="Q59" s="4">
        <f>VLOOKUP(B59,'68- Deferred Amortization'!A:G,3,FALSE)</f>
        <v>3541432.8678095597</v>
      </c>
      <c r="R59" s="4">
        <f>VLOOKUP(B59,'68- Deferred Amortization'!A:G,4,FALSE)</f>
        <v>1905270.9460095593</v>
      </c>
      <c r="S59" s="4">
        <f>VLOOKUP(B59,'68- Deferred Amortization'!A:G,5,FALSE)</f>
        <v>5193207.2623454304</v>
      </c>
      <c r="T59" s="4">
        <f>VLOOKUP(B59,'68- Deferred Amortization'!A:G,6,FALSE)</f>
        <v>344994.33540000004</v>
      </c>
      <c r="U59" s="4">
        <f>VLOOKUP(B59,'68- Deferred Amortization'!A:G,7,FALSE)</f>
        <v>0</v>
      </c>
      <c r="V59" s="4">
        <f t="shared" si="13"/>
        <v>0</v>
      </c>
      <c r="W59" s="4">
        <f t="shared" si="14"/>
        <v>0</v>
      </c>
      <c r="X59">
        <v>2</v>
      </c>
      <c r="AC59" s="6">
        <v>26282635</v>
      </c>
      <c r="AD59" s="6">
        <v>114436</v>
      </c>
      <c r="AE59" s="6">
        <v>8632271</v>
      </c>
      <c r="AF59" s="6">
        <v>2073600</v>
      </c>
      <c r="AG59" s="4">
        <v>0</v>
      </c>
      <c r="AH59" s="4">
        <v>358236</v>
      </c>
      <c r="AI59" s="4">
        <v>0</v>
      </c>
      <c r="AJ59" s="4">
        <v>0</v>
      </c>
      <c r="AK59" s="4">
        <v>531975</v>
      </c>
      <c r="AM59" s="4">
        <f t="shared" si="15"/>
        <v>0</v>
      </c>
      <c r="AN59" s="4">
        <f t="shared" si="16"/>
        <v>-272087</v>
      </c>
      <c r="AO59" s="6">
        <f t="shared" si="17"/>
        <v>2249689</v>
      </c>
      <c r="AP59" s="4">
        <f t="shared" si="18"/>
        <v>-144201</v>
      </c>
      <c r="AQ59" s="4">
        <f t="shared" si="19"/>
        <v>-1055185</v>
      </c>
      <c r="AR59" s="4">
        <f t="shared" si="20"/>
        <v>0</v>
      </c>
      <c r="AS59" s="4">
        <f t="shared" si="21"/>
        <v>2716612</v>
      </c>
      <c r="AT59" s="4">
        <f t="shared" si="22"/>
        <v>-555983</v>
      </c>
      <c r="AU59" s="4">
        <f t="shared" si="23"/>
        <v>0</v>
      </c>
    </row>
    <row r="60" spans="1:47">
      <c r="A60" t="s">
        <v>237</v>
      </c>
      <c r="B60">
        <v>37605</v>
      </c>
      <c r="C60" s="4">
        <f>VLOOKUP(B60,'ER Contributions'!A:D,4,FALSE)</f>
        <v>2090287</v>
      </c>
      <c r="D60" s="5">
        <f>VLOOKUP(B60,'ER Contributions'!A:D,3,FALSE)</f>
        <v>6.8130000000000003E-4</v>
      </c>
      <c r="E60" s="6">
        <f>VLOOKUP(B60,'68 - Summary Exhibit'!A:N,3,FALSE)</f>
        <v>11358622</v>
      </c>
      <c r="F60" s="6">
        <f>VLOOKUP(B60,'68 - Summary Exhibit'!A:N,4,FALSE)</f>
        <v>925996</v>
      </c>
      <c r="G60" s="6">
        <f>VLOOKUP(B60,'68 - Summary Exhibit'!A:N,5,FALSE)</f>
        <v>3163375</v>
      </c>
      <c r="H60" s="6">
        <f>VLOOKUP(B60,'68 - Summary Exhibit'!A:N,6,FALSE)</f>
        <v>398900</v>
      </c>
      <c r="I60" s="4">
        <f>VLOOKUP(B60,'68 - Summary Exhibit'!A:N,7,FALSE)</f>
        <v>0</v>
      </c>
      <c r="J60" s="4">
        <f>VLOOKUP(B60,'68 - Summary Exhibit'!A:N,8,FALSE)</f>
        <v>83835</v>
      </c>
      <c r="K60" s="4">
        <f>VLOOKUP(B60,'68 - Summary Exhibit'!A:N,9,FALSE)</f>
        <v>0</v>
      </c>
      <c r="L60" s="4">
        <f>VLOOKUP(B60,'68 - Summary Exhibit'!A:N,10,FALSE)</f>
        <v>0</v>
      </c>
      <c r="M60" s="4">
        <f>VLOOKUP(B60,'68 - Summary Exhibit'!A:N,11,FALSE)</f>
        <v>199458</v>
      </c>
      <c r="N60" s="4">
        <f>VLOOKUP(B60,'68 - Summary Exhibit'!A:N,12,FALSE)</f>
        <v>2929012</v>
      </c>
      <c r="O60" s="4">
        <f>VLOOKUP(B60,'68 - Summary Exhibit'!A:N,13,FALSE)</f>
        <v>-133701</v>
      </c>
      <c r="P60" s="4">
        <f t="shared" si="12"/>
        <v>2795311</v>
      </c>
      <c r="Q60" s="4">
        <f>VLOOKUP(B60,'68- Deferred Amortization'!A:G,3,FALSE)</f>
        <v>1324961.9118350537</v>
      </c>
      <c r="R60" s="4">
        <f>VLOOKUP(B60,'68- Deferred Amortization'!A:G,4,FALSE)</f>
        <v>729988.42573505372</v>
      </c>
      <c r="S60" s="4">
        <f>VLOOKUP(B60,'68- Deferred Amortization'!A:G,5,FALSE)</f>
        <v>2014898.6446171924</v>
      </c>
      <c r="T60" s="4">
        <f>VLOOKUP(B60,'68- Deferred Amortization'!A:G,6,FALSE)</f>
        <v>135129.72330000001</v>
      </c>
      <c r="U60" s="4">
        <f>VLOOKUP(B60,'68- Deferred Amortization'!A:G,7,FALSE)</f>
        <v>0</v>
      </c>
      <c r="V60" s="4">
        <f t="shared" si="13"/>
        <v>-1</v>
      </c>
      <c r="W60" s="4">
        <f t="shared" si="14"/>
        <v>-1</v>
      </c>
      <c r="X60">
        <v>2</v>
      </c>
      <c r="AC60" s="6">
        <v>10299029</v>
      </c>
      <c r="AD60" s="6">
        <v>44843</v>
      </c>
      <c r="AE60" s="6">
        <v>3382614</v>
      </c>
      <c r="AF60" s="6">
        <v>812554</v>
      </c>
      <c r="AG60" s="4">
        <v>0</v>
      </c>
      <c r="AH60" s="4">
        <v>140377</v>
      </c>
      <c r="AI60" s="4">
        <v>0</v>
      </c>
      <c r="AJ60" s="4">
        <v>0</v>
      </c>
      <c r="AK60" s="4">
        <v>249224</v>
      </c>
      <c r="AM60" s="4">
        <f t="shared" si="15"/>
        <v>0</v>
      </c>
      <c r="AN60" s="4">
        <f t="shared" si="16"/>
        <v>-49766</v>
      </c>
      <c r="AO60" s="6">
        <f t="shared" si="17"/>
        <v>881153</v>
      </c>
      <c r="AP60" s="4">
        <f t="shared" si="18"/>
        <v>-56542</v>
      </c>
      <c r="AQ60" s="4">
        <f t="shared" si="19"/>
        <v>-413654</v>
      </c>
      <c r="AR60" s="4">
        <f t="shared" si="20"/>
        <v>0</v>
      </c>
      <c r="AS60" s="4">
        <f t="shared" si="21"/>
        <v>1059593</v>
      </c>
      <c r="AT60" s="4">
        <f t="shared" si="22"/>
        <v>-219239</v>
      </c>
      <c r="AU60" s="4">
        <f t="shared" si="23"/>
        <v>0</v>
      </c>
    </row>
    <row r="61" spans="1:47">
      <c r="A61" t="s">
        <v>238</v>
      </c>
      <c r="B61">
        <v>37705</v>
      </c>
      <c r="C61" s="4">
        <f>VLOOKUP(B61,'ER Contributions'!A:D,4,FALSE)</f>
        <v>2287669</v>
      </c>
      <c r="D61" s="5">
        <f>VLOOKUP(B61,'ER Contributions'!A:D,3,FALSE)</f>
        <v>7.4470000000000005E-4</v>
      </c>
      <c r="E61" s="6">
        <f>VLOOKUP(B61,'68 - Summary Exhibit'!A:N,3,FALSE)</f>
        <v>12415626</v>
      </c>
      <c r="F61" s="6">
        <f>VLOOKUP(B61,'68 - Summary Exhibit'!A:N,4,FALSE)</f>
        <v>1012167</v>
      </c>
      <c r="G61" s="6">
        <f>VLOOKUP(B61,'68 - Summary Exhibit'!A:N,5,FALSE)</f>
        <v>3457751</v>
      </c>
      <c r="H61" s="6">
        <f>VLOOKUP(B61,'68 - Summary Exhibit'!A:N,6,FALSE)</f>
        <v>436020</v>
      </c>
      <c r="I61" s="4">
        <f>VLOOKUP(B61,'68 - Summary Exhibit'!A:N,7,FALSE)</f>
        <v>294988</v>
      </c>
      <c r="J61" s="4">
        <f>VLOOKUP(B61,'68 - Summary Exhibit'!A:N,8,FALSE)</f>
        <v>91636</v>
      </c>
      <c r="K61" s="4">
        <f>VLOOKUP(B61,'68 - Summary Exhibit'!A:N,9,FALSE)</f>
        <v>0</v>
      </c>
      <c r="L61" s="4">
        <f>VLOOKUP(B61,'68 - Summary Exhibit'!A:N,10,FALSE)</f>
        <v>0</v>
      </c>
      <c r="M61" s="4">
        <f>VLOOKUP(B61,'68 - Summary Exhibit'!A:N,11,FALSE)</f>
        <v>126858</v>
      </c>
      <c r="N61" s="4">
        <f>VLOOKUP(B61,'68 - Summary Exhibit'!A:N,12,FALSE)</f>
        <v>3201578</v>
      </c>
      <c r="O61" s="4">
        <f>VLOOKUP(B61,'68 - Summary Exhibit'!A:N,13,FALSE)</f>
        <v>-14127</v>
      </c>
      <c r="P61" s="4">
        <f t="shared" si="12"/>
        <v>3187451</v>
      </c>
      <c r="Q61" s="4">
        <f>VLOOKUP(B61,'68- Deferred Amortization'!A:G,3,FALSE)</f>
        <v>1590820.6351539355</v>
      </c>
      <c r="R61" s="4">
        <f>VLOOKUP(B61,'68- Deferred Amortization'!A:G,4,FALSE)</f>
        <v>920241.79925393546</v>
      </c>
      <c r="S61" s="4">
        <f>VLOOKUP(B61,'68- Deferred Amortization'!A:G,5,FALSE)</f>
        <v>2323665.8041381533</v>
      </c>
      <c r="T61" s="4">
        <f>VLOOKUP(B61,'68- Deferred Amortization'!A:G,6,FALSE)</f>
        <v>147704.54270000002</v>
      </c>
      <c r="U61" s="4">
        <f>VLOOKUP(B61,'68- Deferred Amortization'!A:G,7,FALSE)</f>
        <v>0</v>
      </c>
      <c r="V61" s="4">
        <f t="shared" si="13"/>
        <v>-1</v>
      </c>
      <c r="W61" s="4">
        <f t="shared" si="14"/>
        <v>-1</v>
      </c>
      <c r="X61">
        <v>2</v>
      </c>
      <c r="AC61" s="6">
        <v>10456357</v>
      </c>
      <c r="AD61" s="6">
        <v>45528</v>
      </c>
      <c r="AE61" s="6">
        <v>3434287</v>
      </c>
      <c r="AF61" s="6">
        <v>824967</v>
      </c>
      <c r="AG61" s="4">
        <v>0</v>
      </c>
      <c r="AH61" s="4">
        <v>142522</v>
      </c>
      <c r="AI61" s="4">
        <v>0</v>
      </c>
      <c r="AJ61" s="4">
        <v>0</v>
      </c>
      <c r="AK61" s="4">
        <v>239314</v>
      </c>
      <c r="AM61" s="4">
        <f t="shared" si="15"/>
        <v>294988</v>
      </c>
      <c r="AN61" s="4">
        <f t="shared" si="16"/>
        <v>-112456</v>
      </c>
      <c r="AO61" s="6">
        <f t="shared" si="17"/>
        <v>966639</v>
      </c>
      <c r="AP61" s="4">
        <f t="shared" si="18"/>
        <v>-50886</v>
      </c>
      <c r="AQ61" s="4">
        <f t="shared" si="19"/>
        <v>-388947</v>
      </c>
      <c r="AR61" s="4">
        <f t="shared" si="20"/>
        <v>0</v>
      </c>
      <c r="AS61" s="4">
        <f t="shared" si="21"/>
        <v>1959269</v>
      </c>
      <c r="AT61" s="4">
        <f t="shared" si="22"/>
        <v>23464</v>
      </c>
      <c r="AU61" s="4">
        <f t="shared" si="23"/>
        <v>0</v>
      </c>
    </row>
    <row r="62" spans="1:47">
      <c r="A62" t="s">
        <v>239</v>
      </c>
      <c r="B62">
        <v>34605</v>
      </c>
      <c r="C62" s="4">
        <f>VLOOKUP(B62,'ER Contributions'!A:D,4,FALSE)</f>
        <v>612644</v>
      </c>
      <c r="D62" s="5">
        <f>VLOOKUP(B62,'ER Contributions'!A:D,3,FALSE)</f>
        <v>1.9479999999999999E-4</v>
      </c>
      <c r="E62" s="6">
        <f>VLOOKUP(B62,'68 - Summary Exhibit'!A:N,3,FALSE)</f>
        <v>3247702</v>
      </c>
      <c r="F62" s="6">
        <f>VLOOKUP(B62,'68 - Summary Exhibit'!A:N,4,FALSE)</f>
        <v>264765</v>
      </c>
      <c r="G62" s="6">
        <f>VLOOKUP(B62,'68 - Summary Exhibit'!A:N,5,FALSE)</f>
        <v>904485</v>
      </c>
      <c r="H62" s="6">
        <f>VLOOKUP(B62,'68 - Summary Exhibit'!A:N,6,FALSE)</f>
        <v>114055</v>
      </c>
      <c r="I62" s="4">
        <f>VLOOKUP(B62,'68 - Summary Exhibit'!A:N,7,FALSE)</f>
        <v>190075</v>
      </c>
      <c r="J62" s="4">
        <f>VLOOKUP(B62,'68 - Summary Exhibit'!A:N,8,FALSE)</f>
        <v>23970</v>
      </c>
      <c r="K62" s="4">
        <f>VLOOKUP(B62,'68 - Summary Exhibit'!A:N,9,FALSE)</f>
        <v>0</v>
      </c>
      <c r="L62" s="4">
        <f>VLOOKUP(B62,'68 - Summary Exhibit'!A:N,10,FALSE)</f>
        <v>0</v>
      </c>
      <c r="M62" s="4">
        <f>VLOOKUP(B62,'68 - Summary Exhibit'!A:N,11,FALSE)</f>
        <v>24291</v>
      </c>
      <c r="N62" s="4">
        <f>VLOOKUP(B62,'68 - Summary Exhibit'!A:N,12,FALSE)</f>
        <v>837475</v>
      </c>
      <c r="O62" s="4">
        <f>VLOOKUP(B62,'68 - Summary Exhibit'!A:N,13,FALSE)</f>
        <v>12934</v>
      </c>
      <c r="P62" s="4">
        <f t="shared" si="12"/>
        <v>850409</v>
      </c>
      <c r="Q62" s="4">
        <f>VLOOKUP(B62,'68- Deferred Amortization'!A:G,3,FALSE)</f>
        <v>465418.54234473291</v>
      </c>
      <c r="R62" s="4">
        <f>VLOOKUP(B62,'68- Deferred Amortization'!A:G,4,FALSE)</f>
        <v>305020.24674473295</v>
      </c>
      <c r="S62" s="4">
        <f>VLOOKUP(B62,'68- Deferred Amortization'!A:G,5,FALSE)</f>
        <v>616042.11770213093</v>
      </c>
      <c r="T62" s="4">
        <f>VLOOKUP(B62,'68- Deferred Amortization'!A:G,6,FALSE)</f>
        <v>38636.826799999995</v>
      </c>
      <c r="U62" s="4">
        <f>VLOOKUP(B62,'68- Deferred Amortization'!A:G,7,FALSE)</f>
        <v>0</v>
      </c>
      <c r="V62" s="4">
        <f t="shared" si="13"/>
        <v>2</v>
      </c>
      <c r="W62" s="4">
        <f t="shared" si="14"/>
        <v>1</v>
      </c>
      <c r="X62">
        <v>2</v>
      </c>
      <c r="AC62" s="6">
        <v>2704256</v>
      </c>
      <c r="AD62" s="6">
        <v>11774</v>
      </c>
      <c r="AE62" s="6">
        <v>888186</v>
      </c>
      <c r="AF62" s="6">
        <v>213355</v>
      </c>
      <c r="AG62" s="4">
        <v>132407</v>
      </c>
      <c r="AH62" s="4">
        <v>36859</v>
      </c>
      <c r="AI62" s="4">
        <v>0</v>
      </c>
      <c r="AJ62" s="4">
        <v>0</v>
      </c>
      <c r="AK62" s="4">
        <v>89427</v>
      </c>
      <c r="AM62" s="4">
        <f t="shared" si="15"/>
        <v>57668</v>
      </c>
      <c r="AN62" s="4">
        <f t="shared" si="16"/>
        <v>-65136</v>
      </c>
      <c r="AO62" s="6">
        <f t="shared" si="17"/>
        <v>252991</v>
      </c>
      <c r="AP62" s="4">
        <f t="shared" si="18"/>
        <v>-12889</v>
      </c>
      <c r="AQ62" s="4">
        <f t="shared" si="19"/>
        <v>-99300</v>
      </c>
      <c r="AR62" s="4">
        <f t="shared" si="20"/>
        <v>0</v>
      </c>
      <c r="AS62" s="4">
        <f t="shared" si="21"/>
        <v>543446</v>
      </c>
      <c r="AT62" s="4">
        <f t="shared" si="22"/>
        <v>16299</v>
      </c>
      <c r="AU62" s="4">
        <f t="shared" si="23"/>
        <v>0</v>
      </c>
    </row>
    <row r="63" spans="1:47">
      <c r="A63" t="s">
        <v>240</v>
      </c>
      <c r="B63">
        <v>37805</v>
      </c>
      <c r="C63" s="4">
        <f>VLOOKUP(B63,'ER Contributions'!A:D,4,FALSE)</f>
        <v>1979423</v>
      </c>
      <c r="D63" s="5">
        <f>VLOOKUP(B63,'ER Contributions'!A:D,3,FALSE)</f>
        <v>6.3029999999999998E-4</v>
      </c>
      <c r="E63" s="6">
        <f>VLOOKUP(B63,'68 - Summary Exhibit'!A:N,3,FALSE)</f>
        <v>10508351</v>
      </c>
      <c r="F63" s="6">
        <f>VLOOKUP(B63,'68 - Summary Exhibit'!A:N,4,FALSE)</f>
        <v>856679</v>
      </c>
      <c r="G63" s="6">
        <f>VLOOKUP(B63,'68 - Summary Exhibit'!A:N,5,FALSE)</f>
        <v>2926575</v>
      </c>
      <c r="H63" s="6">
        <f>VLOOKUP(B63,'68 - Summary Exhibit'!A:N,6,FALSE)</f>
        <v>369039</v>
      </c>
      <c r="I63" s="4">
        <f>VLOOKUP(B63,'68 - Summary Exhibit'!A:N,7,FALSE)</f>
        <v>245859</v>
      </c>
      <c r="J63" s="4">
        <f>VLOOKUP(B63,'68 - Summary Exhibit'!A:N,8,FALSE)</f>
        <v>77559</v>
      </c>
      <c r="K63" s="4">
        <f>VLOOKUP(B63,'68 - Summary Exhibit'!A:N,9,FALSE)</f>
        <v>0</v>
      </c>
      <c r="L63" s="4">
        <f>VLOOKUP(B63,'68 - Summary Exhibit'!A:N,10,FALSE)</f>
        <v>0</v>
      </c>
      <c r="M63" s="4">
        <f>VLOOKUP(B63,'68 - Summary Exhibit'!A:N,11,FALSE)</f>
        <v>0</v>
      </c>
      <c r="N63" s="4">
        <f>VLOOKUP(B63,'68 - Summary Exhibit'!A:N,12,FALSE)</f>
        <v>2709755</v>
      </c>
      <c r="O63" s="4">
        <f>VLOOKUP(B63,'68 - Summary Exhibit'!A:N,13,FALSE)</f>
        <v>160149</v>
      </c>
      <c r="P63" s="4">
        <f t="shared" si="12"/>
        <v>2869904</v>
      </c>
      <c r="Q63" s="4">
        <f>VLOOKUP(B63,'68- Deferred Amortization'!A:G,3,FALSE)</f>
        <v>1447668.8445927319</v>
      </c>
      <c r="R63" s="4">
        <f>VLOOKUP(B63,'68- Deferred Amortization'!A:G,4,FALSE)</f>
        <v>831214.30549273186</v>
      </c>
      <c r="S63" s="4">
        <f>VLOOKUP(B63,'68- Deferred Amortization'!A:G,5,FALSE)</f>
        <v>1916695.7061540342</v>
      </c>
      <c r="T63" s="4">
        <f>VLOOKUP(B63,'68- Deferred Amortization'!A:G,6,FALSE)</f>
        <v>125014.33229999999</v>
      </c>
      <c r="U63" s="4">
        <f>VLOOKUP(B63,'68- Deferred Amortization'!A:G,7,FALSE)</f>
        <v>0</v>
      </c>
      <c r="V63" s="4">
        <f t="shared" si="13"/>
        <v>-1</v>
      </c>
      <c r="W63" s="4">
        <f t="shared" si="14"/>
        <v>0</v>
      </c>
      <c r="X63">
        <v>2</v>
      </c>
      <c r="AC63" s="6">
        <v>9254135</v>
      </c>
      <c r="AD63" s="6">
        <v>40293</v>
      </c>
      <c r="AE63" s="6">
        <v>3039429</v>
      </c>
      <c r="AF63" s="6">
        <v>730116</v>
      </c>
      <c r="AG63" s="4">
        <v>273156</v>
      </c>
      <c r="AH63" s="4">
        <v>126135</v>
      </c>
      <c r="AI63" s="4">
        <v>0</v>
      </c>
      <c r="AJ63" s="4">
        <v>0</v>
      </c>
      <c r="AK63" s="4">
        <v>0</v>
      </c>
      <c r="AM63" s="4">
        <f t="shared" si="15"/>
        <v>-27297</v>
      </c>
      <c r="AN63" s="4">
        <f t="shared" si="16"/>
        <v>0</v>
      </c>
      <c r="AO63" s="6">
        <f t="shared" si="17"/>
        <v>816386</v>
      </c>
      <c r="AP63" s="4">
        <f t="shared" si="18"/>
        <v>-48576</v>
      </c>
      <c r="AQ63" s="4">
        <f t="shared" si="19"/>
        <v>-361077</v>
      </c>
      <c r="AR63" s="4">
        <f t="shared" si="20"/>
        <v>0</v>
      </c>
      <c r="AS63" s="4">
        <f t="shared" si="21"/>
        <v>1254216</v>
      </c>
      <c r="AT63" s="4">
        <f t="shared" si="22"/>
        <v>-112854</v>
      </c>
      <c r="AU63" s="4">
        <f t="shared" si="23"/>
        <v>0</v>
      </c>
    </row>
    <row r="64" spans="1:47">
      <c r="A64" t="s">
        <v>241</v>
      </c>
      <c r="B64">
        <v>37905</v>
      </c>
      <c r="C64" s="4">
        <f>VLOOKUP(B64,'ER Contributions'!A:D,4,FALSE)</f>
        <v>1455379</v>
      </c>
      <c r="D64" s="5">
        <f>VLOOKUP(B64,'ER Contributions'!A:D,3,FALSE)</f>
        <v>4.3859999999999998E-4</v>
      </c>
      <c r="E64" s="6">
        <f>VLOOKUP(B64,'68 - Summary Exhibit'!A:N,3,FALSE)</f>
        <v>7312332</v>
      </c>
      <c r="F64" s="6">
        <f>VLOOKUP(B64,'68 - Summary Exhibit'!A:N,4,FALSE)</f>
        <v>596128</v>
      </c>
      <c r="G64" s="6">
        <f>VLOOKUP(B64,'68 - Summary Exhibit'!A:N,5,FALSE)</f>
        <v>2036484</v>
      </c>
      <c r="H64" s="6">
        <f>VLOOKUP(B64,'68 - Summary Exhibit'!A:N,6,FALSE)</f>
        <v>256799</v>
      </c>
      <c r="I64" s="4">
        <f>VLOOKUP(B64,'68 - Summary Exhibit'!A:N,7,FALSE)</f>
        <v>67730</v>
      </c>
      <c r="J64" s="4">
        <f>VLOOKUP(B64,'68 - Summary Exhibit'!A:N,8,FALSE)</f>
        <v>53970</v>
      </c>
      <c r="K64" s="4">
        <f>VLOOKUP(B64,'68 - Summary Exhibit'!A:N,9,FALSE)</f>
        <v>0</v>
      </c>
      <c r="L64" s="4">
        <f>VLOOKUP(B64,'68 - Summary Exhibit'!A:N,10,FALSE)</f>
        <v>0</v>
      </c>
      <c r="M64" s="4">
        <f>VLOOKUP(B64,'68 - Summary Exhibit'!A:N,11,FALSE)</f>
        <v>13617</v>
      </c>
      <c r="N64" s="4">
        <f>VLOOKUP(B64,'68 - Summary Exhibit'!A:N,12,FALSE)</f>
        <v>1885608</v>
      </c>
      <c r="O64" s="4">
        <f>VLOOKUP(B64,'68 - Summary Exhibit'!A:N,13,FALSE)</f>
        <v>44952</v>
      </c>
      <c r="P64" s="4">
        <f t="shared" si="12"/>
        <v>1930560</v>
      </c>
      <c r="Q64" s="4">
        <f>VLOOKUP(B64,'68- Deferred Amortization'!A:G,3,FALSE)</f>
        <v>975486.9675625863</v>
      </c>
      <c r="R64" s="4">
        <f>VLOOKUP(B64,'68- Deferred Amortization'!A:G,4,FALSE)</f>
        <v>510307.62336258637</v>
      </c>
      <c r="S64" s="4">
        <f>VLOOKUP(B64,'68- Deferred Amortization'!A:G,5,FALSE)</f>
        <v>1316767.2602183544</v>
      </c>
      <c r="T64" s="4">
        <f>VLOOKUP(B64,'68- Deferred Amortization'!A:G,6,FALSE)</f>
        <v>86992.362599999993</v>
      </c>
      <c r="U64" s="4">
        <f>VLOOKUP(B64,'68- Deferred Amortization'!A:G,7,FALSE)</f>
        <v>0</v>
      </c>
      <c r="V64" s="4">
        <f t="shared" si="13"/>
        <v>0</v>
      </c>
      <c r="W64" s="4">
        <f t="shared" si="14"/>
        <v>0</v>
      </c>
      <c r="X64">
        <v>2</v>
      </c>
      <c r="AC64" s="6">
        <v>6681976</v>
      </c>
      <c r="AD64" s="6">
        <v>29094</v>
      </c>
      <c r="AE64" s="6">
        <v>2194629</v>
      </c>
      <c r="AF64" s="6">
        <v>527182</v>
      </c>
      <c r="AG64" s="4">
        <v>98689</v>
      </c>
      <c r="AH64" s="4">
        <v>91076</v>
      </c>
      <c r="AI64" s="4">
        <v>0</v>
      </c>
      <c r="AJ64" s="4">
        <v>0</v>
      </c>
      <c r="AK64" s="4">
        <v>24139</v>
      </c>
      <c r="AM64" s="4">
        <f t="shared" si="15"/>
        <v>-30959</v>
      </c>
      <c r="AN64" s="4">
        <f t="shared" si="16"/>
        <v>-10522</v>
      </c>
      <c r="AO64" s="6">
        <f t="shared" si="17"/>
        <v>567034</v>
      </c>
      <c r="AP64" s="4">
        <f t="shared" si="18"/>
        <v>-37106</v>
      </c>
      <c r="AQ64" s="4">
        <f t="shared" si="19"/>
        <v>-270383</v>
      </c>
      <c r="AR64" s="4">
        <f t="shared" si="20"/>
        <v>0</v>
      </c>
      <c r="AS64" s="4">
        <f t="shared" si="21"/>
        <v>630356</v>
      </c>
      <c r="AT64" s="4">
        <f t="shared" si="22"/>
        <v>-158145</v>
      </c>
      <c r="AU64" s="4">
        <f t="shared" si="23"/>
        <v>0</v>
      </c>
    </row>
    <row r="65" spans="1:47">
      <c r="A65" t="s">
        <v>242</v>
      </c>
      <c r="B65">
        <v>38005</v>
      </c>
      <c r="C65" s="4">
        <f>VLOOKUP(B65,'ER Contributions'!A:D,4,FALSE)</f>
        <v>4461180</v>
      </c>
      <c r="D65" s="5">
        <f>VLOOKUP(B65,'ER Contributions'!A:D,3,FALSE)</f>
        <v>1.4444E-3</v>
      </c>
      <c r="E65" s="6">
        <f>VLOOKUP(B65,'68 - Summary Exhibit'!A:N,3,FALSE)</f>
        <v>24081012</v>
      </c>
      <c r="F65" s="6">
        <f>VLOOKUP(B65,'68 - Summary Exhibit'!A:N,4,FALSE)</f>
        <v>1963172</v>
      </c>
      <c r="G65" s="6">
        <f>VLOOKUP(B65,'68 - Summary Exhibit'!A:N,5,FALSE)</f>
        <v>6706560</v>
      </c>
      <c r="H65" s="6">
        <f>VLOOKUP(B65,'68 - Summary Exhibit'!A:N,6,FALSE)</f>
        <v>845693</v>
      </c>
      <c r="I65" s="4">
        <f>VLOOKUP(B65,'68 - Summary Exhibit'!A:N,7,FALSE)</f>
        <v>194936</v>
      </c>
      <c r="J65" s="4">
        <f>VLOOKUP(B65,'68 - Summary Exhibit'!A:N,8,FALSE)</f>
        <v>177735</v>
      </c>
      <c r="K65" s="4">
        <f>VLOOKUP(B65,'68 - Summary Exhibit'!A:N,9,FALSE)</f>
        <v>0</v>
      </c>
      <c r="L65" s="4">
        <f>VLOOKUP(B65,'68 - Summary Exhibit'!A:N,10,FALSE)</f>
        <v>0</v>
      </c>
      <c r="M65" s="4">
        <f>VLOOKUP(B65,'68 - Summary Exhibit'!A:N,11,FALSE)</f>
        <v>0</v>
      </c>
      <c r="N65" s="4">
        <f>VLOOKUP(B65,'68 - Summary Exhibit'!A:N,12,FALSE)</f>
        <v>6209694</v>
      </c>
      <c r="O65" s="4">
        <f>VLOOKUP(B65,'68 - Summary Exhibit'!A:N,13,FALSE)</f>
        <v>154429</v>
      </c>
      <c r="P65" s="4">
        <f t="shared" si="12"/>
        <v>6364123</v>
      </c>
      <c r="Q65" s="4">
        <f>VLOOKUP(B65,'68- Deferred Amortization'!A:G,3,FALSE)</f>
        <v>3141260.0326118488</v>
      </c>
      <c r="R65" s="4">
        <f>VLOOKUP(B65,'68- Deferred Amortization'!A:G,4,FALSE)</f>
        <v>1762967.7258118486</v>
      </c>
      <c r="S65" s="4">
        <f>VLOOKUP(B65,'68- Deferred Amortization'!A:G,5,FALSE)</f>
        <v>4341915.3586723441</v>
      </c>
      <c r="T65" s="4">
        <f>VLOOKUP(B65,'68- Deferred Amortization'!A:G,6,FALSE)</f>
        <v>286483.74040000001</v>
      </c>
      <c r="U65" s="4">
        <f>VLOOKUP(B65,'68- Deferred Amortization'!A:G,7,FALSE)</f>
        <v>0</v>
      </c>
      <c r="V65" s="4">
        <f t="shared" si="13"/>
        <v>0</v>
      </c>
      <c r="W65" s="4">
        <f t="shared" si="14"/>
        <v>-1</v>
      </c>
      <c r="X65">
        <v>2</v>
      </c>
      <c r="AC65" s="6">
        <v>21417349</v>
      </c>
      <c r="AD65" s="6">
        <v>93252</v>
      </c>
      <c r="AE65" s="6">
        <v>7034316</v>
      </c>
      <c r="AF65" s="6">
        <v>1689747</v>
      </c>
      <c r="AG65" s="4">
        <v>246513</v>
      </c>
      <c r="AH65" s="4">
        <v>291922</v>
      </c>
      <c r="AI65" s="4">
        <v>0</v>
      </c>
      <c r="AJ65" s="4">
        <v>0</v>
      </c>
      <c r="AK65" s="4">
        <v>0</v>
      </c>
      <c r="AM65" s="4">
        <f t="shared" si="15"/>
        <v>-51577</v>
      </c>
      <c r="AN65" s="4">
        <f t="shared" si="16"/>
        <v>0</v>
      </c>
      <c r="AO65" s="6">
        <f t="shared" si="17"/>
        <v>1869920</v>
      </c>
      <c r="AP65" s="4">
        <f t="shared" si="18"/>
        <v>-114187</v>
      </c>
      <c r="AQ65" s="4">
        <f t="shared" si="19"/>
        <v>-844054</v>
      </c>
      <c r="AR65" s="4">
        <f t="shared" si="20"/>
        <v>0</v>
      </c>
      <c r="AS65" s="4">
        <f t="shared" si="21"/>
        <v>2663663</v>
      </c>
      <c r="AT65" s="4">
        <f t="shared" si="22"/>
        <v>-327756</v>
      </c>
      <c r="AU65" s="4">
        <f t="shared" si="23"/>
        <v>0</v>
      </c>
    </row>
    <row r="66" spans="1:47">
      <c r="A66" t="s">
        <v>243</v>
      </c>
      <c r="B66">
        <v>38205</v>
      </c>
      <c r="C66" s="4">
        <f>VLOOKUP(B66,'ER Contributions'!A:D,4,FALSE)</f>
        <v>1355267</v>
      </c>
      <c r="D66" s="5">
        <f>VLOOKUP(B66,'ER Contributions'!A:D,3,FALSE)</f>
        <v>4.5419999999999998E-4</v>
      </c>
      <c r="E66" s="6">
        <f>VLOOKUP(B66,'68 - Summary Exhibit'!A:N,3,FALSE)</f>
        <v>7572415</v>
      </c>
      <c r="F66" s="6">
        <f>VLOOKUP(B66,'68 - Summary Exhibit'!A:N,4,FALSE)</f>
        <v>617331</v>
      </c>
      <c r="G66" s="6">
        <f>VLOOKUP(B66,'68 - Summary Exhibit'!A:N,5,FALSE)</f>
        <v>2108917</v>
      </c>
      <c r="H66" s="6">
        <f>VLOOKUP(B66,'68 - Summary Exhibit'!A:N,6,FALSE)</f>
        <v>265933</v>
      </c>
      <c r="I66" s="4">
        <f>VLOOKUP(B66,'68 - Summary Exhibit'!A:N,7,FALSE)</f>
        <v>181952</v>
      </c>
      <c r="J66" s="4">
        <f>VLOOKUP(B66,'68 - Summary Exhibit'!A:N,8,FALSE)</f>
        <v>55890</v>
      </c>
      <c r="K66" s="4">
        <f>VLOOKUP(B66,'68 - Summary Exhibit'!A:N,9,FALSE)</f>
        <v>0</v>
      </c>
      <c r="L66" s="4">
        <f>VLOOKUP(B66,'68 - Summary Exhibit'!A:N,10,FALSE)</f>
        <v>0</v>
      </c>
      <c r="M66" s="4">
        <f>VLOOKUP(B66,'68 - Summary Exhibit'!A:N,11,FALSE)</f>
        <v>50006</v>
      </c>
      <c r="N66" s="4">
        <f>VLOOKUP(B66,'68 - Summary Exhibit'!A:N,12,FALSE)</f>
        <v>1952674</v>
      </c>
      <c r="O66" s="4">
        <f>VLOOKUP(B66,'68 - Summary Exhibit'!A:N,13,FALSE)</f>
        <v>59685</v>
      </c>
      <c r="P66" s="4">
        <f t="shared" si="12"/>
        <v>2012359</v>
      </c>
      <c r="Q66" s="4">
        <f>VLOOKUP(B66,'68- Deferred Amortization'!A:G,3,FALSE)</f>
        <v>981406.95562540786</v>
      </c>
      <c r="R66" s="4">
        <f>VLOOKUP(B66,'68- Deferred Amortization'!A:G,4,FALSE)</f>
        <v>578838.29822540807</v>
      </c>
      <c r="S66" s="4">
        <f>VLOOKUP(B66,'68- Deferred Amortization'!A:G,5,FALSE)</f>
        <v>1417905.6161074615</v>
      </c>
      <c r="T66" s="4">
        <f>VLOOKUP(B66,'68- Deferred Amortization'!A:G,6,FALSE)</f>
        <v>90086.482199999999</v>
      </c>
      <c r="U66" s="4">
        <f>VLOOKUP(B66,'68- Deferred Amortization'!A:G,7,FALSE)</f>
        <v>0</v>
      </c>
      <c r="V66" s="4">
        <f t="shared" si="13"/>
        <v>-2</v>
      </c>
      <c r="W66" s="4">
        <f t="shared" si="14"/>
        <v>0</v>
      </c>
      <c r="X66">
        <v>2</v>
      </c>
      <c r="AC66" s="6">
        <v>6306467</v>
      </c>
      <c r="AD66" s="6">
        <v>27459</v>
      </c>
      <c r="AE66" s="6">
        <v>2071297</v>
      </c>
      <c r="AF66" s="6">
        <v>497556</v>
      </c>
      <c r="AG66" s="4">
        <v>38065</v>
      </c>
      <c r="AH66" s="4">
        <v>85958</v>
      </c>
      <c r="AI66" s="4">
        <v>0</v>
      </c>
      <c r="AJ66" s="4">
        <v>0</v>
      </c>
      <c r="AK66" s="4">
        <v>89036</v>
      </c>
      <c r="AM66" s="4">
        <f t="shared" si="15"/>
        <v>143887</v>
      </c>
      <c r="AN66" s="4">
        <f t="shared" si="16"/>
        <v>-39030</v>
      </c>
      <c r="AO66" s="6">
        <f t="shared" si="17"/>
        <v>589872</v>
      </c>
      <c r="AP66" s="4">
        <f t="shared" si="18"/>
        <v>-30068</v>
      </c>
      <c r="AQ66" s="4">
        <f t="shared" si="19"/>
        <v>-231623</v>
      </c>
      <c r="AR66" s="4">
        <f t="shared" si="20"/>
        <v>0</v>
      </c>
      <c r="AS66" s="4">
        <f t="shared" si="21"/>
        <v>1265948</v>
      </c>
      <c r="AT66" s="4">
        <f t="shared" si="22"/>
        <v>37620</v>
      </c>
      <c r="AU66" s="4">
        <f t="shared" si="23"/>
        <v>0</v>
      </c>
    </row>
    <row r="67" spans="1:47">
      <c r="A67" t="s">
        <v>244</v>
      </c>
      <c r="B67">
        <v>36305</v>
      </c>
      <c r="C67" s="4">
        <f>VLOOKUP(B67,'ER Contributions'!A:D,4,FALSE)</f>
        <v>3236277</v>
      </c>
      <c r="D67" s="5">
        <f>VLOOKUP(B67,'ER Contributions'!A:D,3,FALSE)</f>
        <v>1.0313E-3</v>
      </c>
      <c r="E67" s="6">
        <f>VLOOKUP(B67,'68 - Summary Exhibit'!A:N,3,FALSE)</f>
        <v>17193816</v>
      </c>
      <c r="F67" s="6">
        <f>VLOOKUP(B67,'68 - Summary Exhibit'!A:N,4,FALSE)</f>
        <v>1401703</v>
      </c>
      <c r="G67" s="6">
        <f>VLOOKUP(B67,'68 - Summary Exhibit'!A:N,5,FALSE)</f>
        <v>4788476</v>
      </c>
      <c r="H67" s="6">
        <f>VLOOKUP(B67,'68 - Summary Exhibit'!A:N,6,FALSE)</f>
        <v>603824</v>
      </c>
      <c r="I67" s="4">
        <f>VLOOKUP(B67,'68 - Summary Exhibit'!A:N,7,FALSE)</f>
        <v>736835</v>
      </c>
      <c r="J67" s="4">
        <f>VLOOKUP(B67,'68 - Summary Exhibit'!A:N,8,FALSE)</f>
        <v>126902</v>
      </c>
      <c r="K67" s="4">
        <f>VLOOKUP(B67,'68 - Summary Exhibit'!A:N,9,FALSE)</f>
        <v>0</v>
      </c>
      <c r="L67" s="4">
        <f>VLOOKUP(B67,'68 - Summary Exhibit'!A:N,10,FALSE)</f>
        <v>0</v>
      </c>
      <c r="M67" s="4">
        <f>VLOOKUP(B67,'68 - Summary Exhibit'!A:N,11,FALSE)</f>
        <v>0</v>
      </c>
      <c r="N67" s="4">
        <f>VLOOKUP(B67,'68 - Summary Exhibit'!A:N,12,FALSE)</f>
        <v>4433714</v>
      </c>
      <c r="O67" s="4">
        <f>VLOOKUP(B67,'68 - Summary Exhibit'!A:N,13,FALSE)</f>
        <v>378294</v>
      </c>
      <c r="P67" s="4">
        <f t="shared" ref="P67:P80" si="24">N67+O67</f>
        <v>4812008</v>
      </c>
      <c r="Q67" s="4">
        <f>VLOOKUP(B67,'68- Deferred Amortization'!A:G,3,FALSE)</f>
        <v>2511731.1912099603</v>
      </c>
      <c r="R67" s="4">
        <f>VLOOKUP(B67,'68- Deferred Amortization'!A:G,4,FALSE)</f>
        <v>1449257.7551099604</v>
      </c>
      <c r="S67" s="4">
        <f>VLOOKUP(B67,'68- Deferred Amortization'!A:G,5,FALSE)</f>
        <v>3238398.2435075669</v>
      </c>
      <c r="T67" s="4">
        <f>VLOOKUP(B67,'68- Deferred Amortization'!A:G,6,FALSE)</f>
        <v>204549.07329999999</v>
      </c>
      <c r="U67" s="4">
        <f>VLOOKUP(B67,'68- Deferred Amortization'!A:G,7,FALSE)</f>
        <v>0</v>
      </c>
      <c r="V67" s="4">
        <f t="shared" si="13"/>
        <v>0</v>
      </c>
      <c r="W67" s="4">
        <f t="shared" si="14"/>
        <v>0</v>
      </c>
      <c r="X67">
        <v>2</v>
      </c>
      <c r="AC67" s="6">
        <v>14457824</v>
      </c>
      <c r="AD67" s="6">
        <v>62950</v>
      </c>
      <c r="AE67" s="6">
        <v>4748529</v>
      </c>
      <c r="AF67" s="6">
        <v>1140667</v>
      </c>
      <c r="AG67" s="4">
        <v>488591</v>
      </c>
      <c r="AH67" s="4">
        <v>197062</v>
      </c>
      <c r="AI67" s="4">
        <v>0</v>
      </c>
      <c r="AJ67" s="4">
        <v>0</v>
      </c>
      <c r="AK67" s="4">
        <v>0</v>
      </c>
      <c r="AM67" s="4">
        <f t="shared" si="15"/>
        <v>248244</v>
      </c>
      <c r="AN67" s="4">
        <f t="shared" si="16"/>
        <v>0</v>
      </c>
      <c r="AO67" s="6">
        <f t="shared" si="17"/>
        <v>1338753</v>
      </c>
      <c r="AP67" s="4">
        <f t="shared" si="18"/>
        <v>-70160</v>
      </c>
      <c r="AQ67" s="4">
        <f t="shared" si="19"/>
        <v>-536843</v>
      </c>
      <c r="AR67" s="4">
        <f t="shared" si="20"/>
        <v>0</v>
      </c>
      <c r="AS67" s="4">
        <f t="shared" si="21"/>
        <v>2735992</v>
      </c>
      <c r="AT67" s="4">
        <f t="shared" si="22"/>
        <v>39947</v>
      </c>
      <c r="AU67" s="4">
        <f t="shared" si="23"/>
        <v>0</v>
      </c>
    </row>
    <row r="68" spans="1:47">
      <c r="A68" t="s">
        <v>245</v>
      </c>
      <c r="B68">
        <v>30405</v>
      </c>
      <c r="C68" s="4">
        <f>VLOOKUP(B68,'ER Contributions'!A:D,4,FALSE)</f>
        <v>2218324</v>
      </c>
      <c r="D68" s="5">
        <f>VLOOKUP(B68,'ER Contributions'!A:D,3,FALSE)</f>
        <v>7.2550000000000002E-4</v>
      </c>
      <c r="E68" s="6">
        <f>VLOOKUP(B68,'68 - Summary Exhibit'!A:N,3,FALSE)</f>
        <v>12095524</v>
      </c>
      <c r="F68" s="6">
        <f>VLOOKUP(B68,'68 - Summary Exhibit'!A:N,4,FALSE)</f>
        <v>986071</v>
      </c>
      <c r="G68" s="6">
        <f>VLOOKUP(B68,'68 - Summary Exhibit'!A:N,5,FALSE)</f>
        <v>3368602</v>
      </c>
      <c r="H68" s="6">
        <f>VLOOKUP(B68,'68 - Summary Exhibit'!A:N,6,FALSE)</f>
        <v>424779</v>
      </c>
      <c r="I68" s="4">
        <f>VLOOKUP(B68,'68 - Summary Exhibit'!A:N,7,FALSE)</f>
        <v>218929</v>
      </c>
      <c r="J68" s="4">
        <f>VLOOKUP(B68,'68 - Summary Exhibit'!A:N,8,FALSE)</f>
        <v>89274</v>
      </c>
      <c r="K68" s="4">
        <f>VLOOKUP(B68,'68 - Summary Exhibit'!A:N,9,FALSE)</f>
        <v>0</v>
      </c>
      <c r="L68" s="4">
        <f>VLOOKUP(B68,'68 - Summary Exhibit'!A:N,10,FALSE)</f>
        <v>0</v>
      </c>
      <c r="M68" s="4">
        <f>VLOOKUP(B68,'68 - Summary Exhibit'!A:N,11,FALSE)</f>
        <v>79969</v>
      </c>
      <c r="N68" s="4">
        <f>VLOOKUP(B68,'68 - Summary Exhibit'!A:N,12,FALSE)</f>
        <v>3119034</v>
      </c>
      <c r="O68" s="4">
        <f>VLOOKUP(B68,'68 - Summary Exhibit'!A:N,13,FALSE)</f>
        <v>102211</v>
      </c>
      <c r="P68" s="4">
        <f t="shared" si="24"/>
        <v>3221245</v>
      </c>
      <c r="Q68" s="4">
        <f>VLOOKUP(B68,'68- Deferred Amortization'!A:G,3,FALSE)</f>
        <v>1641813.4716669791</v>
      </c>
      <c r="R68" s="4">
        <f>VLOOKUP(B68,'68- Deferred Amortization'!A:G,4,FALSE)</f>
        <v>902123.09816697915</v>
      </c>
      <c r="S68" s="4">
        <f>VLOOKUP(B68,'68- Deferred Amortization'!A:G,5,FALSE)</f>
        <v>2141306.0937503292</v>
      </c>
      <c r="T68" s="4">
        <f>VLOOKUP(B68,'68- Deferred Amortization'!A:G,6,FALSE)</f>
        <v>143896.39550000001</v>
      </c>
      <c r="U68" s="4">
        <f>VLOOKUP(B68,'68- Deferred Amortization'!A:G,7,FALSE)</f>
        <v>0</v>
      </c>
      <c r="V68" s="4">
        <f t="shared" ref="V68:V88" si="25">ROUND(((F68-AD68)+(G68-AE68)+(H68-AF68)+(I68-AG68)+(AI68-K68)+P68-(E68-AC68)-(J68-AH68)-(M68-AK68)-C68),0)</f>
        <v>-3</v>
      </c>
      <c r="W68" s="4">
        <f t="shared" ref="W68:W88" si="26">ROUND((F68+G68+H68+I68-J68-K68-L68-M68-Q68-R68-S68-T68-U68),0)</f>
        <v>-1</v>
      </c>
      <c r="X68">
        <v>2</v>
      </c>
      <c r="AC68" s="6">
        <v>10983256</v>
      </c>
      <c r="AD68" s="6">
        <v>47822</v>
      </c>
      <c r="AE68" s="6">
        <v>3607342</v>
      </c>
      <c r="AF68" s="6">
        <v>866537</v>
      </c>
      <c r="AG68" s="4">
        <v>354315</v>
      </c>
      <c r="AH68" s="4">
        <v>149703</v>
      </c>
      <c r="AI68" s="4">
        <v>0</v>
      </c>
      <c r="AJ68" s="4">
        <v>0</v>
      </c>
      <c r="AK68" s="4">
        <v>6519</v>
      </c>
      <c r="AM68" s="4">
        <f t="shared" ref="AM68:AM85" si="27">I68-AG68</f>
        <v>-135386</v>
      </c>
      <c r="AN68" s="4">
        <f t="shared" ref="AN68:AN85" si="28">M68-AK68</f>
        <v>73450</v>
      </c>
      <c r="AO68" s="6">
        <f t="shared" ref="AO68:AO88" si="29">F68-AD68</f>
        <v>938249</v>
      </c>
      <c r="AP68" s="4">
        <f t="shared" ref="AP68:AP88" si="30">J68-AH68</f>
        <v>-60429</v>
      </c>
      <c r="AQ68" s="4">
        <f t="shared" ref="AQ68:AQ88" si="31">H68-AF68</f>
        <v>-441758</v>
      </c>
      <c r="AR68" s="4">
        <f t="shared" ref="AR68:AR88" si="32">L68-AJ68</f>
        <v>0</v>
      </c>
      <c r="AS68" s="4">
        <f t="shared" ref="AS68:AS88" si="33">E68-AC68</f>
        <v>1112268</v>
      </c>
      <c r="AT68" s="4">
        <f t="shared" ref="AT68:AT88" si="34">SUM(G68-AE68)</f>
        <v>-238740</v>
      </c>
      <c r="AU68" s="4">
        <f t="shared" ref="AU68:AU88" si="35">SUM(K68-AI68)</f>
        <v>0</v>
      </c>
    </row>
    <row r="69" spans="1:47">
      <c r="A69" t="s">
        <v>246</v>
      </c>
      <c r="B69">
        <v>32405</v>
      </c>
      <c r="C69" s="4">
        <f>VLOOKUP(B69,'ER Contributions'!A:D,4,FALSE)</f>
        <v>1590754</v>
      </c>
      <c r="D69" s="5">
        <f>VLOOKUP(B69,'ER Contributions'!A:D,3,FALSE)</f>
        <v>4.9370000000000002E-4</v>
      </c>
      <c r="E69" s="6">
        <f>VLOOKUP(B69,'68 - Summary Exhibit'!A:N,3,FALSE)</f>
        <v>8230958</v>
      </c>
      <c r="F69" s="6">
        <f>VLOOKUP(B69,'68 - Summary Exhibit'!A:N,4,FALSE)</f>
        <v>671018</v>
      </c>
      <c r="G69" s="6">
        <f>VLOOKUP(B69,'68 - Summary Exhibit'!A:N,5,FALSE)</f>
        <v>2292321</v>
      </c>
      <c r="H69" s="6">
        <f>VLOOKUP(B69,'68 - Summary Exhibit'!A:N,6,FALSE)</f>
        <v>289060</v>
      </c>
      <c r="I69" s="4">
        <f>VLOOKUP(B69,'68 - Summary Exhibit'!A:N,7,FALSE)</f>
        <v>41063</v>
      </c>
      <c r="J69" s="4">
        <f>VLOOKUP(B69,'68 - Summary Exhibit'!A:N,8,FALSE)</f>
        <v>60750</v>
      </c>
      <c r="K69" s="4">
        <f>VLOOKUP(B69,'68 - Summary Exhibit'!A:N,9,FALSE)</f>
        <v>0</v>
      </c>
      <c r="L69" s="4">
        <f>VLOOKUP(B69,'68 - Summary Exhibit'!A:N,10,FALSE)</f>
        <v>0</v>
      </c>
      <c r="M69" s="4">
        <f>VLOOKUP(B69,'68 - Summary Exhibit'!A:N,11,FALSE)</f>
        <v>46892</v>
      </c>
      <c r="N69" s="4">
        <f>VLOOKUP(B69,'68 - Summary Exhibit'!A:N,12,FALSE)</f>
        <v>2122491</v>
      </c>
      <c r="O69" s="4">
        <f>VLOOKUP(B69,'68 - Summary Exhibit'!A:N,13,FALSE)</f>
        <v>-73791</v>
      </c>
      <c r="P69" s="4">
        <f t="shared" si="24"/>
        <v>2048700</v>
      </c>
      <c r="Q69" s="4">
        <f>VLOOKUP(B69,'68- Deferred Amortization'!A:G,3,FALSE)</f>
        <v>1011944.6861832989</v>
      </c>
      <c r="R69" s="4">
        <f>VLOOKUP(B69,'68- Deferred Amortization'!A:G,4,FALSE)</f>
        <v>590761.19728329894</v>
      </c>
      <c r="S69" s="4">
        <f>VLOOKUP(B69,'68- Deferred Amortization'!A:G,5,FALSE)</f>
        <v>1485192.9812884955</v>
      </c>
      <c r="T69" s="4">
        <f>VLOOKUP(B69,'68- Deferred Amortization'!A:G,6,FALSE)</f>
        <v>97920.951700000005</v>
      </c>
      <c r="U69" s="4">
        <f>VLOOKUP(B69,'68- Deferred Amortization'!A:G,7,FALSE)</f>
        <v>0</v>
      </c>
      <c r="V69" s="4">
        <f t="shared" si="25"/>
        <v>1</v>
      </c>
      <c r="W69" s="4">
        <f t="shared" si="26"/>
        <v>0</v>
      </c>
      <c r="X69">
        <v>2</v>
      </c>
      <c r="AC69" s="6">
        <v>7422603</v>
      </c>
      <c r="AD69" s="6">
        <v>32318</v>
      </c>
      <c r="AE69" s="6">
        <v>2437880</v>
      </c>
      <c r="AF69" s="6">
        <v>585615</v>
      </c>
      <c r="AG69" s="4">
        <v>17031</v>
      </c>
      <c r="AH69" s="4">
        <v>101171</v>
      </c>
      <c r="AI69" s="4">
        <v>0</v>
      </c>
      <c r="AJ69" s="4">
        <v>0</v>
      </c>
      <c r="AK69" s="4">
        <v>136263</v>
      </c>
      <c r="AM69" s="4">
        <f t="shared" si="27"/>
        <v>24032</v>
      </c>
      <c r="AN69" s="4">
        <f t="shared" si="28"/>
        <v>-89371</v>
      </c>
      <c r="AO69" s="6">
        <f t="shared" si="29"/>
        <v>638700</v>
      </c>
      <c r="AP69" s="4">
        <f t="shared" si="30"/>
        <v>-40421</v>
      </c>
      <c r="AQ69" s="4">
        <f t="shared" si="31"/>
        <v>-296555</v>
      </c>
      <c r="AR69" s="4">
        <f t="shared" si="32"/>
        <v>0</v>
      </c>
      <c r="AS69" s="4">
        <f t="shared" si="33"/>
        <v>808355</v>
      </c>
      <c r="AT69" s="4">
        <f t="shared" si="34"/>
        <v>-145559</v>
      </c>
      <c r="AU69" s="4">
        <f t="shared" si="35"/>
        <v>0</v>
      </c>
    </row>
    <row r="70" spans="1:47">
      <c r="A70" t="s">
        <v>247</v>
      </c>
      <c r="B70">
        <v>35005</v>
      </c>
      <c r="C70" s="4">
        <f>VLOOKUP(B70,'ER Contributions'!A:D,4,FALSE)</f>
        <v>1910145</v>
      </c>
      <c r="D70" s="5">
        <f>VLOOKUP(B70,'ER Contributions'!A:D,3,FALSE)</f>
        <v>5.9369999999999996E-4</v>
      </c>
      <c r="E70" s="6">
        <f>VLOOKUP(B70,'68 - Summary Exhibit'!A:N,3,FALSE)</f>
        <v>9898156</v>
      </c>
      <c r="F70" s="6">
        <f>VLOOKUP(B70,'68 - Summary Exhibit'!A:N,4,FALSE)</f>
        <v>806934</v>
      </c>
      <c r="G70" s="6">
        <f>VLOOKUP(B70,'68 - Summary Exhibit'!A:N,5,FALSE)</f>
        <v>2756636</v>
      </c>
      <c r="H70" s="6">
        <f>VLOOKUP(B70,'68 - Summary Exhibit'!A:N,6,FALSE)</f>
        <v>347610</v>
      </c>
      <c r="I70" s="4">
        <f>VLOOKUP(B70,'68 - Summary Exhibit'!A:N,7,FALSE)</f>
        <v>10491</v>
      </c>
      <c r="J70" s="4">
        <f>VLOOKUP(B70,'68 - Summary Exhibit'!A:N,8,FALSE)</f>
        <v>73055</v>
      </c>
      <c r="K70" s="4">
        <f>VLOOKUP(B70,'68 - Summary Exhibit'!A:N,9,FALSE)</f>
        <v>0</v>
      </c>
      <c r="L70" s="4">
        <f>VLOOKUP(B70,'68 - Summary Exhibit'!A:N,10,FALSE)</f>
        <v>0</v>
      </c>
      <c r="M70" s="4">
        <f>VLOOKUP(B70,'68 - Summary Exhibit'!A:N,11,FALSE)</f>
        <v>144449</v>
      </c>
      <c r="N70" s="4">
        <f>VLOOKUP(B70,'68 - Summary Exhibit'!A:N,12,FALSE)</f>
        <v>2552406</v>
      </c>
      <c r="O70" s="4">
        <f>VLOOKUP(B70,'68 - Summary Exhibit'!A:N,13,FALSE)</f>
        <v>-134957</v>
      </c>
      <c r="P70" s="4">
        <f t="shared" si="24"/>
        <v>2417449</v>
      </c>
      <c r="Q70" s="4">
        <f>VLOOKUP(B70,'68- Deferred Amortization'!A:G,3,FALSE)</f>
        <v>1201525.0657796196</v>
      </c>
      <c r="R70" s="4">
        <f>VLOOKUP(B70,'68- Deferred Amortization'!A:G,4,FALSE)</f>
        <v>653851.87687961978</v>
      </c>
      <c r="S70" s="4">
        <f>VLOOKUP(B70,'68- Deferred Amortization'!A:G,5,FALSE)</f>
        <v>1731034.241553745</v>
      </c>
      <c r="T70" s="4">
        <f>VLOOKUP(B70,'68- Deferred Amortization'!A:G,6,FALSE)</f>
        <v>117755.0517</v>
      </c>
      <c r="U70" s="4">
        <f>VLOOKUP(B70,'68- Deferred Amortization'!A:G,7,FALSE)</f>
        <v>0</v>
      </c>
      <c r="V70" s="4">
        <f t="shared" si="25"/>
        <v>0</v>
      </c>
      <c r="W70" s="4">
        <f t="shared" si="26"/>
        <v>1</v>
      </c>
      <c r="X70">
        <v>2</v>
      </c>
      <c r="AC70" s="6">
        <v>9286788</v>
      </c>
      <c r="AD70" s="6">
        <v>40435</v>
      </c>
      <c r="AE70" s="6">
        <v>3050154</v>
      </c>
      <c r="AF70" s="6">
        <v>732692</v>
      </c>
      <c r="AG70" s="4">
        <v>15737</v>
      </c>
      <c r="AH70" s="4">
        <v>126580</v>
      </c>
      <c r="AI70" s="4">
        <v>0</v>
      </c>
      <c r="AJ70" s="4">
        <v>0</v>
      </c>
      <c r="AK70" s="4">
        <v>112335</v>
      </c>
      <c r="AM70" s="4">
        <f t="shared" si="27"/>
        <v>-5246</v>
      </c>
      <c r="AN70" s="4">
        <f t="shared" si="28"/>
        <v>32114</v>
      </c>
      <c r="AO70" s="6">
        <f t="shared" si="29"/>
        <v>766499</v>
      </c>
      <c r="AP70" s="4">
        <f t="shared" si="30"/>
        <v>-53525</v>
      </c>
      <c r="AQ70" s="4">
        <f t="shared" si="31"/>
        <v>-385082</v>
      </c>
      <c r="AR70" s="4">
        <f t="shared" si="32"/>
        <v>0</v>
      </c>
      <c r="AS70" s="4">
        <f t="shared" si="33"/>
        <v>611368</v>
      </c>
      <c r="AT70" s="4">
        <f t="shared" si="34"/>
        <v>-293518</v>
      </c>
      <c r="AU70" s="4">
        <f t="shared" si="35"/>
        <v>0</v>
      </c>
    </row>
    <row r="71" spans="1:47">
      <c r="A71" t="s">
        <v>248</v>
      </c>
      <c r="B71">
        <v>38405</v>
      </c>
      <c r="C71" s="4">
        <f>VLOOKUP(B71,'ER Contributions'!A:D,4,FALSE)</f>
        <v>2113392</v>
      </c>
      <c r="D71" s="5">
        <f>VLOOKUP(B71,'ER Contributions'!A:D,3,FALSE)</f>
        <v>7.1449999999999997E-4</v>
      </c>
      <c r="E71" s="6">
        <f>VLOOKUP(B71,'68 - Summary Exhibit'!A:N,3,FALSE)</f>
        <v>11912132</v>
      </c>
      <c r="F71" s="6">
        <f>VLOOKUP(B71,'68 - Summary Exhibit'!A:N,4,FALSE)</f>
        <v>971121</v>
      </c>
      <c r="G71" s="6">
        <f>VLOOKUP(B71,'68 - Summary Exhibit'!A:N,5,FALSE)</f>
        <v>3317528</v>
      </c>
      <c r="H71" s="6">
        <f>VLOOKUP(B71,'68 - Summary Exhibit'!A:N,6,FALSE)</f>
        <v>418338</v>
      </c>
      <c r="I71" s="4">
        <f>VLOOKUP(B71,'68 - Summary Exhibit'!A:N,7,FALSE)</f>
        <v>20411</v>
      </c>
      <c r="J71" s="4">
        <f>VLOOKUP(B71,'68 - Summary Exhibit'!A:N,8,FALSE)</f>
        <v>87920</v>
      </c>
      <c r="K71" s="4">
        <f>VLOOKUP(B71,'68 - Summary Exhibit'!A:N,9,FALSE)</f>
        <v>0</v>
      </c>
      <c r="L71" s="4">
        <f>VLOOKUP(B71,'68 - Summary Exhibit'!A:N,10,FALSE)</f>
        <v>0</v>
      </c>
      <c r="M71" s="4">
        <f>VLOOKUP(B71,'68 - Summary Exhibit'!A:N,11,FALSE)</f>
        <v>69022</v>
      </c>
      <c r="N71" s="4">
        <f>VLOOKUP(B71,'68 - Summary Exhibit'!A:N,12,FALSE)</f>
        <v>3071743</v>
      </c>
      <c r="O71" s="4">
        <f>VLOOKUP(B71,'68 - Summary Exhibit'!A:N,13,FALSE)</f>
        <v>-106789</v>
      </c>
      <c r="P71" s="4">
        <f t="shared" si="24"/>
        <v>2964954</v>
      </c>
      <c r="Q71" s="4">
        <f>VLOOKUP(B71,'68- Deferred Amortization'!A:G,3,FALSE)</f>
        <v>1459261.846933431</v>
      </c>
      <c r="R71" s="4">
        <f>VLOOKUP(B71,'68- Deferred Amortization'!A:G,4,FALSE)</f>
        <v>827583.54043343116</v>
      </c>
      <c r="S71" s="4">
        <f>VLOOKUP(B71,'68- Deferred Amortization'!A:G,5,FALSE)</f>
        <v>2141895.5077564712</v>
      </c>
      <c r="T71" s="4">
        <f>VLOOKUP(B71,'68- Deferred Amortization'!A:G,6,FALSE)</f>
        <v>141714.64449999999</v>
      </c>
      <c r="U71" s="4">
        <f>VLOOKUP(B71,'68- Deferred Amortization'!A:G,7,FALSE)</f>
        <v>0</v>
      </c>
      <c r="V71" s="4">
        <f t="shared" si="25"/>
        <v>-1</v>
      </c>
      <c r="W71" s="4">
        <f t="shared" si="26"/>
        <v>0</v>
      </c>
      <c r="X71">
        <v>2</v>
      </c>
      <c r="AC71" s="6">
        <v>10478620</v>
      </c>
      <c r="AD71" s="6">
        <v>45625</v>
      </c>
      <c r="AE71" s="6">
        <v>3441599</v>
      </c>
      <c r="AF71" s="6">
        <v>826723</v>
      </c>
      <c r="AG71" s="4">
        <v>0</v>
      </c>
      <c r="AH71" s="4">
        <v>142825</v>
      </c>
      <c r="AI71" s="4">
        <v>0</v>
      </c>
      <c r="AJ71" s="4">
        <v>0</v>
      </c>
      <c r="AK71" s="4">
        <v>182615</v>
      </c>
      <c r="AM71" s="4">
        <f t="shared" si="27"/>
        <v>20411</v>
      </c>
      <c r="AN71" s="4">
        <f t="shared" si="28"/>
        <v>-113593</v>
      </c>
      <c r="AO71" s="6">
        <f t="shared" si="29"/>
        <v>925496</v>
      </c>
      <c r="AP71" s="4">
        <f t="shared" si="30"/>
        <v>-54905</v>
      </c>
      <c r="AQ71" s="4">
        <f t="shared" si="31"/>
        <v>-408385</v>
      </c>
      <c r="AR71" s="4">
        <f t="shared" si="32"/>
        <v>0</v>
      </c>
      <c r="AS71" s="4">
        <f t="shared" si="33"/>
        <v>1433512</v>
      </c>
      <c r="AT71" s="4">
        <f t="shared" si="34"/>
        <v>-124071</v>
      </c>
      <c r="AU71" s="4">
        <f t="shared" si="35"/>
        <v>0</v>
      </c>
    </row>
    <row r="72" spans="1:47">
      <c r="A72" t="s">
        <v>249</v>
      </c>
      <c r="B72">
        <v>38605</v>
      </c>
      <c r="C72" s="4">
        <f>VLOOKUP(B72,'ER Contributions'!A:D,4,FALSE)</f>
        <v>2171854</v>
      </c>
      <c r="D72" s="5">
        <f>VLOOKUP(B72,'ER Contributions'!A:D,3,FALSE)</f>
        <v>7.1310000000000004E-4</v>
      </c>
      <c r="E72" s="6">
        <f>VLOOKUP(B72,'68 - Summary Exhibit'!A:N,3,FALSE)</f>
        <v>11888791</v>
      </c>
      <c r="F72" s="6">
        <f>VLOOKUP(B72,'68 - Summary Exhibit'!A:N,4,FALSE)</f>
        <v>969218</v>
      </c>
      <c r="G72" s="6">
        <f>VLOOKUP(B72,'68 - Summary Exhibit'!A:N,5,FALSE)</f>
        <v>3311027</v>
      </c>
      <c r="H72" s="6">
        <f>VLOOKUP(B72,'68 - Summary Exhibit'!A:N,6,FALSE)</f>
        <v>417519</v>
      </c>
      <c r="I72" s="4">
        <f>VLOOKUP(B72,'68 - Summary Exhibit'!A:N,7,FALSE)</f>
        <v>102511</v>
      </c>
      <c r="J72" s="4">
        <f>VLOOKUP(B72,'68 - Summary Exhibit'!A:N,8,FALSE)</f>
        <v>87748</v>
      </c>
      <c r="K72" s="4">
        <f>VLOOKUP(B72,'68 - Summary Exhibit'!A:N,9,FALSE)</f>
        <v>0</v>
      </c>
      <c r="L72" s="4">
        <f>VLOOKUP(B72,'68 - Summary Exhibit'!A:N,10,FALSE)</f>
        <v>0</v>
      </c>
      <c r="M72" s="4">
        <f>VLOOKUP(B72,'68 - Summary Exhibit'!A:N,11,FALSE)</f>
        <v>285016</v>
      </c>
      <c r="N72" s="4">
        <f>VLOOKUP(B72,'68 - Summary Exhibit'!A:N,12,FALSE)</f>
        <v>3065725</v>
      </c>
      <c r="O72" s="4">
        <f>VLOOKUP(B72,'68 - Summary Exhibit'!A:N,13,FALSE)</f>
        <v>-77942</v>
      </c>
      <c r="P72" s="4">
        <f t="shared" si="24"/>
        <v>2987783</v>
      </c>
      <c r="Q72" s="4">
        <f>VLOOKUP(B72,'68- Deferred Amortization'!A:G,3,FALSE)</f>
        <v>1494547.6183081276</v>
      </c>
      <c r="R72" s="4">
        <f>VLOOKUP(B72,'68- Deferred Amortization'!A:G,4,FALSE)</f>
        <v>755623.64760812768</v>
      </c>
      <c r="S72" s="4">
        <f>VLOOKUP(B72,'68- Deferred Amortization'!A:G,5,FALSE)</f>
        <v>2035902.8614405261</v>
      </c>
      <c r="T72" s="4">
        <f>VLOOKUP(B72,'68- Deferred Amortization'!A:G,6,FALSE)</f>
        <v>141436.96710000001</v>
      </c>
      <c r="U72" s="4">
        <f>VLOOKUP(B72,'68- Deferred Amortization'!A:G,7,FALSE)</f>
        <v>0</v>
      </c>
      <c r="V72" s="4">
        <f t="shared" si="25"/>
        <v>1</v>
      </c>
      <c r="W72" s="4">
        <f t="shared" si="26"/>
        <v>0</v>
      </c>
      <c r="X72">
        <v>2</v>
      </c>
      <c r="AC72" s="6">
        <v>11238543</v>
      </c>
      <c r="AD72" s="6">
        <v>48933</v>
      </c>
      <c r="AE72" s="6">
        <v>3691188</v>
      </c>
      <c r="AF72" s="6">
        <v>886678</v>
      </c>
      <c r="AG72" s="4">
        <v>185187</v>
      </c>
      <c r="AH72" s="4">
        <v>153183</v>
      </c>
      <c r="AI72" s="4">
        <v>0</v>
      </c>
      <c r="AJ72" s="4">
        <v>0</v>
      </c>
      <c r="AK72" s="4">
        <v>65612</v>
      </c>
      <c r="AM72" s="4">
        <f t="shared" si="27"/>
        <v>-82676</v>
      </c>
      <c r="AN72" s="4">
        <f t="shared" si="28"/>
        <v>219404</v>
      </c>
      <c r="AO72" s="6">
        <f t="shared" si="29"/>
        <v>920285</v>
      </c>
      <c r="AP72" s="4">
        <f t="shared" si="30"/>
        <v>-65435</v>
      </c>
      <c r="AQ72" s="4">
        <f t="shared" si="31"/>
        <v>-469159</v>
      </c>
      <c r="AR72" s="4">
        <f t="shared" si="32"/>
        <v>0</v>
      </c>
      <c r="AS72" s="4">
        <f t="shared" si="33"/>
        <v>650248</v>
      </c>
      <c r="AT72" s="4">
        <f t="shared" si="34"/>
        <v>-380161</v>
      </c>
      <c r="AU72" s="4">
        <f t="shared" si="35"/>
        <v>0</v>
      </c>
    </row>
    <row r="73" spans="1:47">
      <c r="A73" t="s">
        <v>250</v>
      </c>
      <c r="B73">
        <v>32005</v>
      </c>
      <c r="C73" s="4">
        <f>VLOOKUP(B73,'ER Contributions'!A:D,4,FALSE)</f>
        <v>1051970</v>
      </c>
      <c r="D73" s="5">
        <f>VLOOKUP(B73,'ER Contributions'!A:D,3,FALSE)</f>
        <v>3.6289999999999998E-4</v>
      </c>
      <c r="E73" s="6">
        <f>VLOOKUP(B73,'68 - Summary Exhibit'!A:N,3,FALSE)</f>
        <v>6050263</v>
      </c>
      <c r="F73" s="6">
        <f>VLOOKUP(B73,'68 - Summary Exhibit'!A:N,4,FALSE)</f>
        <v>493240</v>
      </c>
      <c r="G73" s="6">
        <f>VLOOKUP(B73,'68 - Summary Exhibit'!A:N,5,FALSE)</f>
        <v>1684998</v>
      </c>
      <c r="H73" s="6">
        <f>VLOOKUP(B73,'68 - Summary Exhibit'!A:N,6,FALSE)</f>
        <v>212477</v>
      </c>
      <c r="I73" s="4">
        <f>VLOOKUP(B73,'68 - Summary Exhibit'!A:N,7,FALSE)</f>
        <v>145652</v>
      </c>
      <c r="J73" s="4">
        <f>VLOOKUP(B73,'68 - Summary Exhibit'!A:N,8,FALSE)</f>
        <v>44655</v>
      </c>
      <c r="K73" s="4">
        <f>VLOOKUP(B73,'68 - Summary Exhibit'!A:N,9,FALSE)</f>
        <v>0</v>
      </c>
      <c r="L73" s="4">
        <f>VLOOKUP(B73,'68 - Summary Exhibit'!A:N,10,FALSE)</f>
        <v>0</v>
      </c>
      <c r="M73" s="4">
        <f>VLOOKUP(B73,'68 - Summary Exhibit'!A:N,11,FALSE)</f>
        <v>11858</v>
      </c>
      <c r="N73" s="4">
        <f>VLOOKUP(B73,'68 - Summary Exhibit'!A:N,12,FALSE)</f>
        <v>1560162</v>
      </c>
      <c r="O73" s="4">
        <f>VLOOKUP(B73,'68 - Summary Exhibit'!A:N,13,FALSE)</f>
        <v>134797</v>
      </c>
      <c r="P73" s="4">
        <f t="shared" si="24"/>
        <v>1694959</v>
      </c>
      <c r="Q73" s="4">
        <f>VLOOKUP(B73,'68- Deferred Amortization'!A:G,3,FALSE)</f>
        <v>874607.17443002667</v>
      </c>
      <c r="R73" s="4">
        <f>VLOOKUP(B73,'68- Deferred Amortization'!A:G,4,FALSE)</f>
        <v>452791.7731300267</v>
      </c>
      <c r="S73" s="4">
        <f>VLOOKUP(B73,'68- Deferred Amortization'!A:G,5,FALSE)</f>
        <v>1080476.8786444443</v>
      </c>
      <c r="T73" s="4">
        <f>VLOOKUP(B73,'68- Deferred Amortization'!A:G,6,FALSE)</f>
        <v>71977.948900000003</v>
      </c>
      <c r="U73" s="4">
        <f>VLOOKUP(B73,'68- Deferred Amortization'!A:G,7,FALSE)</f>
        <v>0</v>
      </c>
      <c r="V73" s="4">
        <f t="shared" si="25"/>
        <v>0</v>
      </c>
      <c r="W73" s="4">
        <f t="shared" si="26"/>
        <v>0</v>
      </c>
      <c r="X73">
        <v>2</v>
      </c>
      <c r="AC73" s="6">
        <v>5335785</v>
      </c>
      <c r="AD73" s="6">
        <v>23232</v>
      </c>
      <c r="AE73" s="6">
        <v>1752486</v>
      </c>
      <c r="AF73" s="6">
        <v>420973</v>
      </c>
      <c r="AG73" s="4">
        <v>284402</v>
      </c>
      <c r="AH73" s="4">
        <v>72728</v>
      </c>
      <c r="AI73" s="4">
        <v>0</v>
      </c>
      <c r="AJ73" s="4">
        <v>0</v>
      </c>
      <c r="AK73" s="4">
        <v>0</v>
      </c>
      <c r="AM73" s="4">
        <f t="shared" si="27"/>
        <v>-138750</v>
      </c>
      <c r="AN73" s="4">
        <f t="shared" si="28"/>
        <v>11858</v>
      </c>
      <c r="AO73" s="6">
        <f t="shared" si="29"/>
        <v>470008</v>
      </c>
      <c r="AP73" s="4">
        <f t="shared" si="30"/>
        <v>-28073</v>
      </c>
      <c r="AQ73" s="4">
        <f t="shared" si="31"/>
        <v>-208496</v>
      </c>
      <c r="AR73" s="4">
        <f t="shared" si="32"/>
        <v>0</v>
      </c>
      <c r="AS73" s="4">
        <f t="shared" si="33"/>
        <v>714478</v>
      </c>
      <c r="AT73" s="4">
        <f t="shared" si="34"/>
        <v>-67488</v>
      </c>
      <c r="AU73" s="4">
        <f t="shared" si="35"/>
        <v>0</v>
      </c>
    </row>
    <row r="74" spans="1:47">
      <c r="A74" t="s">
        <v>251</v>
      </c>
      <c r="B74">
        <v>39105</v>
      </c>
      <c r="C74" s="4">
        <f>VLOOKUP(B74,'ER Contributions'!A:D,4,FALSE)</f>
        <v>2168466</v>
      </c>
      <c r="D74" s="5">
        <f>VLOOKUP(B74,'ER Contributions'!A:D,3,FALSE)</f>
        <v>6.6790000000000003E-4</v>
      </c>
      <c r="E74" s="6">
        <f>VLOOKUP(B74,'68 - Summary Exhibit'!A:N,3,FALSE)</f>
        <v>11135217</v>
      </c>
      <c r="F74" s="6">
        <f>VLOOKUP(B74,'68 - Summary Exhibit'!A:N,4,FALSE)</f>
        <v>907784</v>
      </c>
      <c r="G74" s="6">
        <f>VLOOKUP(B74,'68 - Summary Exhibit'!A:N,5,FALSE)</f>
        <v>3101157</v>
      </c>
      <c r="H74" s="6">
        <f>VLOOKUP(B74,'68 - Summary Exhibit'!A:N,6,FALSE)</f>
        <v>391054</v>
      </c>
      <c r="I74" s="4">
        <f>VLOOKUP(B74,'68 - Summary Exhibit'!A:N,7,FALSE)</f>
        <v>221781</v>
      </c>
      <c r="J74" s="4">
        <f>VLOOKUP(B74,'68 - Summary Exhibit'!A:N,8,FALSE)</f>
        <v>82186</v>
      </c>
      <c r="K74" s="4">
        <f>VLOOKUP(B74,'68 - Summary Exhibit'!A:N,9,FALSE)</f>
        <v>0</v>
      </c>
      <c r="L74" s="4">
        <f>VLOOKUP(B74,'68 - Summary Exhibit'!A:N,10,FALSE)</f>
        <v>0</v>
      </c>
      <c r="M74" s="4">
        <f>VLOOKUP(B74,'68 - Summary Exhibit'!A:N,11,FALSE)</f>
        <v>302498</v>
      </c>
      <c r="N74" s="4">
        <f>VLOOKUP(B74,'68 - Summary Exhibit'!A:N,12,FALSE)</f>
        <v>2871403</v>
      </c>
      <c r="O74" s="4">
        <f>VLOOKUP(B74,'68 - Summary Exhibit'!A:N,13,FALSE)</f>
        <v>-69131</v>
      </c>
      <c r="P74" s="4">
        <f t="shared" si="24"/>
        <v>2802272</v>
      </c>
      <c r="Q74" s="4">
        <f>VLOOKUP(B74,'68- Deferred Amortization'!A:G,3,FALSE)</f>
        <v>1334508.9372841059</v>
      </c>
      <c r="R74" s="4">
        <f>VLOOKUP(B74,'68- Deferred Amortization'!A:G,4,FALSE)</f>
        <v>700576.95098410582</v>
      </c>
      <c r="S74" s="4">
        <f>VLOOKUP(B74,'68- Deferred Amortization'!A:G,5,FALSE)</f>
        <v>2069534.3345348572</v>
      </c>
      <c r="T74" s="4">
        <f>VLOOKUP(B74,'68- Deferred Amortization'!A:G,6,FALSE)</f>
        <v>132471.95389999999</v>
      </c>
      <c r="U74" s="4">
        <f>VLOOKUP(B74,'68- Deferred Amortization'!A:G,7,FALSE)</f>
        <v>0</v>
      </c>
      <c r="V74" s="4">
        <f t="shared" si="25"/>
        <v>0</v>
      </c>
      <c r="W74" s="4">
        <f t="shared" si="26"/>
        <v>0</v>
      </c>
      <c r="X74">
        <v>2</v>
      </c>
      <c r="AC74" s="6">
        <v>9668234</v>
      </c>
      <c r="AD74" s="6">
        <v>42096</v>
      </c>
      <c r="AE74" s="6">
        <v>3175436</v>
      </c>
      <c r="AF74" s="6">
        <v>762787</v>
      </c>
      <c r="AG74" s="4">
        <v>9122</v>
      </c>
      <c r="AH74" s="4">
        <v>131780</v>
      </c>
      <c r="AI74" s="4">
        <v>0</v>
      </c>
      <c r="AJ74" s="4">
        <v>0</v>
      </c>
      <c r="AK74" s="4">
        <v>453746</v>
      </c>
      <c r="AM74" s="4">
        <f t="shared" si="27"/>
        <v>212659</v>
      </c>
      <c r="AN74" s="4">
        <f t="shared" si="28"/>
        <v>-151248</v>
      </c>
      <c r="AO74" s="6">
        <f t="shared" si="29"/>
        <v>865688</v>
      </c>
      <c r="AP74" s="4">
        <f t="shared" si="30"/>
        <v>-49594</v>
      </c>
      <c r="AQ74" s="4">
        <f t="shared" si="31"/>
        <v>-371733</v>
      </c>
      <c r="AR74" s="4">
        <f t="shared" si="32"/>
        <v>0</v>
      </c>
      <c r="AS74" s="4">
        <f t="shared" si="33"/>
        <v>1466983</v>
      </c>
      <c r="AT74" s="4">
        <f t="shared" si="34"/>
        <v>-74279</v>
      </c>
      <c r="AU74" s="4">
        <f t="shared" si="35"/>
        <v>0</v>
      </c>
    </row>
    <row r="75" spans="1:47">
      <c r="A75" t="s">
        <v>252</v>
      </c>
      <c r="B75">
        <v>39205</v>
      </c>
      <c r="C75" s="4">
        <f>VLOOKUP(B75,'ER Contributions'!A:D,4,FALSE)</f>
        <v>17536174</v>
      </c>
      <c r="D75" s="5">
        <f>VLOOKUP(B75,'ER Contributions'!A:D,3,FALSE)</f>
        <v>5.8827000000000003E-3</v>
      </c>
      <c r="E75" s="6">
        <f>VLOOKUP(B75,'68 - Summary Exhibit'!A:N,3,FALSE)</f>
        <v>98076274</v>
      </c>
      <c r="F75" s="6">
        <f>VLOOKUP(B75,'68 - Summary Exhibit'!A:N,4,FALSE)</f>
        <v>7995536</v>
      </c>
      <c r="G75" s="6">
        <f>VLOOKUP(B75,'68 - Summary Exhibit'!A:N,5,FALSE)</f>
        <v>27314235</v>
      </c>
      <c r="H75" s="6">
        <f>VLOOKUP(B75,'68 - Summary Exhibit'!A:N,6,FALSE)</f>
        <v>3444309</v>
      </c>
      <c r="I75" s="4">
        <f>VLOOKUP(B75,'68 - Summary Exhibit'!A:N,7,FALSE)</f>
        <v>2132061</v>
      </c>
      <c r="J75" s="4">
        <f>VLOOKUP(B75,'68 - Summary Exhibit'!A:N,8,FALSE)</f>
        <v>723872</v>
      </c>
      <c r="K75" s="4">
        <f>VLOOKUP(B75,'68 - Summary Exhibit'!A:N,9,FALSE)</f>
        <v>0</v>
      </c>
      <c r="L75" s="4">
        <f>VLOOKUP(B75,'68 - Summary Exhibit'!A:N,10,FALSE)</f>
        <v>0</v>
      </c>
      <c r="M75" s="4">
        <f>VLOOKUP(B75,'68 - Summary Exhibit'!A:N,11,FALSE)</f>
        <v>593557</v>
      </c>
      <c r="N75" s="4">
        <f>VLOOKUP(B75,'68 - Summary Exhibit'!A:N,12,FALSE)</f>
        <v>25290616</v>
      </c>
      <c r="O75" s="4">
        <f>VLOOKUP(B75,'68 - Summary Exhibit'!A:N,13,FALSE)</f>
        <v>413864</v>
      </c>
      <c r="P75" s="4">
        <f t="shared" si="24"/>
        <v>25704480</v>
      </c>
      <c r="Q75" s="4">
        <f>VLOOKUP(B75,'68- Deferred Amortization'!A:G,3,FALSE)</f>
        <v>13118139.242599996</v>
      </c>
      <c r="R75" s="4">
        <f>VLOOKUP(B75,'68- Deferred Amortization'!A:G,4,FALSE)</f>
        <v>7130867.0206999965</v>
      </c>
      <c r="S75" s="4">
        <f>VLOOKUP(B75,'68- Deferred Amortization'!A:G,5,FALSE)</f>
        <v>18152925.310318135</v>
      </c>
      <c r="T75" s="4">
        <f>VLOOKUP(B75,'68- Deferred Amortization'!A:G,6,FALSE)</f>
        <v>1166780.6007000001</v>
      </c>
      <c r="U75" s="4">
        <f>VLOOKUP(B75,'68- Deferred Amortization'!A:G,7,FALSE)</f>
        <v>0</v>
      </c>
      <c r="V75" s="4">
        <f t="shared" si="25"/>
        <v>1</v>
      </c>
      <c r="W75" s="4">
        <f t="shared" si="26"/>
        <v>0</v>
      </c>
      <c r="X75">
        <v>2</v>
      </c>
      <c r="AC75" s="6">
        <v>83057164</v>
      </c>
      <c r="AD75" s="6">
        <v>361636</v>
      </c>
      <c r="AE75" s="6">
        <v>27279302</v>
      </c>
      <c r="AF75" s="6">
        <v>6552894</v>
      </c>
      <c r="AG75" s="4">
        <v>819805</v>
      </c>
      <c r="AH75" s="4">
        <v>1132082</v>
      </c>
      <c r="AI75" s="4">
        <v>0</v>
      </c>
      <c r="AJ75" s="4">
        <v>0</v>
      </c>
      <c r="AK75" s="4">
        <v>1163648</v>
      </c>
      <c r="AM75" s="4">
        <f t="shared" si="27"/>
        <v>1312256</v>
      </c>
      <c r="AN75" s="4">
        <f t="shared" si="28"/>
        <v>-570091</v>
      </c>
      <c r="AO75" s="6">
        <f t="shared" si="29"/>
        <v>7633900</v>
      </c>
      <c r="AP75" s="4">
        <f t="shared" si="30"/>
        <v>-408210</v>
      </c>
      <c r="AQ75" s="4">
        <f t="shared" si="31"/>
        <v>-3108585</v>
      </c>
      <c r="AR75" s="4">
        <f t="shared" si="32"/>
        <v>0</v>
      </c>
      <c r="AS75" s="4">
        <f t="shared" si="33"/>
        <v>15019110</v>
      </c>
      <c r="AT75" s="4">
        <f t="shared" si="34"/>
        <v>34933</v>
      </c>
      <c r="AU75" s="4">
        <f t="shared" si="35"/>
        <v>0</v>
      </c>
    </row>
    <row r="76" spans="1:47">
      <c r="A76" t="s">
        <v>253</v>
      </c>
      <c r="B76">
        <v>39605</v>
      </c>
      <c r="C76" s="4">
        <f>VLOOKUP(B76,'ER Contributions'!A:D,4,FALSE)</f>
        <v>2630681</v>
      </c>
      <c r="D76" s="5">
        <f>VLOOKUP(B76,'ER Contributions'!A:D,3,FALSE)</f>
        <v>8.6549999999999995E-4</v>
      </c>
      <c r="E76" s="6">
        <f>VLOOKUP(B76,'68 - Summary Exhibit'!A:N,3,FALSE)</f>
        <v>14429601</v>
      </c>
      <c r="F76" s="6">
        <f>VLOOKUP(B76,'68 - Summary Exhibit'!A:N,4,FALSE)</f>
        <v>1176354</v>
      </c>
      <c r="G76" s="6">
        <f>VLOOKUP(B76,'68 - Summary Exhibit'!A:N,5,FALSE)</f>
        <v>4018643</v>
      </c>
      <c r="H76" s="6">
        <f>VLOOKUP(B76,'68 - Summary Exhibit'!A:N,6,FALSE)</f>
        <v>506749</v>
      </c>
      <c r="I76" s="4">
        <f>VLOOKUP(B76,'68 - Summary Exhibit'!A:N,7,FALSE)</f>
        <v>22728</v>
      </c>
      <c r="J76" s="4">
        <f>VLOOKUP(B76,'68 - Summary Exhibit'!A:N,8,FALSE)</f>
        <v>106501</v>
      </c>
      <c r="K76" s="4">
        <f>VLOOKUP(B76,'68 - Summary Exhibit'!A:N,9,FALSE)</f>
        <v>0</v>
      </c>
      <c r="L76" s="4">
        <f>VLOOKUP(B76,'68 - Summary Exhibit'!A:N,10,FALSE)</f>
        <v>0</v>
      </c>
      <c r="M76" s="4">
        <f>VLOOKUP(B76,'68 - Summary Exhibit'!A:N,11,FALSE)</f>
        <v>583533</v>
      </c>
      <c r="N76" s="4">
        <f>VLOOKUP(B76,'68 - Summary Exhibit'!A:N,12,FALSE)</f>
        <v>3720915</v>
      </c>
      <c r="O76" s="4">
        <f>VLOOKUP(B76,'68 - Summary Exhibit'!A:N,13,FALSE)</f>
        <v>-204413</v>
      </c>
      <c r="P76" s="4">
        <f t="shared" si="24"/>
        <v>3516502</v>
      </c>
      <c r="Q76" s="4">
        <f>VLOOKUP(B76,'68- Deferred Amortization'!A:G,3,FALSE)</f>
        <v>1627892.5039810739</v>
      </c>
      <c r="R76" s="4">
        <f>VLOOKUP(B76,'68- Deferred Amortization'!A:G,4,FALSE)</f>
        <v>784586.55048107379</v>
      </c>
      <c r="S76" s="4">
        <f>VLOOKUP(B76,'68- Deferred Amortization'!A:G,5,FALSE)</f>
        <v>2450296.3685488785</v>
      </c>
      <c r="T76" s="4">
        <f>VLOOKUP(B76,'68- Deferred Amortization'!A:G,6,FALSE)</f>
        <v>171664.1355</v>
      </c>
      <c r="U76" s="4">
        <f>VLOOKUP(B76,'68- Deferred Amortization'!A:G,7,FALSE)</f>
        <v>0</v>
      </c>
      <c r="V76" s="4">
        <f t="shared" si="25"/>
        <v>1</v>
      </c>
      <c r="W76" s="4">
        <f t="shared" si="26"/>
        <v>0</v>
      </c>
      <c r="X76">
        <v>2</v>
      </c>
      <c r="AC76" s="6">
        <v>13769144</v>
      </c>
      <c r="AD76" s="6">
        <v>59952</v>
      </c>
      <c r="AE76" s="6">
        <v>4522339</v>
      </c>
      <c r="AF76" s="6">
        <v>1086333</v>
      </c>
      <c r="AG76" s="4">
        <v>45457</v>
      </c>
      <c r="AH76" s="4">
        <v>187676</v>
      </c>
      <c r="AI76" s="4">
        <v>0</v>
      </c>
      <c r="AJ76" s="4">
        <v>0</v>
      </c>
      <c r="AK76" s="4">
        <v>266602</v>
      </c>
      <c r="AM76" s="4">
        <f t="shared" si="27"/>
        <v>-22729</v>
      </c>
      <c r="AN76" s="4">
        <f t="shared" si="28"/>
        <v>316931</v>
      </c>
      <c r="AO76" s="6">
        <f t="shared" si="29"/>
        <v>1116402</v>
      </c>
      <c r="AP76" s="4">
        <f t="shared" si="30"/>
        <v>-81175</v>
      </c>
      <c r="AQ76" s="4">
        <f t="shared" si="31"/>
        <v>-579584</v>
      </c>
      <c r="AR76" s="4">
        <f t="shared" si="32"/>
        <v>0</v>
      </c>
      <c r="AS76" s="4">
        <f t="shared" si="33"/>
        <v>660457</v>
      </c>
      <c r="AT76" s="4">
        <f t="shared" si="34"/>
        <v>-503696</v>
      </c>
      <c r="AU76" s="4">
        <f t="shared" si="35"/>
        <v>0</v>
      </c>
    </row>
    <row r="77" spans="1:47">
      <c r="A77" t="s">
        <v>254</v>
      </c>
      <c r="B77">
        <v>31205</v>
      </c>
      <c r="C77" s="4">
        <f>VLOOKUP(B77,'ER Contributions'!A:D,4,FALSE)</f>
        <v>1556283</v>
      </c>
      <c r="D77" s="5">
        <f>VLOOKUP(B77,'ER Contributions'!A:D,3,FALSE)</f>
        <v>4.6030000000000002E-4</v>
      </c>
      <c r="E77" s="6">
        <f>VLOOKUP(B77,'68 - Summary Exhibit'!A:N,3,FALSE)</f>
        <v>7674114</v>
      </c>
      <c r="F77" s="6">
        <f>VLOOKUP(B77,'68 - Summary Exhibit'!A:N,4,FALSE)</f>
        <v>625622</v>
      </c>
      <c r="G77" s="6">
        <f>VLOOKUP(B77,'68 - Summary Exhibit'!A:N,5,FALSE)</f>
        <v>2137240</v>
      </c>
      <c r="H77" s="6">
        <f>VLOOKUP(B77,'68 - Summary Exhibit'!A:N,6,FALSE)</f>
        <v>269505</v>
      </c>
      <c r="I77" s="4">
        <f>VLOOKUP(B77,'68 - Summary Exhibit'!A:N,7,FALSE)</f>
        <v>117743</v>
      </c>
      <c r="J77" s="4">
        <f>VLOOKUP(B77,'68 - Summary Exhibit'!A:N,8,FALSE)</f>
        <v>56640</v>
      </c>
      <c r="K77" s="4">
        <f>VLOOKUP(B77,'68 - Summary Exhibit'!A:N,9,FALSE)</f>
        <v>0</v>
      </c>
      <c r="L77" s="4">
        <f>VLOOKUP(B77,'68 - Summary Exhibit'!A:N,10,FALSE)</f>
        <v>0</v>
      </c>
      <c r="M77" s="4">
        <f>VLOOKUP(B77,'68 - Summary Exhibit'!A:N,11,FALSE)</f>
        <v>0</v>
      </c>
      <c r="N77" s="4">
        <f>VLOOKUP(B77,'68 - Summary Exhibit'!A:N,12,FALSE)</f>
        <v>1978899</v>
      </c>
      <c r="O77" s="4">
        <f>VLOOKUP(B77,'68 - Summary Exhibit'!A:N,13,FALSE)</f>
        <v>80976</v>
      </c>
      <c r="P77" s="4">
        <f t="shared" si="24"/>
        <v>2059875</v>
      </c>
      <c r="Q77" s="4">
        <f>VLOOKUP(B77,'68- Deferred Amortization'!A:G,3,FALSE)</f>
        <v>1057867.342987064</v>
      </c>
      <c r="R77" s="4">
        <f>VLOOKUP(B77,'68- Deferred Amortization'!A:G,4,FALSE)</f>
        <v>557904.29388706421</v>
      </c>
      <c r="S77" s="4">
        <f>VLOOKUP(B77,'68- Deferred Amortization'!A:G,5,FALSE)</f>
        <v>1386401.1191075097</v>
      </c>
      <c r="T77" s="4">
        <f>VLOOKUP(B77,'68- Deferred Amortization'!A:G,6,FALSE)</f>
        <v>91296.362300000008</v>
      </c>
      <c r="U77" s="4">
        <f>VLOOKUP(B77,'68- Deferred Amortization'!A:G,7,FALSE)</f>
        <v>0</v>
      </c>
      <c r="V77" s="4">
        <f t="shared" si="25"/>
        <v>-1</v>
      </c>
      <c r="W77" s="4">
        <f t="shared" si="26"/>
        <v>1</v>
      </c>
      <c r="X77">
        <v>2</v>
      </c>
      <c r="AC77" s="6">
        <v>7030768</v>
      </c>
      <c r="AD77" s="6">
        <v>30612</v>
      </c>
      <c r="AE77" s="6">
        <v>2309186</v>
      </c>
      <c r="AF77" s="6">
        <v>554701</v>
      </c>
      <c r="AG77" s="4">
        <v>159262</v>
      </c>
      <c r="AH77" s="4">
        <v>95830</v>
      </c>
      <c r="AI77" s="4">
        <v>0</v>
      </c>
      <c r="AJ77" s="4">
        <v>0</v>
      </c>
      <c r="AK77" s="4">
        <v>4214</v>
      </c>
      <c r="AM77" s="4">
        <f t="shared" si="27"/>
        <v>-41519</v>
      </c>
      <c r="AN77" s="4">
        <f t="shared" si="28"/>
        <v>-4214</v>
      </c>
      <c r="AO77" s="6">
        <f t="shared" si="29"/>
        <v>595010</v>
      </c>
      <c r="AP77" s="4">
        <f t="shared" si="30"/>
        <v>-39190</v>
      </c>
      <c r="AQ77" s="4">
        <f t="shared" si="31"/>
        <v>-285196</v>
      </c>
      <c r="AR77" s="4">
        <f t="shared" si="32"/>
        <v>0</v>
      </c>
      <c r="AS77" s="4">
        <f t="shared" si="33"/>
        <v>643346</v>
      </c>
      <c r="AT77" s="4">
        <f t="shared" si="34"/>
        <v>-171946</v>
      </c>
      <c r="AU77" s="4">
        <f t="shared" si="35"/>
        <v>0</v>
      </c>
    </row>
    <row r="78" spans="1:47">
      <c r="A78" t="s">
        <v>255</v>
      </c>
      <c r="B78">
        <v>39705</v>
      </c>
      <c r="C78" s="4">
        <f>VLOOKUP(B78,'ER Contributions'!A:D,4,FALSE)</f>
        <v>2681202</v>
      </c>
      <c r="D78" s="5">
        <f>VLOOKUP(B78,'ER Contributions'!A:D,3,FALSE)</f>
        <v>8.8150000000000001E-4</v>
      </c>
      <c r="E78" s="6">
        <f>VLOOKUP(B78,'68 - Summary Exhibit'!A:N,3,FALSE)</f>
        <v>14696353</v>
      </c>
      <c r="F78" s="6">
        <f>VLOOKUP(B78,'68 - Summary Exhibit'!A:N,4,FALSE)</f>
        <v>1198100</v>
      </c>
      <c r="G78" s="6">
        <f>VLOOKUP(B78,'68 - Summary Exhibit'!A:N,5,FALSE)</f>
        <v>4092933</v>
      </c>
      <c r="H78" s="6">
        <f>VLOOKUP(B78,'68 - Summary Exhibit'!A:N,6,FALSE)</f>
        <v>516116</v>
      </c>
      <c r="I78" s="4">
        <f>VLOOKUP(B78,'68 - Summary Exhibit'!A:N,7,FALSE)</f>
        <v>117550</v>
      </c>
      <c r="J78" s="4">
        <f>VLOOKUP(B78,'68 - Summary Exhibit'!A:N,8,FALSE)</f>
        <v>108469</v>
      </c>
      <c r="K78" s="4">
        <f>VLOOKUP(B78,'68 - Summary Exhibit'!A:N,9,FALSE)</f>
        <v>0</v>
      </c>
      <c r="L78" s="4">
        <f>VLOOKUP(B78,'68 - Summary Exhibit'!A:N,10,FALSE)</f>
        <v>0</v>
      </c>
      <c r="M78" s="4">
        <f>VLOOKUP(B78,'68 - Summary Exhibit'!A:N,11,FALSE)</f>
        <v>73652</v>
      </c>
      <c r="N78" s="4">
        <f>VLOOKUP(B78,'68 - Summary Exhibit'!A:N,12,FALSE)</f>
        <v>3789702</v>
      </c>
      <c r="O78" s="4">
        <f>VLOOKUP(B78,'68 - Summary Exhibit'!A:N,13,FALSE)</f>
        <v>-9097</v>
      </c>
      <c r="P78" s="4">
        <f t="shared" si="24"/>
        <v>3780605</v>
      </c>
      <c r="Q78" s="4">
        <f>VLOOKUP(B78,'68- Deferred Amortization'!A:G,3,FALSE)</f>
        <v>1874937.9642434423</v>
      </c>
      <c r="R78" s="4">
        <f>VLOOKUP(B78,'68- Deferred Amortization'!A:G,4,FALSE)</f>
        <v>1072218.4587434423</v>
      </c>
      <c r="S78" s="4">
        <f>VLOOKUP(B78,'68- Deferred Amortization'!A:G,5,FALSE)</f>
        <v>2620585.1978333993</v>
      </c>
      <c r="T78" s="4">
        <f>VLOOKUP(B78,'68- Deferred Amortization'!A:G,6,FALSE)</f>
        <v>174837.59150000001</v>
      </c>
      <c r="U78" s="4">
        <f>VLOOKUP(B78,'68- Deferred Amortization'!A:G,7,FALSE)</f>
        <v>0</v>
      </c>
      <c r="V78" s="4">
        <f t="shared" si="25"/>
        <v>0</v>
      </c>
      <c r="W78" s="4">
        <f t="shared" si="26"/>
        <v>-1</v>
      </c>
      <c r="X78">
        <v>2</v>
      </c>
      <c r="AC78" s="6">
        <v>13196234</v>
      </c>
      <c r="AD78" s="6">
        <v>57457</v>
      </c>
      <c r="AE78" s="6">
        <v>4334172</v>
      </c>
      <c r="AF78" s="6">
        <v>1041133</v>
      </c>
      <c r="AG78" s="4">
        <v>176326</v>
      </c>
      <c r="AH78" s="4">
        <v>179867</v>
      </c>
      <c r="AI78" s="4">
        <v>0</v>
      </c>
      <c r="AJ78" s="4">
        <v>0</v>
      </c>
      <c r="AK78" s="4">
        <v>87359</v>
      </c>
      <c r="AM78" s="4">
        <f t="shared" si="27"/>
        <v>-58776</v>
      </c>
      <c r="AN78" s="4">
        <f t="shared" si="28"/>
        <v>-13707</v>
      </c>
      <c r="AO78" s="6">
        <f t="shared" si="29"/>
        <v>1140643</v>
      </c>
      <c r="AP78" s="4">
        <f t="shared" si="30"/>
        <v>-71398</v>
      </c>
      <c r="AQ78" s="4">
        <f t="shared" si="31"/>
        <v>-525017</v>
      </c>
      <c r="AR78" s="4">
        <f t="shared" si="32"/>
        <v>0</v>
      </c>
      <c r="AS78" s="4">
        <f t="shared" si="33"/>
        <v>1500119</v>
      </c>
      <c r="AT78" s="4">
        <f t="shared" si="34"/>
        <v>-241239</v>
      </c>
      <c r="AU78" s="4">
        <f t="shared" si="35"/>
        <v>0</v>
      </c>
    </row>
    <row r="79" spans="1:47">
      <c r="A79" t="s">
        <v>256</v>
      </c>
      <c r="B79">
        <v>39805</v>
      </c>
      <c r="C79" s="4">
        <f>VLOOKUP(B79,'ER Contributions'!A:D,4,FALSE)</f>
        <v>1440247</v>
      </c>
      <c r="D79" s="5">
        <f>VLOOKUP(B79,'ER Contributions'!A:D,3,FALSE)</f>
        <v>4.2759999999999999E-4</v>
      </c>
      <c r="E79" s="6">
        <f>VLOOKUP(B79,'68 - Summary Exhibit'!A:N,3,FALSE)</f>
        <v>7128940</v>
      </c>
      <c r="F79" s="6">
        <f>VLOOKUP(B79,'68 - Summary Exhibit'!A:N,4,FALSE)</f>
        <v>581177</v>
      </c>
      <c r="G79" s="6">
        <f>VLOOKUP(B79,'68 - Summary Exhibit'!A:N,5,FALSE)</f>
        <v>1985409</v>
      </c>
      <c r="H79" s="6">
        <f>VLOOKUP(B79,'68 - Summary Exhibit'!A:N,6,FALSE)</f>
        <v>250359</v>
      </c>
      <c r="I79" s="4">
        <f>VLOOKUP(B79,'68 - Summary Exhibit'!A:N,7,FALSE)</f>
        <v>0</v>
      </c>
      <c r="J79" s="4">
        <f>VLOOKUP(B79,'68 - Summary Exhibit'!A:N,8,FALSE)</f>
        <v>52617</v>
      </c>
      <c r="K79" s="4">
        <f>VLOOKUP(B79,'68 - Summary Exhibit'!A:N,9,FALSE)</f>
        <v>0</v>
      </c>
      <c r="L79" s="4">
        <f>VLOOKUP(B79,'68 - Summary Exhibit'!A:N,10,FALSE)</f>
        <v>0</v>
      </c>
      <c r="M79" s="4">
        <f>VLOOKUP(B79,'68 - Summary Exhibit'!A:N,11,FALSE)</f>
        <v>27620</v>
      </c>
      <c r="N79" s="4">
        <f>VLOOKUP(B79,'68 - Summary Exhibit'!A:N,12,FALSE)</f>
        <v>1838317</v>
      </c>
      <c r="O79" s="4">
        <f>VLOOKUP(B79,'68 - Summary Exhibit'!A:N,13,FALSE)</f>
        <v>-65385</v>
      </c>
      <c r="P79" s="4">
        <f t="shared" si="24"/>
        <v>1772932</v>
      </c>
      <c r="Q79" s="4">
        <f>VLOOKUP(B79,'68- Deferred Amortization'!A:G,3,FALSE)</f>
        <v>884319.84277185763</v>
      </c>
      <c r="R79" s="4">
        <f>VLOOKUP(B79,'68- Deferred Amortization'!A:G,4,FALSE)</f>
        <v>492767.56557185762</v>
      </c>
      <c r="S79" s="4">
        <f>VLOOKUP(B79,'68- Deferred Amortization'!A:G,5,FALSE)</f>
        <v>1274810.7074564972</v>
      </c>
      <c r="T79" s="4">
        <f>VLOOKUP(B79,'68- Deferred Amortization'!A:G,6,FALSE)</f>
        <v>84810.611600000004</v>
      </c>
      <c r="U79" s="4">
        <f>VLOOKUP(B79,'68- Deferred Amortization'!A:G,7,FALSE)</f>
        <v>0</v>
      </c>
      <c r="V79" s="4">
        <f t="shared" si="25"/>
        <v>-1</v>
      </c>
      <c r="W79" s="4">
        <f t="shared" si="26"/>
        <v>-1</v>
      </c>
      <c r="X79">
        <v>2</v>
      </c>
      <c r="AC79" s="6">
        <v>6609249</v>
      </c>
      <c r="AD79" s="6">
        <v>28777</v>
      </c>
      <c r="AE79" s="6">
        <v>2170742</v>
      </c>
      <c r="AF79" s="6">
        <v>521445</v>
      </c>
      <c r="AG79" s="4">
        <v>0</v>
      </c>
      <c r="AH79" s="4">
        <v>90085</v>
      </c>
      <c r="AI79" s="4">
        <v>0</v>
      </c>
      <c r="AJ79" s="4">
        <v>0</v>
      </c>
      <c r="AK79" s="4">
        <v>81176</v>
      </c>
      <c r="AM79" s="4">
        <f t="shared" si="27"/>
        <v>0</v>
      </c>
      <c r="AN79" s="4">
        <f t="shared" si="28"/>
        <v>-53556</v>
      </c>
      <c r="AO79" s="6">
        <f t="shared" si="29"/>
        <v>552400</v>
      </c>
      <c r="AP79" s="4">
        <f t="shared" si="30"/>
        <v>-37468</v>
      </c>
      <c r="AQ79" s="4">
        <f t="shared" si="31"/>
        <v>-271086</v>
      </c>
      <c r="AR79" s="4">
        <f t="shared" si="32"/>
        <v>0</v>
      </c>
      <c r="AS79" s="4">
        <f t="shared" si="33"/>
        <v>519691</v>
      </c>
      <c r="AT79" s="4">
        <f t="shared" si="34"/>
        <v>-185333</v>
      </c>
      <c r="AU79" s="4">
        <f t="shared" si="35"/>
        <v>0</v>
      </c>
    </row>
    <row r="80" spans="1:47">
      <c r="A80" t="s">
        <v>257</v>
      </c>
      <c r="B80">
        <v>11310</v>
      </c>
      <c r="C80" s="4">
        <f>VLOOKUP(B80,'ER Contributions'!A:D,4,FALSE)</f>
        <v>1933499</v>
      </c>
      <c r="D80" s="5">
        <f>VLOOKUP(B80,'ER Contributions'!A:D,3,FALSE)</f>
        <v>5.7939999999999999E-4</v>
      </c>
      <c r="E80" s="6">
        <f>VLOOKUP(B80,'68 - Summary Exhibit'!A:N,3,FALSE)</f>
        <v>9659747</v>
      </c>
      <c r="F80" s="6">
        <f>VLOOKUP(B80,'68 - Summary Exhibit'!A:N,4,FALSE)</f>
        <v>787498</v>
      </c>
      <c r="G80" s="6">
        <f>VLOOKUP(B80,'68 - Summary Exhibit'!A:N,5,FALSE)</f>
        <v>2690239</v>
      </c>
      <c r="H80" s="6">
        <f>VLOOKUP(B80,'68 - Summary Exhibit'!A:N,6,FALSE)</f>
        <v>339238</v>
      </c>
      <c r="I80" s="4">
        <f>VLOOKUP(B80,'68 - Summary Exhibit'!A:N,7,FALSE)</f>
        <v>272823</v>
      </c>
      <c r="J80" s="4">
        <f>VLOOKUP(B80,'68 - Summary Exhibit'!A:N,8,FALSE)</f>
        <v>71296</v>
      </c>
      <c r="K80" s="4">
        <f>VLOOKUP(B80,'68 - Summary Exhibit'!A:N,9,FALSE)</f>
        <v>0</v>
      </c>
      <c r="L80" s="4">
        <f>VLOOKUP(B80,'68 - Summary Exhibit'!A:N,10,FALSE)</f>
        <v>0</v>
      </c>
      <c r="M80" s="4">
        <f>VLOOKUP(B80,'68 - Summary Exhibit'!A:N,11,FALSE)</f>
        <v>0</v>
      </c>
      <c r="N80" s="4">
        <f>VLOOKUP(B80,'68 - Summary Exhibit'!A:N,12,FALSE)</f>
        <v>2490928</v>
      </c>
      <c r="O80" s="4">
        <f>VLOOKUP(B80,'68 - Summary Exhibit'!A:N,13,FALSE)</f>
        <v>206908</v>
      </c>
      <c r="P80" s="4">
        <f t="shared" si="24"/>
        <v>2697836</v>
      </c>
      <c r="Q80" s="4">
        <f>VLOOKUP(B80,'68- Deferred Amortization'!A:G,3,FALSE)</f>
        <v>1375160.815962747</v>
      </c>
      <c r="R80" s="4">
        <f>VLOOKUP(B80,'68- Deferred Amortization'!A:G,4,FALSE)</f>
        <v>746405.4141627471</v>
      </c>
      <c r="S80" s="4">
        <f>VLOOKUP(B80,'68- Deferred Amortization'!A:G,5,FALSE)</f>
        <v>1782016.0110197307</v>
      </c>
      <c r="T80" s="4">
        <f>VLOOKUP(B80,'68- Deferred Amortization'!A:G,6,FALSE)</f>
        <v>114918.7754</v>
      </c>
      <c r="U80" s="4">
        <f>VLOOKUP(B80,'68- Deferred Amortization'!A:G,7,FALSE)</f>
        <v>0</v>
      </c>
      <c r="V80" s="4">
        <f t="shared" si="25"/>
        <v>0</v>
      </c>
      <c r="W80" s="4">
        <f t="shared" si="26"/>
        <v>1</v>
      </c>
      <c r="X80">
        <v>3</v>
      </c>
      <c r="AC80" s="6">
        <v>8562487</v>
      </c>
      <c r="AD80" s="6">
        <v>37282</v>
      </c>
      <c r="AE80" s="6">
        <v>2812264</v>
      </c>
      <c r="AF80" s="6">
        <v>675548</v>
      </c>
      <c r="AG80" s="4">
        <v>277193</v>
      </c>
      <c r="AH80" s="4">
        <v>116708</v>
      </c>
      <c r="AI80" s="4">
        <v>0</v>
      </c>
      <c r="AJ80" s="4">
        <v>0</v>
      </c>
      <c r="AK80" s="4">
        <v>0</v>
      </c>
      <c r="AM80" s="4">
        <f t="shared" si="27"/>
        <v>-4370</v>
      </c>
      <c r="AN80" s="4">
        <f t="shared" si="28"/>
        <v>0</v>
      </c>
      <c r="AO80" s="6">
        <f t="shared" si="29"/>
        <v>750216</v>
      </c>
      <c r="AP80" s="4">
        <f t="shared" si="30"/>
        <v>-45412</v>
      </c>
      <c r="AQ80" s="4">
        <f t="shared" si="31"/>
        <v>-336310</v>
      </c>
      <c r="AR80" s="4">
        <f t="shared" si="32"/>
        <v>0</v>
      </c>
      <c r="AS80" s="4">
        <f t="shared" si="33"/>
        <v>1097260</v>
      </c>
      <c r="AT80" s="4">
        <f t="shared" si="34"/>
        <v>-122025</v>
      </c>
      <c r="AU80" s="4">
        <f t="shared" si="35"/>
        <v>0</v>
      </c>
    </row>
    <row r="81" spans="1:47">
      <c r="A81" s="131" t="s">
        <v>258</v>
      </c>
      <c r="B81" s="132">
        <v>14300.2</v>
      </c>
      <c r="C81" s="133">
        <f>VLOOKUP(B81,'ER Contributions'!A:D,4,FALSE)</f>
        <v>666460</v>
      </c>
      <c r="D81" s="135">
        <f>VLOOKUP(B81,'ER Contributions'!A:D,3,FALSE)</f>
        <v>2.0550000000000001E-4</v>
      </c>
      <c r="E81" s="134">
        <f>VLOOKUP(B81,'68 - Summary Exhibit'!A:N,3,FALSE)</f>
        <v>3426093</v>
      </c>
      <c r="F81" s="134">
        <f>VLOOKUP(B81,'68 - Summary Exhibit'!A:N,4,FALSE)</f>
        <v>279308</v>
      </c>
      <c r="G81" s="134">
        <f>VLOOKUP(B81,'68 - Summary Exhibit'!A:N,5,FALSE)</f>
        <v>954167</v>
      </c>
      <c r="H81" s="134">
        <f>VLOOKUP(B81,'68 - Summary Exhibit'!A:N,6,FALSE)</f>
        <v>120320</v>
      </c>
      <c r="I81" s="133">
        <f>VLOOKUP(B81,'68 - Summary Exhibit'!A:N,7,FALSE)</f>
        <v>15880</v>
      </c>
      <c r="J81" s="133">
        <f>VLOOKUP(B81,'68 - Summary Exhibit'!A:N,8,FALSE)</f>
        <v>25287</v>
      </c>
      <c r="K81" s="133">
        <f>VLOOKUP(B81,'68 - Summary Exhibit'!A:N,9,FALSE)</f>
        <v>0</v>
      </c>
      <c r="L81" s="133">
        <f>VLOOKUP(B81,'68 - Summary Exhibit'!A:N,10,FALSE)</f>
        <v>0</v>
      </c>
      <c r="M81" s="133">
        <f>VLOOKUP(B81,'68 - Summary Exhibit'!A:N,11,FALSE)</f>
        <v>84418</v>
      </c>
      <c r="N81" s="133">
        <f>VLOOKUP(B81,'68 - Summary Exhibit'!A:N,12,FALSE)</f>
        <v>883476</v>
      </c>
      <c r="O81" s="133">
        <f>VLOOKUP(B81,'68 - Summary Exhibit'!A:N,13,FALSE)</f>
        <v>-44967</v>
      </c>
      <c r="P81" s="133">
        <f t="shared" ref="P81:P85" si="36">N81+O81</f>
        <v>838509</v>
      </c>
      <c r="Q81" s="133">
        <f>VLOOKUP(B81,'68- Deferred Amortization'!A:G,3,FALSE)</f>
        <v>385947.57842316676</v>
      </c>
      <c r="R81" s="133">
        <f>VLOOKUP(B81,'68- Deferred Amortization'!A:G,4,FALSE)</f>
        <v>233268.64492316684</v>
      </c>
      <c r="S81" s="133">
        <f>VLOOKUP(B81,'68- Deferred Amortization'!A:G,5,FALSE)</f>
        <v>599994.09814942873</v>
      </c>
      <c r="T81" s="133">
        <f>VLOOKUP(B81,'68- Deferred Amortization'!A:G,6,FALSE)</f>
        <v>40759.075499999999</v>
      </c>
      <c r="U81" s="133">
        <f>VLOOKUP(B81,'68- Deferred Amortization'!A:G,7,FALSE)</f>
        <v>0</v>
      </c>
      <c r="V81" s="133">
        <f t="shared" si="25"/>
        <v>1</v>
      </c>
      <c r="W81" s="133">
        <f t="shared" si="26"/>
        <v>1</v>
      </c>
      <c r="X81" s="132">
        <v>3</v>
      </c>
      <c r="Y81" s="132"/>
      <c r="Z81" s="132"/>
      <c r="AA81" s="132"/>
      <c r="AB81" s="132"/>
      <c r="AC81" s="134">
        <v>3217797</v>
      </c>
      <c r="AD81" s="134">
        <v>14010</v>
      </c>
      <c r="AE81" s="134">
        <v>1056854</v>
      </c>
      <c r="AF81" s="134">
        <v>253872</v>
      </c>
      <c r="AG81" s="133">
        <v>27154</v>
      </c>
      <c r="AH81" s="133">
        <v>43859</v>
      </c>
      <c r="AI81" s="133">
        <v>0</v>
      </c>
      <c r="AJ81" s="133">
        <v>0</v>
      </c>
      <c r="AK81" s="133">
        <v>84309</v>
      </c>
      <c r="AL81" s="132"/>
      <c r="AM81" s="133">
        <f t="shared" si="27"/>
        <v>-11274</v>
      </c>
      <c r="AN81" s="133">
        <f t="shared" si="28"/>
        <v>109</v>
      </c>
      <c r="AO81" s="134">
        <f t="shared" si="29"/>
        <v>265298</v>
      </c>
      <c r="AP81" s="133">
        <f t="shared" si="30"/>
        <v>-18572</v>
      </c>
      <c r="AQ81" s="4">
        <f t="shared" si="31"/>
        <v>-133552</v>
      </c>
      <c r="AR81" s="4">
        <f t="shared" si="32"/>
        <v>0</v>
      </c>
      <c r="AS81" s="4">
        <f t="shared" si="33"/>
        <v>208296</v>
      </c>
      <c r="AT81" s="4">
        <f t="shared" si="34"/>
        <v>-102687</v>
      </c>
      <c r="AU81" s="4">
        <f t="shared" si="35"/>
        <v>0</v>
      </c>
    </row>
    <row r="82" spans="1:47">
      <c r="A82" s="131" t="s">
        <v>259</v>
      </c>
      <c r="B82" s="132">
        <v>21525</v>
      </c>
      <c r="C82" s="133">
        <f>VLOOKUP(B82,'ER Contributions'!A:D,4,FALSE)</f>
        <v>4783735</v>
      </c>
      <c r="D82" s="135">
        <f>VLOOKUP(B82,'ER Contributions'!A:D,3,FALSE)</f>
        <v>1.1645E-3</v>
      </c>
      <c r="E82" s="134">
        <f>VLOOKUP(B82,'68 - Summary Exhibit'!A:N,3,FALSE)</f>
        <v>19414524</v>
      </c>
      <c r="F82" s="134">
        <f>VLOOKUP(B82,'68 - Summary Exhibit'!A:N,4,FALSE)</f>
        <v>1582743</v>
      </c>
      <c r="G82" s="134">
        <f>VLOOKUP(B82,'68 - Summary Exhibit'!A:N,5,FALSE)</f>
        <v>5406944</v>
      </c>
      <c r="H82" s="134">
        <f>VLOOKUP(B82,'68 - Summary Exhibit'!A:N,6,FALSE)</f>
        <v>681812</v>
      </c>
      <c r="I82" s="133">
        <f>VLOOKUP(B82,'68 - Summary Exhibit'!A:N,7,FALSE)</f>
        <v>1115861</v>
      </c>
      <c r="J82" s="133">
        <f>VLOOKUP(B82,'68 - Summary Exhibit'!A:N,8,FALSE)</f>
        <v>143293</v>
      </c>
      <c r="K82" s="133">
        <f>VLOOKUP(B82,'68 - Summary Exhibit'!A:N,9,FALSE)</f>
        <v>0</v>
      </c>
      <c r="L82" s="133">
        <f>VLOOKUP(B82,'68 - Summary Exhibit'!A:N,10,FALSE)</f>
        <v>0</v>
      </c>
      <c r="M82" s="133">
        <f>VLOOKUP(B82,'68 - Summary Exhibit'!A:N,11,FALSE)</f>
        <v>0</v>
      </c>
      <c r="N82" s="133">
        <f>VLOOKUP(B82,'68 - Summary Exhibit'!A:N,12,FALSE)</f>
        <v>5006361</v>
      </c>
      <c r="O82" s="133">
        <f>VLOOKUP(B82,'68 - Summary Exhibit'!A:N,13,FALSE)</f>
        <v>852978</v>
      </c>
      <c r="P82" s="133">
        <f t="shared" si="36"/>
        <v>5859339</v>
      </c>
      <c r="Q82" s="133">
        <f>VLOOKUP(B82,'68- Deferred Amortization'!A:G,3,FALSE)</f>
        <v>3177713.0307153864</v>
      </c>
      <c r="R82" s="133">
        <f>VLOOKUP(B82,'68- Deferred Amortization'!A:G,4,FALSE)</f>
        <v>1672457.0742153865</v>
      </c>
      <c r="S82" s="133">
        <f>VLOOKUP(B82,'68- Deferred Amortization'!A:G,5,FALSE)</f>
        <v>3562928.6472920962</v>
      </c>
      <c r="T82" s="133">
        <f>VLOOKUP(B82,'68- Deferred Amortization'!A:G,6,FALSE)</f>
        <v>230968.09449999998</v>
      </c>
      <c r="U82" s="133">
        <f>VLOOKUP(B82,'68- Deferred Amortization'!A:G,7,FALSE)</f>
        <v>0</v>
      </c>
      <c r="V82" s="133">
        <f t="shared" si="25"/>
        <v>0</v>
      </c>
      <c r="W82" s="133">
        <f t="shared" si="26"/>
        <v>0</v>
      </c>
      <c r="X82" s="134">
        <v>1</v>
      </c>
      <c r="Y82" s="155"/>
      <c r="Z82" s="132"/>
      <c r="AA82" s="132"/>
      <c r="AB82" s="132"/>
      <c r="AC82" s="134">
        <v>18824410</v>
      </c>
      <c r="AD82" s="134">
        <v>81963</v>
      </c>
      <c r="AE82" s="134">
        <v>6182691</v>
      </c>
      <c r="AF82" s="134">
        <v>1485174</v>
      </c>
      <c r="AG82" s="133">
        <v>1636309</v>
      </c>
      <c r="AH82" s="133">
        <v>256580</v>
      </c>
      <c r="AI82" s="133">
        <v>0</v>
      </c>
      <c r="AJ82" s="133">
        <v>0</v>
      </c>
      <c r="AK82" s="133">
        <v>0</v>
      </c>
      <c r="AL82" s="132"/>
      <c r="AM82" s="133">
        <f t="shared" si="27"/>
        <v>-520448</v>
      </c>
      <c r="AN82" s="133">
        <f t="shared" si="28"/>
        <v>0</v>
      </c>
      <c r="AO82" s="134">
        <f t="shared" si="29"/>
        <v>1500780</v>
      </c>
      <c r="AP82" s="133">
        <f t="shared" si="30"/>
        <v>-113287</v>
      </c>
      <c r="AQ82" s="4">
        <f t="shared" si="31"/>
        <v>-803362</v>
      </c>
      <c r="AR82" s="4">
        <f t="shared" si="32"/>
        <v>0</v>
      </c>
      <c r="AS82" s="4">
        <f t="shared" si="33"/>
        <v>590114</v>
      </c>
      <c r="AT82" s="4">
        <f t="shared" si="34"/>
        <v>-775747</v>
      </c>
      <c r="AU82" s="4">
        <f t="shared" si="35"/>
        <v>0</v>
      </c>
    </row>
    <row r="83" spans="1:47">
      <c r="A83" s="131" t="s">
        <v>260</v>
      </c>
      <c r="B83" s="132">
        <v>21525.200000000001</v>
      </c>
      <c r="C83" s="133">
        <f>VLOOKUP(B83,'ER Contributions'!A:D,4,FALSE)</f>
        <v>649963</v>
      </c>
      <c r="D83" s="135">
        <f>VLOOKUP(B83,'ER Contributions'!A:D,3,FALSE)</f>
        <v>1.717E-4</v>
      </c>
      <c r="E83" s="134">
        <f>VLOOKUP(B83,'68 - Summary Exhibit'!A:N,3,FALSE)</f>
        <v>2862579</v>
      </c>
      <c r="F83" s="134">
        <f>VLOOKUP(B83,'68 - Summary Exhibit'!A:N,4,FALSE)</f>
        <v>233368</v>
      </c>
      <c r="G83" s="134">
        <f>VLOOKUP(B83,'68 - Summary Exhibit'!A:N,5,FALSE)</f>
        <v>797228</v>
      </c>
      <c r="H83" s="134">
        <f>VLOOKUP(B83,'68 - Summary Exhibit'!A:N,6,FALSE)</f>
        <v>100530</v>
      </c>
      <c r="I83" s="133">
        <f>VLOOKUP(B83,'68 - Summary Exhibit'!A:N,7,FALSE)</f>
        <v>385789</v>
      </c>
      <c r="J83" s="133">
        <f>VLOOKUP(B83,'68 - Summary Exhibit'!A:N,8,FALSE)</f>
        <v>21128</v>
      </c>
      <c r="K83" s="133">
        <f>VLOOKUP(B83,'68 - Summary Exhibit'!A:N,9,FALSE)</f>
        <v>0</v>
      </c>
      <c r="L83" s="133">
        <f>VLOOKUP(B83,'68 - Summary Exhibit'!A:N,10,FALSE)</f>
        <v>0</v>
      </c>
      <c r="M83" s="133">
        <f>VLOOKUP(B83,'68 - Summary Exhibit'!A:N,11,FALSE)</f>
        <v>0</v>
      </c>
      <c r="N83" s="133">
        <f>VLOOKUP(B83,'68 - Summary Exhibit'!A:N,12,FALSE)</f>
        <v>738164</v>
      </c>
      <c r="O83" s="133">
        <f>VLOOKUP(B83,'68 - Summary Exhibit'!A:N,13,FALSE)</f>
        <v>183553</v>
      </c>
      <c r="P83" s="133">
        <f t="shared" si="36"/>
        <v>921717</v>
      </c>
      <c r="Q83" s="133">
        <f>VLOOKUP(B83,'68- Deferred Amortization'!A:G,3,FALSE)</f>
        <v>557508.9416508812</v>
      </c>
      <c r="R83" s="133">
        <f>VLOOKUP(B83,'68- Deferred Amortization'!A:G,4,FALSE)</f>
        <v>329286.68675088126</v>
      </c>
      <c r="S83" s="133">
        <f>VLOOKUP(B83,'68- Deferred Amortization'!A:G,5,FALSE)</f>
        <v>574936.02752103028</v>
      </c>
      <c r="T83" s="133">
        <f>VLOOKUP(B83,'68- Deferred Amortization'!A:G,6,FALSE)</f>
        <v>34055.149700000002</v>
      </c>
      <c r="U83" s="133">
        <f>VLOOKUP(B83,'68- Deferred Amortization'!A:G,7,FALSE)</f>
        <v>0</v>
      </c>
      <c r="V83" s="133">
        <f t="shared" si="25"/>
        <v>1</v>
      </c>
      <c r="W83" s="133">
        <f t="shared" si="26"/>
        <v>0</v>
      </c>
      <c r="X83" s="132">
        <v>3</v>
      </c>
      <c r="Y83" s="155"/>
      <c r="Z83" s="132"/>
      <c r="AA83" s="132"/>
      <c r="AB83" s="132"/>
      <c r="AC83" s="134">
        <v>2353979</v>
      </c>
      <c r="AD83" s="134">
        <v>10249</v>
      </c>
      <c r="AE83" s="134">
        <v>773141</v>
      </c>
      <c r="AF83" s="134">
        <v>185720</v>
      </c>
      <c r="AG83" s="133">
        <v>333044</v>
      </c>
      <c r="AH83" s="133">
        <v>32085</v>
      </c>
      <c r="AI83" s="133">
        <v>0</v>
      </c>
      <c r="AJ83" s="133">
        <v>0</v>
      </c>
      <c r="AK83" s="133">
        <v>11129</v>
      </c>
      <c r="AL83" s="132"/>
      <c r="AM83" s="133">
        <f t="shared" si="27"/>
        <v>52745</v>
      </c>
      <c r="AN83" s="133">
        <f t="shared" si="28"/>
        <v>-11129</v>
      </c>
      <c r="AO83" s="134">
        <f t="shared" si="29"/>
        <v>223119</v>
      </c>
      <c r="AP83" s="133">
        <f t="shared" si="30"/>
        <v>-10957</v>
      </c>
      <c r="AQ83" s="4">
        <f t="shared" si="31"/>
        <v>-85190</v>
      </c>
      <c r="AR83" s="4">
        <f t="shared" si="32"/>
        <v>0</v>
      </c>
      <c r="AS83" s="4">
        <f t="shared" si="33"/>
        <v>508600</v>
      </c>
      <c r="AT83" s="4">
        <f t="shared" si="34"/>
        <v>24087</v>
      </c>
      <c r="AU83" s="4">
        <f t="shared" si="35"/>
        <v>0</v>
      </c>
    </row>
    <row r="84" spans="1:47">
      <c r="A84" s="131" t="s">
        <v>261</v>
      </c>
      <c r="B84" s="132">
        <v>51000.2</v>
      </c>
      <c r="C84" s="133">
        <f>VLOOKUP(B84,'ER Contributions'!A:D,4,FALSE)</f>
        <v>248713</v>
      </c>
      <c r="D84" s="135">
        <f>VLOOKUP(B84,'ER Contributions'!A:D,3,FALSE)</f>
        <v>3.4700000000000003E-5</v>
      </c>
      <c r="E84" s="134">
        <f>VLOOKUP(B84,'68 - Summary Exhibit'!A:N,3,FALSE)</f>
        <v>578518</v>
      </c>
      <c r="F84" s="134">
        <f>VLOOKUP(B84,'68 - Summary Exhibit'!A:N,4,FALSE)</f>
        <v>47163</v>
      </c>
      <c r="G84" s="134">
        <f>VLOOKUP(B84,'68 - Summary Exhibit'!A:N,5,FALSE)</f>
        <v>161117</v>
      </c>
      <c r="H84" s="134">
        <f>VLOOKUP(B84,'68 - Summary Exhibit'!A:N,6,FALSE)</f>
        <v>20317</v>
      </c>
      <c r="I84" s="133">
        <f>VLOOKUP(B84,'68 - Summary Exhibit'!A:N,7,FALSE)</f>
        <v>124879</v>
      </c>
      <c r="J84" s="133">
        <f>VLOOKUP(B84,'68 - Summary Exhibit'!A:N,8,FALSE)</f>
        <v>4270</v>
      </c>
      <c r="K84" s="133">
        <f>VLOOKUP(B84,'68 - Summary Exhibit'!A:N,9,FALSE)</f>
        <v>0</v>
      </c>
      <c r="L84" s="133">
        <f>VLOOKUP(B84,'68 - Summary Exhibit'!A:N,10,FALSE)</f>
        <v>0</v>
      </c>
      <c r="M84" s="133">
        <f>VLOOKUP(B84,'68 - Summary Exhibit'!A:N,11,FALSE)</f>
        <v>0</v>
      </c>
      <c r="N84" s="133">
        <f>VLOOKUP(B84,'68 - Summary Exhibit'!A:N,12,FALSE)</f>
        <v>149181</v>
      </c>
      <c r="O84" s="133">
        <f>VLOOKUP(B84,'68 - Summary Exhibit'!A:N,13,FALSE)</f>
        <v>64869</v>
      </c>
      <c r="P84" s="133">
        <f t="shared" si="36"/>
        <v>214050</v>
      </c>
      <c r="Q84" s="133">
        <f>VLOOKUP(B84,'68- Deferred Amortization'!A:G,3,FALSE)</f>
        <v>145533.11121470775</v>
      </c>
      <c r="R84" s="133">
        <f>VLOOKUP(B84,'68- Deferred Amortization'!A:G,4,FALSE)</f>
        <v>75710.145314707741</v>
      </c>
      <c r="S84" s="133">
        <f>VLOOKUP(B84,'68- Deferred Amortization'!A:G,5,FALSE)</f>
        <v>121080.53840007776</v>
      </c>
      <c r="T84" s="133">
        <f>VLOOKUP(B84,'68- Deferred Amortization'!A:G,6,FALSE)</f>
        <v>6882.4327000000003</v>
      </c>
      <c r="U84" s="133">
        <f>VLOOKUP(B84,'68- Deferred Amortization'!A:G,7,FALSE)</f>
        <v>0</v>
      </c>
      <c r="V84" s="133">
        <f t="shared" si="25"/>
        <v>-1</v>
      </c>
      <c r="W84" s="133">
        <f t="shared" si="26"/>
        <v>0</v>
      </c>
      <c r="X84" s="132">
        <v>3</v>
      </c>
      <c r="Y84" s="132"/>
      <c r="Z84" s="132"/>
      <c r="AA84" s="132"/>
      <c r="AB84" s="132"/>
      <c r="AC84" s="134">
        <v>638216</v>
      </c>
      <c r="AD84" s="134">
        <v>2779</v>
      </c>
      <c r="AE84" s="134">
        <v>209616</v>
      </c>
      <c r="AF84" s="134">
        <v>50353</v>
      </c>
      <c r="AG84" s="133">
        <v>127530</v>
      </c>
      <c r="AH84" s="133">
        <v>8699</v>
      </c>
      <c r="AI84" s="133">
        <v>0</v>
      </c>
      <c r="AJ84" s="133">
        <v>0</v>
      </c>
      <c r="AK84" s="133">
        <v>7337</v>
      </c>
      <c r="AL84" s="132"/>
      <c r="AM84" s="133">
        <f t="shared" si="27"/>
        <v>-2651</v>
      </c>
      <c r="AN84" s="133">
        <f t="shared" si="28"/>
        <v>-7337</v>
      </c>
      <c r="AO84" s="134">
        <f t="shared" si="29"/>
        <v>44384</v>
      </c>
      <c r="AP84" s="133">
        <f t="shared" si="30"/>
        <v>-4429</v>
      </c>
      <c r="AQ84" s="4">
        <f t="shared" si="31"/>
        <v>-30036</v>
      </c>
      <c r="AR84" s="4">
        <f t="shared" si="32"/>
        <v>0</v>
      </c>
      <c r="AS84" s="4">
        <f t="shared" si="33"/>
        <v>-59698</v>
      </c>
      <c r="AT84" s="4">
        <f t="shared" si="34"/>
        <v>-48499</v>
      </c>
      <c r="AU84" s="4">
        <f t="shared" si="35"/>
        <v>0</v>
      </c>
    </row>
    <row r="85" spans="1:47">
      <c r="A85" s="131" t="s">
        <v>262</v>
      </c>
      <c r="B85" s="132">
        <v>51000.3</v>
      </c>
      <c r="C85" s="133">
        <f>VLOOKUP(B85,'ER Contributions'!A:D,4,FALSE)</f>
        <v>3209414</v>
      </c>
      <c r="D85" s="135">
        <f>VLOOKUP(B85,'ER Contributions'!A:D,3,FALSE)</f>
        <v>9.8339999999999994E-4</v>
      </c>
      <c r="E85" s="134">
        <f>VLOOKUP(B85,'68 - Summary Exhibit'!A:N,3,FALSE)</f>
        <v>16395228</v>
      </c>
      <c r="F85" s="134">
        <f>VLOOKUP(B85,'68 - Summary Exhibit'!A:N,4,FALSE)</f>
        <v>1336599</v>
      </c>
      <c r="G85" s="134">
        <f>VLOOKUP(B85,'68 - Summary Exhibit'!A:N,5,FALSE)</f>
        <v>4566070</v>
      </c>
      <c r="H85" s="134">
        <f>VLOOKUP(B85,'68 - Summary Exhibit'!A:N,6,FALSE)</f>
        <v>575779</v>
      </c>
      <c r="I85" s="133">
        <f>VLOOKUP(B85,'68 - Summary Exhibit'!A:N,7,FALSE)</f>
        <v>896513</v>
      </c>
      <c r="J85" s="133">
        <f>VLOOKUP(B85,'68 - Summary Exhibit'!A:N,8,FALSE)</f>
        <v>121008</v>
      </c>
      <c r="K85" s="133">
        <f>VLOOKUP(B85,'68 - Summary Exhibit'!A:N,9,FALSE)</f>
        <v>0</v>
      </c>
      <c r="L85" s="133">
        <f>VLOOKUP(B85,'68 - Summary Exhibit'!A:N,10,FALSE)</f>
        <v>0</v>
      </c>
      <c r="M85" s="133">
        <f>VLOOKUP(B85,'68 - Summary Exhibit'!A:N,11,FALSE)</f>
        <v>0</v>
      </c>
      <c r="N85" s="133">
        <f>VLOOKUP(B85,'68 - Summary Exhibit'!A:N,12,FALSE)</f>
        <v>4227785</v>
      </c>
      <c r="O85" s="133">
        <f>VLOOKUP(B85,'68 - Summary Exhibit'!A:N,13,FALSE)</f>
        <v>526197</v>
      </c>
      <c r="P85" s="133">
        <f t="shared" si="36"/>
        <v>4753982</v>
      </c>
      <c r="Q85" s="133">
        <f>VLOOKUP(B85,'68- Deferred Amortization'!A:G,3,FALSE)</f>
        <v>2449764.6006172793</v>
      </c>
      <c r="R85" s="133">
        <f>VLOOKUP(B85,'68- Deferred Amortization'!A:G,4,FALSE)</f>
        <v>1511605.0108172796</v>
      </c>
      <c r="S85" s="133">
        <f>VLOOKUP(B85,'68- Deferred Amortization'!A:G,5,FALSE)</f>
        <v>3097534.0355268605</v>
      </c>
      <c r="T85" s="133">
        <f>VLOOKUP(B85,'68- Deferred Amortization'!A:G,6,FALSE)</f>
        <v>195048.53939999998</v>
      </c>
      <c r="U85" s="133">
        <f>VLOOKUP(B85,'68- Deferred Amortization'!A:G,7,FALSE)</f>
        <v>0</v>
      </c>
      <c r="V85" s="133">
        <f t="shared" si="25"/>
        <v>1</v>
      </c>
      <c r="W85" s="133">
        <f t="shared" si="26"/>
        <v>1</v>
      </c>
      <c r="X85" s="132">
        <v>3</v>
      </c>
      <c r="Y85" s="132"/>
      <c r="Z85" s="132"/>
      <c r="AA85" s="132"/>
      <c r="AB85" s="132"/>
      <c r="AC85" s="134">
        <v>13927956</v>
      </c>
      <c r="AD85" s="134">
        <v>60643</v>
      </c>
      <c r="AE85" s="134">
        <v>4574499</v>
      </c>
      <c r="AF85" s="134">
        <v>1098863</v>
      </c>
      <c r="AG85" s="133">
        <v>787083</v>
      </c>
      <c r="AH85" s="133">
        <v>189840</v>
      </c>
      <c r="AI85" s="133">
        <v>0</v>
      </c>
      <c r="AJ85" s="133">
        <v>0</v>
      </c>
      <c r="AK85" s="133">
        <v>0</v>
      </c>
      <c r="AL85" s="132"/>
      <c r="AM85" s="133">
        <f t="shared" si="27"/>
        <v>109430</v>
      </c>
      <c r="AN85" s="133">
        <f t="shared" si="28"/>
        <v>0</v>
      </c>
      <c r="AO85" s="134">
        <f t="shared" si="29"/>
        <v>1275956</v>
      </c>
      <c r="AP85" s="133">
        <f t="shared" si="30"/>
        <v>-68832</v>
      </c>
      <c r="AQ85" s="4">
        <f t="shared" si="31"/>
        <v>-523084</v>
      </c>
      <c r="AR85" s="4">
        <f t="shared" si="32"/>
        <v>0</v>
      </c>
      <c r="AS85" s="4">
        <f t="shared" si="33"/>
        <v>2467272</v>
      </c>
      <c r="AT85" s="4">
        <f t="shared" si="34"/>
        <v>-8429</v>
      </c>
      <c r="AU85" s="4">
        <f t="shared" si="35"/>
        <v>0</v>
      </c>
    </row>
    <row r="86" spans="1:47">
      <c r="A86" s="136" t="s">
        <v>263</v>
      </c>
      <c r="B86" s="136">
        <v>99000</v>
      </c>
      <c r="C86" s="137">
        <f>SUMIF($X$4:$X$85,1,C$4:C$85)</f>
        <v>478748887</v>
      </c>
      <c r="D86" s="137"/>
      <c r="E86" s="137">
        <f t="shared" ref="E86:U86" si="37">SUMIF($X$4:$X$85,1,E$4:E$85)</f>
        <v>2580317807</v>
      </c>
      <c r="F86" s="137">
        <f t="shared" si="37"/>
        <v>210356940</v>
      </c>
      <c r="G86" s="137">
        <f t="shared" si="37"/>
        <v>718618315</v>
      </c>
      <c r="H86" s="137">
        <f t="shared" si="37"/>
        <v>90617351</v>
      </c>
      <c r="I86" s="137">
        <f t="shared" si="37"/>
        <v>57405101</v>
      </c>
      <c r="J86" s="137">
        <f t="shared" si="37"/>
        <v>19044565</v>
      </c>
      <c r="K86" s="137">
        <f t="shared" si="37"/>
        <v>0</v>
      </c>
      <c r="L86" s="137">
        <f t="shared" si="37"/>
        <v>0</v>
      </c>
      <c r="M86" s="137">
        <f t="shared" si="37"/>
        <v>22507700</v>
      </c>
      <c r="N86" s="137">
        <f t="shared" si="37"/>
        <v>665378310</v>
      </c>
      <c r="O86" s="137">
        <f t="shared" si="37"/>
        <v>14608544</v>
      </c>
      <c r="P86" s="137">
        <f t="shared" si="37"/>
        <v>679986854</v>
      </c>
      <c r="Q86" s="137">
        <f t="shared" si="37"/>
        <v>338507867.08112639</v>
      </c>
      <c r="R86" s="137">
        <f t="shared" si="37"/>
        <v>188441808.8202264</v>
      </c>
      <c r="S86" s="137">
        <f t="shared" si="37"/>
        <v>477798583.38050848</v>
      </c>
      <c r="T86" s="137">
        <f t="shared" si="37"/>
        <v>30697177.067699995</v>
      </c>
      <c r="U86" s="137">
        <f t="shared" si="37"/>
        <v>0</v>
      </c>
      <c r="V86" s="137">
        <f t="shared" si="25"/>
        <v>32</v>
      </c>
      <c r="W86" s="137">
        <f t="shared" si="26"/>
        <v>6</v>
      </c>
      <c r="X86" s="136"/>
      <c r="Y86" s="136"/>
      <c r="Z86" s="136"/>
      <c r="AA86" s="136"/>
      <c r="AB86" s="136"/>
      <c r="AC86" s="137">
        <v>2212674904</v>
      </c>
      <c r="AD86" s="137">
        <v>9634120</v>
      </c>
      <c r="AE86" s="137">
        <v>726731147</v>
      </c>
      <c r="AF86" s="137">
        <v>174571616</v>
      </c>
      <c r="AG86" s="137">
        <v>23013834</v>
      </c>
      <c r="AH86" s="137">
        <v>30159101</v>
      </c>
      <c r="AI86" s="137">
        <v>0</v>
      </c>
      <c r="AJ86" s="137">
        <v>0</v>
      </c>
      <c r="AK86" s="137">
        <v>34751142</v>
      </c>
      <c r="AL86" s="137"/>
      <c r="AM86" s="137">
        <f t="shared" ref="AM86:AN86" si="38">SUMIF($X$4:$X$85,1,AM$4:AM$85)</f>
        <v>34391267</v>
      </c>
      <c r="AN86" s="137">
        <f t="shared" si="38"/>
        <v>-12243442</v>
      </c>
      <c r="AO86" s="156">
        <f t="shared" si="29"/>
        <v>200722820</v>
      </c>
      <c r="AP86" s="137">
        <f t="shared" si="30"/>
        <v>-11114536</v>
      </c>
      <c r="AQ86" s="4">
        <f t="shared" si="31"/>
        <v>-83954265</v>
      </c>
      <c r="AR86" s="4">
        <f t="shared" si="32"/>
        <v>0</v>
      </c>
      <c r="AS86" s="4">
        <f t="shared" si="33"/>
        <v>367642903</v>
      </c>
      <c r="AT86" s="4">
        <f t="shared" si="34"/>
        <v>-8112832</v>
      </c>
      <c r="AU86" s="4">
        <f t="shared" si="35"/>
        <v>0</v>
      </c>
    </row>
    <row r="87" spans="1:47">
      <c r="A87" s="138" t="s">
        <v>264</v>
      </c>
      <c r="B87" s="136">
        <v>99100</v>
      </c>
      <c r="C87" s="137">
        <f>SUMIF($X$4:$X$85,2,C$4:C$85)</f>
        <v>174381689</v>
      </c>
      <c r="D87" s="137"/>
      <c r="E87" s="137">
        <f t="shared" ref="E87:U87" si="39">SUMIF($X$4:$X$85,2,E$4:E$85)</f>
        <v>937035467</v>
      </c>
      <c r="F87" s="137">
        <f t="shared" si="39"/>
        <v>76390557</v>
      </c>
      <c r="G87" s="137">
        <f t="shared" si="39"/>
        <v>260964303</v>
      </c>
      <c r="H87" s="137">
        <f t="shared" si="39"/>
        <v>32907446</v>
      </c>
      <c r="I87" s="137">
        <f t="shared" si="39"/>
        <v>20284478</v>
      </c>
      <c r="J87" s="137">
        <f t="shared" si="39"/>
        <v>6915984</v>
      </c>
      <c r="K87" s="137">
        <f t="shared" si="39"/>
        <v>0</v>
      </c>
      <c r="L87" s="137">
        <f t="shared" si="39"/>
        <v>0</v>
      </c>
      <c r="M87" s="137">
        <f t="shared" si="39"/>
        <v>9739545</v>
      </c>
      <c r="N87" s="137">
        <f t="shared" si="39"/>
        <v>241630344</v>
      </c>
      <c r="O87" s="137">
        <f t="shared" si="39"/>
        <v>3111033</v>
      </c>
      <c r="P87" s="137">
        <f t="shared" si="39"/>
        <v>244741377</v>
      </c>
      <c r="Q87" s="137">
        <f t="shared" si="39"/>
        <v>123120403.35082564</v>
      </c>
      <c r="R87" s="137">
        <f t="shared" si="39"/>
        <v>68549326.943425626</v>
      </c>
      <c r="S87" s="137">
        <f t="shared" si="39"/>
        <v>171073935.84355438</v>
      </c>
      <c r="T87" s="137">
        <f t="shared" si="39"/>
        <v>11147597.2322</v>
      </c>
      <c r="U87" s="137">
        <f t="shared" si="39"/>
        <v>0</v>
      </c>
      <c r="V87" s="137">
        <f t="shared" si="25"/>
        <v>-1</v>
      </c>
      <c r="W87" s="137">
        <f t="shared" si="26"/>
        <v>-8</v>
      </c>
      <c r="X87" s="136"/>
      <c r="Y87" s="136"/>
      <c r="Z87" s="136"/>
      <c r="AA87" s="136"/>
      <c r="AB87" s="136"/>
      <c r="AC87" s="137">
        <v>820596171</v>
      </c>
      <c r="AD87" s="137">
        <v>3572922</v>
      </c>
      <c r="AE87" s="137">
        <v>269516680</v>
      </c>
      <c r="AF87" s="137">
        <v>64741911</v>
      </c>
      <c r="AG87" s="137">
        <v>13301217</v>
      </c>
      <c r="AH87" s="137">
        <v>11184849</v>
      </c>
      <c r="AI87" s="137">
        <v>0</v>
      </c>
      <c r="AJ87" s="137">
        <v>0</v>
      </c>
      <c r="AK87" s="137">
        <v>12136233</v>
      </c>
      <c r="AL87" s="137"/>
      <c r="AM87" s="137">
        <f t="shared" ref="AM87:AN87" si="40">SUMIF($X$4:$X$85,2,AM$4:AM$85)</f>
        <v>6983261</v>
      </c>
      <c r="AN87" s="137">
        <f t="shared" si="40"/>
        <v>-2396688</v>
      </c>
      <c r="AO87" s="156">
        <f t="shared" si="29"/>
        <v>72817635</v>
      </c>
      <c r="AP87" s="137">
        <f t="shared" si="30"/>
        <v>-4268865</v>
      </c>
      <c r="AQ87" s="4">
        <f t="shared" si="31"/>
        <v>-31834465</v>
      </c>
      <c r="AR87" s="4">
        <f t="shared" si="32"/>
        <v>0</v>
      </c>
      <c r="AS87" s="4">
        <f t="shared" si="33"/>
        <v>116439296</v>
      </c>
      <c r="AT87" s="4">
        <f t="shared" si="34"/>
        <v>-8552377</v>
      </c>
      <c r="AU87" s="4">
        <f t="shared" si="35"/>
        <v>0</v>
      </c>
    </row>
    <row r="88" spans="1:47">
      <c r="A88" s="138" t="s">
        <v>265</v>
      </c>
      <c r="B88" s="136">
        <v>99200</v>
      </c>
      <c r="C88" s="137">
        <f>SUMIF($X$4:$X$85,3,C$4:C$85)</f>
        <v>6708049</v>
      </c>
      <c r="D88" s="137"/>
      <c r="E88" s="137">
        <f t="shared" ref="E88:U88" si="41">SUMIF($X$4:$X$85,3,E$4:E$85)</f>
        <v>32922165</v>
      </c>
      <c r="F88" s="137">
        <f t="shared" si="41"/>
        <v>2683936</v>
      </c>
      <c r="G88" s="137">
        <f t="shared" si="41"/>
        <v>9168821</v>
      </c>
      <c r="H88" s="137">
        <f t="shared" si="41"/>
        <v>1156184</v>
      </c>
      <c r="I88" s="137">
        <f t="shared" si="41"/>
        <v>1695884</v>
      </c>
      <c r="J88" s="137">
        <f t="shared" si="41"/>
        <v>242989</v>
      </c>
      <c r="K88" s="137">
        <f t="shared" si="41"/>
        <v>0</v>
      </c>
      <c r="L88" s="137">
        <f t="shared" si="41"/>
        <v>0</v>
      </c>
      <c r="M88" s="137">
        <f t="shared" si="41"/>
        <v>84418</v>
      </c>
      <c r="N88" s="137">
        <f t="shared" si="41"/>
        <v>8489534</v>
      </c>
      <c r="O88" s="137">
        <f t="shared" si="41"/>
        <v>936560</v>
      </c>
      <c r="P88" s="137">
        <f t="shared" si="41"/>
        <v>9426094</v>
      </c>
      <c r="Q88" s="137">
        <f t="shared" si="41"/>
        <v>4913915.0478687817</v>
      </c>
      <c r="R88" s="137">
        <f t="shared" si="41"/>
        <v>2896275.9019687828</v>
      </c>
      <c r="S88" s="137">
        <f t="shared" si="41"/>
        <v>6175560.7106171288</v>
      </c>
      <c r="T88" s="137">
        <f t="shared" si="41"/>
        <v>391663.97269999998</v>
      </c>
      <c r="U88" s="137">
        <f t="shared" si="41"/>
        <v>0</v>
      </c>
      <c r="V88" s="137">
        <f t="shared" si="25"/>
        <v>2</v>
      </c>
      <c r="W88" s="137">
        <f t="shared" si="26"/>
        <v>2</v>
      </c>
      <c r="X88" s="136"/>
      <c r="Y88" s="136"/>
      <c r="Z88" s="136"/>
      <c r="AA88" s="136"/>
      <c r="AB88" s="136"/>
      <c r="AC88" s="137">
        <v>28700435</v>
      </c>
      <c r="AD88" s="137">
        <v>124963</v>
      </c>
      <c r="AE88" s="137">
        <v>9426374</v>
      </c>
      <c r="AF88" s="137">
        <v>2264356</v>
      </c>
      <c r="AG88" s="137">
        <v>1552004</v>
      </c>
      <c r="AH88" s="137">
        <v>391191</v>
      </c>
      <c r="AI88" s="137">
        <v>0</v>
      </c>
      <c r="AJ88" s="137">
        <v>0</v>
      </c>
      <c r="AK88" s="137">
        <v>102775</v>
      </c>
      <c r="AL88" s="137"/>
      <c r="AM88" s="137">
        <f t="shared" ref="AM88:AN88" si="42">SUMIF($X$4:$X$85,3,AM$4:AM$85)</f>
        <v>143880</v>
      </c>
      <c r="AN88" s="137">
        <f t="shared" si="42"/>
        <v>-18357</v>
      </c>
      <c r="AO88" s="156">
        <f t="shared" si="29"/>
        <v>2558973</v>
      </c>
      <c r="AP88" s="137">
        <f t="shared" si="30"/>
        <v>-148202</v>
      </c>
      <c r="AQ88" s="4">
        <f t="shared" si="31"/>
        <v>-1108172</v>
      </c>
      <c r="AR88" s="4">
        <f t="shared" si="32"/>
        <v>0</v>
      </c>
      <c r="AS88" s="4">
        <f t="shared" si="33"/>
        <v>4221730</v>
      </c>
      <c r="AT88" s="4">
        <f t="shared" si="34"/>
        <v>-257553</v>
      </c>
      <c r="AU88" s="4">
        <f t="shared" si="35"/>
        <v>0</v>
      </c>
    </row>
    <row r="89" spans="1:47">
      <c r="D89" s="5"/>
    </row>
    <row r="92" spans="1:47">
      <c r="A92" s="2"/>
    </row>
  </sheetData>
  <sheetProtection algorithmName="SHA-512" hashValue="LbSN1TfLkbik4d5pOVKTndQtHOfjUo0MpkKKk/weOQzJOxQyIPFfBgtnw2L997I2Lu9YqywPok+Py2QNgh9mrg==" saltValue="gfLvjeYvnW74cZ0ZKw6yiQ==" spinCount="100000" sheet="1" objects="1" scenarios="1"/>
  <sortState xmlns:xlrd2="http://schemas.microsoft.com/office/spreadsheetml/2017/richdata2" ref="A81:AN85">
    <sortCondition ref="B81:B85"/>
  </sortState>
  <mergeCells count="6">
    <mergeCell ref="AH2:AK2"/>
    <mergeCell ref="J2:M2"/>
    <mergeCell ref="N2:P2"/>
    <mergeCell ref="F2:I2"/>
    <mergeCell ref="Q2:U2"/>
    <mergeCell ref="AD2:AG2"/>
  </mergeCells>
  <pageMargins left="0.7" right="0.7" top="0.75" bottom="0.75" header="0.3" footer="0.3"/>
  <pageSetup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8"/>
  <sheetViews>
    <sheetView topLeftCell="A272" workbookViewId="0">
      <selection activeCell="D295" sqref="D295"/>
    </sheetView>
  </sheetViews>
  <sheetFormatPr defaultRowHeight="13.2"/>
  <cols>
    <col min="1" max="1" width="15" customWidth="1"/>
    <col min="2" max="2" width="56" bestFit="1" customWidth="1"/>
    <col min="3" max="3" width="16.6640625" customWidth="1"/>
    <col min="4" max="4" width="18.44140625" bestFit="1" customWidth="1"/>
    <col min="5" max="5" width="17" customWidth="1"/>
    <col min="7" max="7" width="15.109375" bestFit="1" customWidth="1"/>
  </cols>
  <sheetData>
    <row r="1" spans="1:5">
      <c r="A1" s="202">
        <v>1</v>
      </c>
      <c r="B1" s="202">
        <v>2</v>
      </c>
      <c r="C1" s="202">
        <v>3</v>
      </c>
      <c r="D1" s="202">
        <v>4</v>
      </c>
    </row>
    <row r="2" spans="1:5" ht="38.25" customHeight="1">
      <c r="A2" s="127" t="s">
        <v>266</v>
      </c>
      <c r="B2" s="201" t="s">
        <v>267</v>
      </c>
      <c r="C2" s="45" t="s">
        <v>268</v>
      </c>
      <c r="D2" s="201" t="s">
        <v>269</v>
      </c>
    </row>
    <row r="3" spans="1:5">
      <c r="A3">
        <v>10200</v>
      </c>
      <c r="B3" t="s">
        <v>270</v>
      </c>
      <c r="C3" s="219">
        <v>1.2144E-3</v>
      </c>
      <c r="D3" s="170">
        <v>3689273</v>
      </c>
      <c r="E3" s="217"/>
    </row>
    <row r="4" spans="1:5">
      <c r="A4">
        <v>10400</v>
      </c>
      <c r="B4" t="s">
        <v>271</v>
      </c>
      <c r="C4" s="219">
        <v>3.3430999999999999E-3</v>
      </c>
      <c r="D4" s="170">
        <v>9798973</v>
      </c>
      <c r="E4" s="217"/>
    </row>
    <row r="5" spans="1:5">
      <c r="A5">
        <v>10500</v>
      </c>
      <c r="B5" t="s">
        <v>272</v>
      </c>
      <c r="C5" s="219">
        <v>7.5690000000000002E-4</v>
      </c>
      <c r="D5" s="170">
        <v>2415255</v>
      </c>
      <c r="E5" s="217"/>
    </row>
    <row r="6" spans="1:5">
      <c r="A6">
        <v>10700</v>
      </c>
      <c r="B6" t="s">
        <v>273</v>
      </c>
      <c r="C6" s="219">
        <v>5.1308999999999999E-3</v>
      </c>
      <c r="D6" s="170">
        <v>15664077</v>
      </c>
      <c r="E6" s="217"/>
    </row>
    <row r="7" spans="1:5">
      <c r="A7">
        <v>10800</v>
      </c>
      <c r="B7" t="s">
        <v>274</v>
      </c>
      <c r="C7" s="219">
        <v>2.21189E-2</v>
      </c>
      <c r="D7" s="170">
        <v>70762144</v>
      </c>
      <c r="E7" s="217"/>
    </row>
    <row r="8" spans="1:5">
      <c r="A8">
        <v>10850</v>
      </c>
      <c r="B8" t="s">
        <v>275</v>
      </c>
      <c r="C8" s="219">
        <v>1.8249999999999999E-4</v>
      </c>
      <c r="D8" s="170">
        <v>700414</v>
      </c>
      <c r="E8" s="217"/>
    </row>
    <row r="9" spans="1:5">
      <c r="A9">
        <v>10900</v>
      </c>
      <c r="B9" t="s">
        <v>276</v>
      </c>
      <c r="C9" s="219">
        <v>1.7652E-3</v>
      </c>
      <c r="D9" s="170">
        <v>6361265</v>
      </c>
      <c r="E9" s="217"/>
    </row>
    <row r="10" spans="1:5">
      <c r="A10">
        <v>10910</v>
      </c>
      <c r="B10" t="s">
        <v>277</v>
      </c>
      <c r="C10" s="219">
        <v>6.1090000000000005E-4</v>
      </c>
      <c r="D10" s="170">
        <v>1827603</v>
      </c>
      <c r="E10" s="217"/>
    </row>
    <row r="11" spans="1:5">
      <c r="A11">
        <v>10930</v>
      </c>
      <c r="B11" t="s">
        <v>278</v>
      </c>
      <c r="C11" s="219">
        <v>5.8050999999999997E-3</v>
      </c>
      <c r="D11" s="170">
        <v>20145926</v>
      </c>
      <c r="E11" s="217"/>
    </row>
    <row r="12" spans="1:5">
      <c r="A12">
        <v>10940</v>
      </c>
      <c r="B12" t="s">
        <v>279</v>
      </c>
      <c r="C12" s="219">
        <v>7.8759999999999995E-4</v>
      </c>
      <c r="D12" s="170">
        <v>2786725</v>
      </c>
      <c r="E12" s="217"/>
    </row>
    <row r="13" spans="1:5">
      <c r="A13">
        <v>10950</v>
      </c>
      <c r="B13" t="s">
        <v>186</v>
      </c>
      <c r="C13" s="219">
        <v>9.0970000000000005E-4</v>
      </c>
      <c r="D13" s="170">
        <v>2878314</v>
      </c>
      <c r="E13" s="217"/>
    </row>
    <row r="14" spans="1:5">
      <c r="A14">
        <v>11050</v>
      </c>
      <c r="B14" t="s">
        <v>280</v>
      </c>
      <c r="C14" s="219">
        <v>2.5680000000000001E-4</v>
      </c>
      <c r="D14" s="170">
        <v>946180</v>
      </c>
      <c r="E14" s="217"/>
    </row>
    <row r="15" spans="1:5">
      <c r="A15">
        <v>11300</v>
      </c>
      <c r="B15" t="s">
        <v>281</v>
      </c>
      <c r="C15" s="219">
        <v>4.7625000000000002E-3</v>
      </c>
      <c r="D15" s="170">
        <v>16925510</v>
      </c>
      <c r="E15" s="217"/>
    </row>
    <row r="16" spans="1:5">
      <c r="A16">
        <v>11310</v>
      </c>
      <c r="B16" s="136" t="s">
        <v>257</v>
      </c>
      <c r="C16" s="220">
        <v>5.7939999999999999E-4</v>
      </c>
      <c r="D16" s="221">
        <v>1933499</v>
      </c>
      <c r="E16" s="217" t="s">
        <v>560</v>
      </c>
    </row>
    <row r="17" spans="1:6">
      <c r="A17">
        <v>11600</v>
      </c>
      <c r="B17" t="s">
        <v>282</v>
      </c>
      <c r="C17" s="219">
        <v>2.4726000000000001E-3</v>
      </c>
      <c r="D17" s="170">
        <v>7109445</v>
      </c>
      <c r="E17" s="217"/>
    </row>
    <row r="18" spans="1:6">
      <c r="A18">
        <v>11900</v>
      </c>
      <c r="B18" t="s">
        <v>283</v>
      </c>
      <c r="C18" s="219">
        <v>3.5419999999999999E-4</v>
      </c>
      <c r="D18" s="170">
        <v>981361</v>
      </c>
      <c r="E18" s="217"/>
    </row>
    <row r="19" spans="1:6">
      <c r="A19">
        <v>12100</v>
      </c>
      <c r="B19" t="s">
        <v>284</v>
      </c>
      <c r="C19" s="219">
        <v>3.257E-4</v>
      </c>
      <c r="D19" s="170">
        <v>1014977</v>
      </c>
      <c r="E19" s="217"/>
    </row>
    <row r="20" spans="1:6">
      <c r="A20">
        <v>12150</v>
      </c>
      <c r="B20" t="s">
        <v>285</v>
      </c>
      <c r="C20" s="219">
        <v>4.9799999999999998E-5</v>
      </c>
      <c r="D20" s="170">
        <v>141891</v>
      </c>
      <c r="E20" s="217"/>
    </row>
    <row r="21" spans="1:6">
      <c r="A21">
        <v>12160</v>
      </c>
      <c r="B21" t="s">
        <v>286</v>
      </c>
      <c r="C21" s="219">
        <v>2.0059000000000001E-3</v>
      </c>
      <c r="D21" s="170">
        <v>6670545</v>
      </c>
      <c r="E21" s="217"/>
    </row>
    <row r="22" spans="1:6">
      <c r="A22">
        <v>12220</v>
      </c>
      <c r="B22" t="s">
        <v>287</v>
      </c>
      <c r="C22" s="219">
        <v>4.5227400000000001E-2</v>
      </c>
      <c r="D22" s="170">
        <v>150655303</v>
      </c>
      <c r="E22" s="217"/>
    </row>
    <row r="23" spans="1:6">
      <c r="A23">
        <v>12510</v>
      </c>
      <c r="B23" t="s">
        <v>288</v>
      </c>
      <c r="C23" s="219">
        <v>4.4403000000000003E-3</v>
      </c>
      <c r="D23" s="170">
        <v>15723481</v>
      </c>
      <c r="E23" s="217"/>
    </row>
    <row r="24" spans="1:6">
      <c r="A24">
        <v>12600</v>
      </c>
      <c r="B24" t="s">
        <v>289</v>
      </c>
      <c r="C24" s="219">
        <v>1.9453000000000001E-3</v>
      </c>
      <c r="D24" s="170">
        <v>6945585</v>
      </c>
      <c r="E24" s="217"/>
    </row>
    <row r="25" spans="1:6">
      <c r="A25">
        <v>12700</v>
      </c>
      <c r="B25" t="s">
        <v>290</v>
      </c>
      <c r="C25" s="219">
        <v>1.1333000000000001E-3</v>
      </c>
      <c r="D25" s="170">
        <v>4027309</v>
      </c>
      <c r="E25" s="217"/>
    </row>
    <row r="26" spans="1:6" ht="13.8" thickBot="1">
      <c r="A26">
        <v>13500</v>
      </c>
      <c r="B26" t="s">
        <v>291</v>
      </c>
      <c r="C26" s="219">
        <v>4.4066000000000001E-3</v>
      </c>
      <c r="D26" s="170">
        <v>14473898</v>
      </c>
      <c r="E26" s="217"/>
    </row>
    <row r="27" spans="1:6">
      <c r="A27">
        <v>13700</v>
      </c>
      <c r="B27" t="s">
        <v>292</v>
      </c>
      <c r="C27" s="219">
        <v>4.8230000000000001E-4</v>
      </c>
      <c r="D27" s="170">
        <v>1795563</v>
      </c>
      <c r="E27" s="222">
        <v>4908379</v>
      </c>
      <c r="F27" s="223" t="s">
        <v>561</v>
      </c>
    </row>
    <row r="28" spans="1:6">
      <c r="A28" s="136">
        <v>14300.2</v>
      </c>
      <c r="B28" s="136" t="s">
        <v>294</v>
      </c>
      <c r="C28" s="219">
        <v>2.0550000000000001E-4</v>
      </c>
      <c r="D28" s="170">
        <v>666460</v>
      </c>
      <c r="E28" s="224">
        <v>666460</v>
      </c>
      <c r="F28" s="225" t="s">
        <v>562</v>
      </c>
    </row>
    <row r="29" spans="1:6" ht="13.8" thickBot="1">
      <c r="A29">
        <v>14300</v>
      </c>
      <c r="B29" t="s">
        <v>293</v>
      </c>
      <c r="C29" s="219">
        <v>1.5361000000000001E-3</v>
      </c>
      <c r="D29" s="170">
        <v>4908379</v>
      </c>
      <c r="E29" s="226">
        <v>5574839</v>
      </c>
      <c r="F29" s="227" t="s">
        <v>563</v>
      </c>
    </row>
    <row r="30" spans="1:6">
      <c r="A30">
        <v>18400</v>
      </c>
      <c r="B30" t="s">
        <v>295</v>
      </c>
      <c r="C30" s="219">
        <v>5.2868999999999998E-3</v>
      </c>
      <c r="D30" s="170">
        <v>17211833</v>
      </c>
      <c r="E30" s="217"/>
    </row>
    <row r="31" spans="1:6">
      <c r="A31">
        <v>18600</v>
      </c>
      <c r="B31" t="s">
        <v>296</v>
      </c>
      <c r="C31" s="219">
        <v>1.33E-5</v>
      </c>
      <c r="D31" s="170">
        <v>54089</v>
      </c>
      <c r="E31" s="217"/>
    </row>
    <row r="32" spans="1:6">
      <c r="A32">
        <v>18640</v>
      </c>
      <c r="B32" t="s">
        <v>297</v>
      </c>
      <c r="C32" s="219">
        <v>2.2000000000000001E-6</v>
      </c>
      <c r="D32" s="170">
        <v>7157</v>
      </c>
      <c r="E32" s="217"/>
    </row>
    <row r="33" spans="1:5">
      <c r="A33">
        <v>18740</v>
      </c>
      <c r="B33" t="s">
        <v>298</v>
      </c>
      <c r="C33" s="219">
        <v>6.1999999999999999E-6</v>
      </c>
      <c r="D33" s="170">
        <v>28306</v>
      </c>
      <c r="E33" s="217"/>
    </row>
    <row r="34" spans="1:5">
      <c r="A34">
        <v>18780</v>
      </c>
      <c r="B34" t="s">
        <v>299</v>
      </c>
      <c r="C34" s="219">
        <v>2.7900000000000001E-5</v>
      </c>
      <c r="D34" s="170">
        <v>66686</v>
      </c>
      <c r="E34" s="217"/>
    </row>
    <row r="35" spans="1:5">
      <c r="A35">
        <v>19005</v>
      </c>
      <c r="B35" t="s">
        <v>300</v>
      </c>
      <c r="C35" s="219">
        <v>9.0589999999999996E-4</v>
      </c>
      <c r="D35" s="170">
        <v>3288104</v>
      </c>
      <c r="E35" s="217"/>
    </row>
    <row r="36" spans="1:5">
      <c r="A36">
        <v>19100</v>
      </c>
      <c r="B36" t="s">
        <v>301</v>
      </c>
      <c r="C36" s="219">
        <v>1.9601899999999998E-2</v>
      </c>
      <c r="D36" s="170">
        <v>95034355</v>
      </c>
      <c r="E36" s="217"/>
    </row>
    <row r="37" spans="1:5">
      <c r="A37">
        <v>19120</v>
      </c>
      <c r="B37" t="s">
        <v>559</v>
      </c>
      <c r="C37" s="219">
        <v>5.0665700000000001E-2</v>
      </c>
      <c r="D37" s="170">
        <v>114504530</v>
      </c>
      <c r="E37" s="217"/>
    </row>
    <row r="38" spans="1:5">
      <c r="A38">
        <v>20100</v>
      </c>
      <c r="B38" t="s">
        <v>182</v>
      </c>
      <c r="C38" s="219">
        <v>7.3802E-3</v>
      </c>
      <c r="D38" s="170">
        <v>22466314</v>
      </c>
      <c r="E38" s="217"/>
    </row>
    <row r="39" spans="1:5">
      <c r="A39">
        <v>20200</v>
      </c>
      <c r="B39" t="s">
        <v>187</v>
      </c>
      <c r="C39" s="219">
        <v>9.8780000000000005E-4</v>
      </c>
      <c r="D39" s="170">
        <v>3118394</v>
      </c>
      <c r="E39" s="217"/>
    </row>
    <row r="40" spans="1:5">
      <c r="A40">
        <v>20300</v>
      </c>
      <c r="B40" t="s">
        <v>183</v>
      </c>
      <c r="C40" s="219">
        <v>1.32266E-2</v>
      </c>
      <c r="D40" s="170">
        <v>39714363</v>
      </c>
      <c r="E40" s="217"/>
    </row>
    <row r="41" spans="1:5">
      <c r="A41">
        <v>20400</v>
      </c>
      <c r="B41" t="s">
        <v>184</v>
      </c>
      <c r="C41" s="219">
        <v>1.0966999999999999E-3</v>
      </c>
      <c r="D41" s="170">
        <v>3557012</v>
      </c>
      <c r="E41" s="217"/>
    </row>
    <row r="42" spans="1:5">
      <c r="A42">
        <v>20600</v>
      </c>
      <c r="B42" t="s">
        <v>4</v>
      </c>
      <c r="C42" s="219">
        <v>2.1928E-3</v>
      </c>
      <c r="D42" s="170">
        <v>7051664</v>
      </c>
      <c r="E42" s="217"/>
    </row>
    <row r="43" spans="1:5">
      <c r="A43">
        <v>20700</v>
      </c>
      <c r="B43" t="s">
        <v>189</v>
      </c>
      <c r="C43" s="219">
        <v>4.0670999999999997E-3</v>
      </c>
      <c r="D43" s="170">
        <v>13113192</v>
      </c>
      <c r="E43" s="217"/>
    </row>
    <row r="44" spans="1:5">
      <c r="A44">
        <v>20800</v>
      </c>
      <c r="B44" t="s">
        <v>185</v>
      </c>
      <c r="C44" s="219">
        <v>3.1513000000000001E-3</v>
      </c>
      <c r="D44" s="170">
        <v>10521985</v>
      </c>
      <c r="E44" s="217"/>
    </row>
    <row r="45" spans="1:5">
      <c r="A45">
        <v>20900</v>
      </c>
      <c r="B45" t="s">
        <v>564</v>
      </c>
      <c r="C45" s="219">
        <v>5.0679000000000002E-3</v>
      </c>
      <c r="D45" s="170">
        <v>15957025</v>
      </c>
      <c r="E45" s="217"/>
    </row>
    <row r="46" spans="1:5">
      <c r="A46">
        <v>21200</v>
      </c>
      <c r="B46" t="s">
        <v>190</v>
      </c>
      <c r="C46" s="219">
        <v>2.0268999999999999E-3</v>
      </c>
      <c r="D46" s="170">
        <v>6469875</v>
      </c>
      <c r="E46" s="217"/>
    </row>
    <row r="47" spans="1:5">
      <c r="A47">
        <v>21300</v>
      </c>
      <c r="B47" t="s">
        <v>188</v>
      </c>
      <c r="C47" s="219">
        <v>2.1995399999999998E-2</v>
      </c>
      <c r="D47" s="170">
        <v>68032361</v>
      </c>
      <c r="E47" s="217"/>
    </row>
    <row r="48" spans="1:5" ht="13.8" thickBot="1">
      <c r="A48">
        <v>21520</v>
      </c>
      <c r="B48" t="s">
        <v>302</v>
      </c>
      <c r="C48" s="219">
        <v>3.3080100000000001E-2</v>
      </c>
      <c r="D48" s="170">
        <v>103932778</v>
      </c>
      <c r="E48" s="217"/>
    </row>
    <row r="49" spans="1:6">
      <c r="A49">
        <v>21525</v>
      </c>
      <c r="B49" t="s">
        <v>303</v>
      </c>
      <c r="C49" s="219">
        <v>1.1645E-3</v>
      </c>
      <c r="D49" s="221">
        <v>4783735</v>
      </c>
      <c r="E49" s="222">
        <v>4783735</v>
      </c>
      <c r="F49" s="223" t="s">
        <v>565</v>
      </c>
    </row>
    <row r="50" spans="1:6">
      <c r="A50" s="136">
        <v>21525.200000000001</v>
      </c>
      <c r="B50" s="136" t="s">
        <v>304</v>
      </c>
      <c r="C50" s="219">
        <v>1.717E-4</v>
      </c>
      <c r="D50" s="221">
        <v>649963</v>
      </c>
      <c r="E50" s="224">
        <v>649963</v>
      </c>
      <c r="F50" s="225" t="s">
        <v>566</v>
      </c>
    </row>
    <row r="51" spans="1:6" ht="13.8" thickBot="1">
      <c r="A51">
        <v>21550</v>
      </c>
      <c r="B51" t="s">
        <v>191</v>
      </c>
      <c r="C51" s="219">
        <v>4.0001399999999999E-2</v>
      </c>
      <c r="D51" s="170">
        <v>118880066</v>
      </c>
      <c r="E51" s="226">
        <v>5433698</v>
      </c>
      <c r="F51" s="227"/>
    </row>
    <row r="52" spans="1:6">
      <c r="A52">
        <v>21570</v>
      </c>
      <c r="B52" t="s">
        <v>305</v>
      </c>
      <c r="C52" s="219">
        <v>1.7929999999999999E-4</v>
      </c>
      <c r="D52" s="170">
        <v>588565</v>
      </c>
      <c r="E52" s="217"/>
    </row>
    <row r="53" spans="1:6">
      <c r="A53">
        <v>21800</v>
      </c>
      <c r="B53" t="s">
        <v>197</v>
      </c>
      <c r="C53" s="219">
        <v>3.5709000000000001E-3</v>
      </c>
      <c r="D53" s="170">
        <v>10958121</v>
      </c>
      <c r="E53" s="217"/>
    </row>
    <row r="54" spans="1:6">
      <c r="A54">
        <v>21900</v>
      </c>
      <c r="B54" t="s">
        <v>198</v>
      </c>
      <c r="C54" s="219">
        <v>1.7574999999999999E-3</v>
      </c>
      <c r="D54" s="170">
        <v>6280040</v>
      </c>
      <c r="E54" s="217"/>
    </row>
    <row r="55" spans="1:6">
      <c r="A55">
        <v>22000</v>
      </c>
      <c r="B55" t="s">
        <v>306</v>
      </c>
      <c r="C55" s="219">
        <v>3.8690999999999999E-3</v>
      </c>
      <c r="D55" s="170">
        <v>13033899</v>
      </c>
      <c r="E55" s="217"/>
    </row>
    <row r="56" spans="1:6">
      <c r="A56">
        <v>23000</v>
      </c>
      <c r="B56" t="s">
        <v>193</v>
      </c>
      <c r="C56" s="219">
        <v>1.1203000000000001E-3</v>
      </c>
      <c r="D56" s="170">
        <v>3531322</v>
      </c>
      <c r="E56" s="217"/>
    </row>
    <row r="57" spans="1:6">
      <c r="A57">
        <v>23100</v>
      </c>
      <c r="B57" t="s">
        <v>194</v>
      </c>
      <c r="C57" s="219">
        <v>7.4136999999999996E-3</v>
      </c>
      <c r="D57" s="170">
        <v>23482099</v>
      </c>
      <c r="E57" s="217"/>
    </row>
    <row r="58" spans="1:6">
      <c r="A58">
        <v>23200</v>
      </c>
      <c r="B58" t="s">
        <v>196</v>
      </c>
      <c r="C58" s="219">
        <v>4.5589000000000003E-3</v>
      </c>
      <c r="D58" s="170">
        <v>14020227</v>
      </c>
      <c r="E58" s="217"/>
    </row>
    <row r="59" spans="1:6">
      <c r="A59">
        <v>30000</v>
      </c>
      <c r="B59" t="s">
        <v>307</v>
      </c>
      <c r="C59" s="219">
        <v>8.2010000000000004E-4</v>
      </c>
      <c r="D59" s="170">
        <v>2558510</v>
      </c>
      <c r="E59" s="217"/>
    </row>
    <row r="60" spans="1:6">
      <c r="A60">
        <v>30100</v>
      </c>
      <c r="B60" t="s">
        <v>308</v>
      </c>
      <c r="C60" s="219">
        <v>8.4659000000000002E-3</v>
      </c>
      <c r="D60" s="170">
        <v>24228393</v>
      </c>
      <c r="E60" s="217"/>
    </row>
    <row r="61" spans="1:6">
      <c r="A61">
        <v>30102</v>
      </c>
      <c r="B61" t="s">
        <v>309</v>
      </c>
      <c r="C61" s="219">
        <v>2.1460000000000001E-4</v>
      </c>
      <c r="D61" s="170">
        <v>558601</v>
      </c>
      <c r="E61" s="217"/>
    </row>
    <row r="62" spans="1:6">
      <c r="A62">
        <v>30103</v>
      </c>
      <c r="B62" t="s">
        <v>310</v>
      </c>
      <c r="C62" s="219">
        <v>2.307E-4</v>
      </c>
      <c r="D62" s="170">
        <v>646799</v>
      </c>
      <c r="E62" s="217"/>
    </row>
    <row r="63" spans="1:6">
      <c r="A63">
        <v>30104</v>
      </c>
      <c r="B63" t="s">
        <v>311</v>
      </c>
      <c r="C63" s="219">
        <v>1.8450000000000001E-4</v>
      </c>
      <c r="D63" s="170">
        <v>482521</v>
      </c>
      <c r="E63" s="217"/>
    </row>
    <row r="64" spans="1:6">
      <c r="A64">
        <v>30105</v>
      </c>
      <c r="B64" t="s">
        <v>199</v>
      </c>
      <c r="C64" s="219">
        <v>8.0550000000000001E-4</v>
      </c>
      <c r="D64" s="170">
        <v>2598336</v>
      </c>
      <c r="E64" s="217"/>
    </row>
    <row r="65" spans="1:5">
      <c r="A65">
        <v>30200</v>
      </c>
      <c r="B65" t="s">
        <v>312</v>
      </c>
      <c r="C65" s="219">
        <v>1.8843E-3</v>
      </c>
      <c r="D65" s="170">
        <v>5711420</v>
      </c>
      <c r="E65" s="217"/>
    </row>
    <row r="66" spans="1:5">
      <c r="A66">
        <v>30300</v>
      </c>
      <c r="B66" t="s">
        <v>313</v>
      </c>
      <c r="C66" s="219">
        <v>6.6060000000000001E-4</v>
      </c>
      <c r="D66" s="170">
        <v>1919550</v>
      </c>
      <c r="E66" s="217"/>
    </row>
    <row r="67" spans="1:5">
      <c r="A67">
        <v>30400</v>
      </c>
      <c r="B67" t="s">
        <v>314</v>
      </c>
      <c r="C67" s="219">
        <v>1.2620999999999999E-3</v>
      </c>
      <c r="D67" s="170">
        <v>3784270</v>
      </c>
      <c r="E67" s="217"/>
    </row>
    <row r="68" spans="1:5">
      <c r="A68">
        <v>30405</v>
      </c>
      <c r="B68" t="s">
        <v>245</v>
      </c>
      <c r="C68" s="219">
        <v>7.2550000000000002E-4</v>
      </c>
      <c r="D68" s="170">
        <v>2218324</v>
      </c>
      <c r="E68" s="217"/>
    </row>
    <row r="69" spans="1:5">
      <c r="A69">
        <v>30500</v>
      </c>
      <c r="B69" t="s">
        <v>315</v>
      </c>
      <c r="C69" s="219">
        <v>1.2095999999999999E-3</v>
      </c>
      <c r="D69" s="170">
        <v>3762686</v>
      </c>
      <c r="E69" s="217"/>
    </row>
    <row r="70" spans="1:5">
      <c r="A70">
        <v>30600</v>
      </c>
      <c r="B70" t="s">
        <v>316</v>
      </c>
      <c r="C70" s="219">
        <v>9.6190000000000002E-4</v>
      </c>
      <c r="D70" s="170">
        <v>2797051</v>
      </c>
      <c r="E70" s="217"/>
    </row>
    <row r="71" spans="1:5">
      <c r="A71">
        <v>30700</v>
      </c>
      <c r="B71" t="s">
        <v>317</v>
      </c>
      <c r="C71" s="219">
        <v>2.4987E-3</v>
      </c>
      <c r="D71" s="170">
        <v>7416644</v>
      </c>
      <c r="E71" s="217"/>
    </row>
    <row r="72" spans="1:5">
      <c r="A72">
        <v>30705</v>
      </c>
      <c r="B72" t="s">
        <v>201</v>
      </c>
      <c r="C72" s="219">
        <v>5.1920000000000004E-4</v>
      </c>
      <c r="D72" s="170">
        <v>1536781</v>
      </c>
      <c r="E72" s="217"/>
    </row>
    <row r="73" spans="1:5">
      <c r="A73">
        <v>30800</v>
      </c>
      <c r="B73" t="s">
        <v>318</v>
      </c>
      <c r="C73" s="219">
        <v>7.1509999999999998E-4</v>
      </c>
      <c r="D73" s="170">
        <v>2549216</v>
      </c>
      <c r="E73" s="217"/>
    </row>
    <row r="74" spans="1:5">
      <c r="A74">
        <v>30900</v>
      </c>
      <c r="B74" t="s">
        <v>319</v>
      </c>
      <c r="C74" s="219">
        <v>1.7244999999999999E-3</v>
      </c>
      <c r="D74" s="170">
        <v>5609759</v>
      </c>
      <c r="E74" s="217"/>
    </row>
    <row r="75" spans="1:5">
      <c r="A75">
        <v>30905</v>
      </c>
      <c r="B75" t="s">
        <v>202</v>
      </c>
      <c r="C75" s="219">
        <v>3.054E-4</v>
      </c>
      <c r="D75" s="170">
        <v>1046632</v>
      </c>
      <c r="E75" s="217"/>
    </row>
    <row r="76" spans="1:5">
      <c r="A76">
        <v>31000</v>
      </c>
      <c r="B76" t="s">
        <v>320</v>
      </c>
      <c r="C76" s="219">
        <v>5.0330000000000001E-3</v>
      </c>
      <c r="D76" s="170">
        <v>14993829</v>
      </c>
      <c r="E76" s="217"/>
    </row>
    <row r="77" spans="1:5">
      <c r="A77">
        <v>31005</v>
      </c>
      <c r="B77" t="s">
        <v>204</v>
      </c>
      <c r="C77" s="219">
        <v>4.863E-4</v>
      </c>
      <c r="D77" s="170">
        <v>1533257</v>
      </c>
      <c r="E77" s="217"/>
    </row>
    <row r="78" spans="1:5">
      <c r="A78">
        <v>31100</v>
      </c>
      <c r="B78" t="s">
        <v>321</v>
      </c>
      <c r="C78" s="219">
        <v>9.7932999999999996E-3</v>
      </c>
      <c r="D78" s="170">
        <v>29337274</v>
      </c>
      <c r="E78" s="217"/>
    </row>
    <row r="79" spans="1:5">
      <c r="A79">
        <v>31101</v>
      </c>
      <c r="B79" t="s">
        <v>322</v>
      </c>
      <c r="C79" s="219">
        <v>6.4999999999999994E-5</v>
      </c>
      <c r="D79" s="170">
        <v>193914</v>
      </c>
      <c r="E79" s="217"/>
    </row>
    <row r="80" spans="1:5">
      <c r="A80">
        <v>31102</v>
      </c>
      <c r="B80" t="s">
        <v>323</v>
      </c>
      <c r="C80" s="219">
        <v>1.784E-4</v>
      </c>
      <c r="D80" s="170">
        <v>477558</v>
      </c>
      <c r="E80" s="217"/>
    </row>
    <row r="81" spans="1:5">
      <c r="A81">
        <v>31105</v>
      </c>
      <c r="B81" t="s">
        <v>200</v>
      </c>
      <c r="C81" s="219">
        <v>1.5043999999999999E-3</v>
      </c>
      <c r="D81" s="170">
        <v>4647477</v>
      </c>
      <c r="E81" s="217"/>
    </row>
    <row r="82" spans="1:5">
      <c r="A82">
        <v>31110</v>
      </c>
      <c r="B82" t="s">
        <v>324</v>
      </c>
      <c r="C82" s="219">
        <v>2.2426E-3</v>
      </c>
      <c r="D82" s="170">
        <v>6461669</v>
      </c>
      <c r="E82" s="217"/>
    </row>
    <row r="83" spans="1:5">
      <c r="A83">
        <v>31200</v>
      </c>
      <c r="B83" t="s">
        <v>325</v>
      </c>
      <c r="C83" s="219">
        <v>4.2112E-3</v>
      </c>
      <c r="D83" s="170">
        <v>12817470</v>
      </c>
      <c r="E83" s="217"/>
    </row>
    <row r="84" spans="1:5">
      <c r="A84">
        <v>31205</v>
      </c>
      <c r="B84" t="s">
        <v>254</v>
      </c>
      <c r="C84" s="219">
        <v>4.6030000000000002E-4</v>
      </c>
      <c r="D84" s="170">
        <v>1556283</v>
      </c>
      <c r="E84" s="217"/>
    </row>
    <row r="85" spans="1:5">
      <c r="A85">
        <v>31300</v>
      </c>
      <c r="B85" t="s">
        <v>326</v>
      </c>
      <c r="C85" s="219">
        <v>1.28109E-2</v>
      </c>
      <c r="D85" s="170">
        <v>36112268</v>
      </c>
      <c r="E85" s="217"/>
    </row>
    <row r="86" spans="1:5">
      <c r="A86">
        <v>31301</v>
      </c>
      <c r="B86" t="s">
        <v>327</v>
      </c>
      <c r="C86" s="219">
        <v>2.242E-4</v>
      </c>
      <c r="D86" s="170">
        <v>603657</v>
      </c>
      <c r="E86" s="217"/>
    </row>
    <row r="87" spans="1:5">
      <c r="A87">
        <v>31320</v>
      </c>
      <c r="B87" t="s">
        <v>328</v>
      </c>
      <c r="C87" s="219">
        <v>2.1557E-3</v>
      </c>
      <c r="D87" s="170">
        <v>6065078</v>
      </c>
      <c r="E87" s="217"/>
    </row>
    <row r="88" spans="1:5">
      <c r="A88">
        <v>31400</v>
      </c>
      <c r="B88" t="s">
        <v>329</v>
      </c>
      <c r="C88" s="219">
        <v>3.9785999999999997E-3</v>
      </c>
      <c r="D88" s="170">
        <v>12512498</v>
      </c>
      <c r="E88" s="217"/>
    </row>
    <row r="89" spans="1:5">
      <c r="A89">
        <v>31405</v>
      </c>
      <c r="B89" t="s">
        <v>205</v>
      </c>
      <c r="C89" s="219">
        <v>9.5799999999999998E-4</v>
      </c>
      <c r="D89" s="170">
        <v>3164988</v>
      </c>
      <c r="E89" s="217"/>
    </row>
    <row r="90" spans="1:5">
      <c r="A90">
        <v>31500</v>
      </c>
      <c r="B90" t="s">
        <v>330</v>
      </c>
      <c r="C90" s="219">
        <v>7.7280000000000003E-4</v>
      </c>
      <c r="D90" s="170">
        <v>2483575</v>
      </c>
      <c r="E90" s="217"/>
    </row>
    <row r="91" spans="1:5">
      <c r="A91">
        <v>31600</v>
      </c>
      <c r="B91" t="s">
        <v>331</v>
      </c>
      <c r="C91" s="219">
        <v>3.2445E-3</v>
      </c>
      <c r="D91" s="170">
        <v>9890126</v>
      </c>
      <c r="E91" s="217"/>
    </row>
    <row r="92" spans="1:5">
      <c r="A92">
        <v>31605</v>
      </c>
      <c r="B92" t="s">
        <v>207</v>
      </c>
      <c r="C92" s="219">
        <v>5.1809999999999996E-4</v>
      </c>
      <c r="D92" s="170">
        <v>1692891</v>
      </c>
      <c r="E92" s="217"/>
    </row>
    <row r="93" spans="1:5">
      <c r="A93">
        <v>31700</v>
      </c>
      <c r="B93" t="s">
        <v>332</v>
      </c>
      <c r="C93" s="219">
        <v>8.8590000000000001E-4</v>
      </c>
      <c r="D93" s="170">
        <v>2810507</v>
      </c>
      <c r="E93" s="217"/>
    </row>
    <row r="94" spans="1:5">
      <c r="A94">
        <v>31800</v>
      </c>
      <c r="B94" t="s">
        <v>333</v>
      </c>
      <c r="C94" s="219">
        <v>5.7080999999999998E-3</v>
      </c>
      <c r="D94" s="170">
        <v>17496511</v>
      </c>
      <c r="E94" s="217"/>
    </row>
    <row r="95" spans="1:5">
      <c r="A95">
        <v>31805</v>
      </c>
      <c r="B95" t="s">
        <v>208</v>
      </c>
      <c r="C95" s="219">
        <v>1.2769999999999999E-3</v>
      </c>
      <c r="D95" s="170">
        <v>3959361</v>
      </c>
      <c r="E95" s="217"/>
    </row>
    <row r="96" spans="1:5">
      <c r="A96">
        <v>31810</v>
      </c>
      <c r="B96" t="s">
        <v>334</v>
      </c>
      <c r="C96" s="219">
        <v>1.3416999999999999E-3</v>
      </c>
      <c r="D96" s="170">
        <v>4209265</v>
      </c>
      <c r="E96" s="217"/>
    </row>
    <row r="97" spans="1:5">
      <c r="A97">
        <v>31820</v>
      </c>
      <c r="B97" t="s">
        <v>335</v>
      </c>
      <c r="C97" s="219">
        <v>1.1341999999999999E-3</v>
      </c>
      <c r="D97" s="170">
        <v>3404578</v>
      </c>
      <c r="E97" s="217"/>
    </row>
    <row r="98" spans="1:5">
      <c r="A98">
        <v>31900</v>
      </c>
      <c r="B98" t="s">
        <v>336</v>
      </c>
      <c r="C98" s="219">
        <v>3.7552000000000002E-3</v>
      </c>
      <c r="D98" s="170">
        <v>10940372</v>
      </c>
      <c r="E98" s="217"/>
    </row>
    <row r="99" spans="1:5">
      <c r="A99">
        <v>32000</v>
      </c>
      <c r="B99" t="s">
        <v>337</v>
      </c>
      <c r="C99" s="219">
        <v>1.4193000000000001E-3</v>
      </c>
      <c r="D99" s="170">
        <v>4200380</v>
      </c>
      <c r="E99" s="217"/>
    </row>
    <row r="100" spans="1:5">
      <c r="A100">
        <v>32005</v>
      </c>
      <c r="B100" t="s">
        <v>250</v>
      </c>
      <c r="C100" s="219">
        <v>3.6289999999999998E-4</v>
      </c>
      <c r="D100" s="170">
        <v>1051970</v>
      </c>
      <c r="E100" s="217"/>
    </row>
    <row r="101" spans="1:5">
      <c r="A101">
        <v>32100</v>
      </c>
      <c r="B101" t="s">
        <v>338</v>
      </c>
      <c r="C101" s="219">
        <v>8.0840000000000003E-4</v>
      </c>
      <c r="D101" s="170">
        <v>2521806</v>
      </c>
      <c r="E101" s="217"/>
    </row>
    <row r="102" spans="1:5">
      <c r="A102">
        <v>32200</v>
      </c>
      <c r="B102" t="s">
        <v>339</v>
      </c>
      <c r="C102" s="219">
        <v>6.1530000000000005E-4</v>
      </c>
      <c r="D102" s="170">
        <v>1787948</v>
      </c>
      <c r="E102" s="217"/>
    </row>
    <row r="103" spans="1:5">
      <c r="A103">
        <v>32300</v>
      </c>
      <c r="B103" t="s">
        <v>340</v>
      </c>
      <c r="C103" s="219">
        <v>5.5862000000000004E-3</v>
      </c>
      <c r="D103" s="170">
        <v>16860848</v>
      </c>
      <c r="E103" s="217"/>
    </row>
    <row r="104" spans="1:5">
      <c r="A104">
        <v>32305</v>
      </c>
      <c r="B104" t="s">
        <v>341</v>
      </c>
      <c r="C104" s="219">
        <v>6.9149999999999995E-4</v>
      </c>
      <c r="D104" s="170">
        <v>2102581</v>
      </c>
      <c r="E104" s="217"/>
    </row>
    <row r="105" spans="1:5">
      <c r="A105">
        <v>32400</v>
      </c>
      <c r="B105" t="s">
        <v>342</v>
      </c>
      <c r="C105" s="219">
        <v>2.0240000000000002E-3</v>
      </c>
      <c r="D105" s="170">
        <v>6314356</v>
      </c>
      <c r="E105" s="217"/>
    </row>
    <row r="106" spans="1:5">
      <c r="A106">
        <v>32405</v>
      </c>
      <c r="B106" t="s">
        <v>246</v>
      </c>
      <c r="C106" s="219">
        <v>4.9370000000000002E-4</v>
      </c>
      <c r="D106" s="170">
        <v>1590754</v>
      </c>
      <c r="E106" s="217"/>
    </row>
    <row r="107" spans="1:5">
      <c r="A107">
        <v>32410</v>
      </c>
      <c r="B107" t="s">
        <v>343</v>
      </c>
      <c r="C107" s="219">
        <v>9.123E-4</v>
      </c>
      <c r="D107" s="170">
        <v>2824115</v>
      </c>
      <c r="E107" s="217"/>
    </row>
    <row r="108" spans="1:5">
      <c r="A108">
        <v>32500</v>
      </c>
      <c r="B108" t="s">
        <v>344</v>
      </c>
      <c r="C108" s="219">
        <v>4.7984999999999998E-3</v>
      </c>
      <c r="D108" s="170">
        <v>13836740</v>
      </c>
      <c r="E108" s="217"/>
    </row>
    <row r="109" spans="1:5">
      <c r="A109">
        <v>32505</v>
      </c>
      <c r="B109" t="s">
        <v>214</v>
      </c>
      <c r="C109" s="219">
        <v>7.7010000000000002E-4</v>
      </c>
      <c r="D109" s="170">
        <v>2366168</v>
      </c>
      <c r="E109" s="217"/>
    </row>
    <row r="110" spans="1:5">
      <c r="A110">
        <v>32600</v>
      </c>
      <c r="B110" t="s">
        <v>345</v>
      </c>
      <c r="C110" s="219">
        <v>1.7491199999999998E-2</v>
      </c>
      <c r="D110" s="170">
        <v>51528431</v>
      </c>
      <c r="E110" s="217"/>
    </row>
    <row r="111" spans="1:5">
      <c r="A111">
        <v>32605</v>
      </c>
      <c r="B111" t="s">
        <v>218</v>
      </c>
      <c r="C111" s="219">
        <v>3.0879000000000002E-3</v>
      </c>
      <c r="D111" s="170">
        <v>9293259</v>
      </c>
      <c r="E111" s="217"/>
    </row>
    <row r="112" spans="1:5">
      <c r="A112">
        <v>32700</v>
      </c>
      <c r="B112" t="s">
        <v>346</v>
      </c>
      <c r="C112" s="219">
        <v>1.8181E-3</v>
      </c>
      <c r="D112" s="170">
        <v>5263585</v>
      </c>
      <c r="E112" s="217"/>
    </row>
    <row r="113" spans="1:5">
      <c r="A113">
        <v>32800</v>
      </c>
      <c r="B113" t="s">
        <v>347</v>
      </c>
      <c r="C113" s="219">
        <v>2.3904999999999998E-3</v>
      </c>
      <c r="D113" s="170">
        <v>6920405</v>
      </c>
      <c r="E113" s="217"/>
    </row>
    <row r="114" spans="1:5">
      <c r="A114">
        <v>32900</v>
      </c>
      <c r="B114" t="s">
        <v>348</v>
      </c>
      <c r="C114" s="219">
        <v>6.0558000000000001E-3</v>
      </c>
      <c r="D114" s="170">
        <v>18168245</v>
      </c>
      <c r="E114" s="217"/>
    </row>
    <row r="115" spans="1:5">
      <c r="A115">
        <v>32901</v>
      </c>
      <c r="B115" t="s">
        <v>349</v>
      </c>
      <c r="C115" s="219">
        <v>9.4300000000000002E-5</v>
      </c>
      <c r="D115" s="170">
        <v>274889</v>
      </c>
      <c r="E115" s="217"/>
    </row>
    <row r="116" spans="1:5">
      <c r="A116">
        <v>32904</v>
      </c>
      <c r="B116" t="s">
        <v>350</v>
      </c>
      <c r="C116" s="219">
        <v>1.0069999999999999E-4</v>
      </c>
      <c r="D116" s="170">
        <v>257570</v>
      </c>
      <c r="E116" s="217"/>
    </row>
    <row r="117" spans="1:5">
      <c r="A117">
        <v>32905</v>
      </c>
      <c r="B117" t="s">
        <v>351</v>
      </c>
      <c r="C117" s="219">
        <v>8.6970000000000005E-4</v>
      </c>
      <c r="D117" s="170">
        <v>2693340</v>
      </c>
      <c r="E117" s="217"/>
    </row>
    <row r="118" spans="1:5">
      <c r="A118">
        <v>32910</v>
      </c>
      <c r="B118" t="s">
        <v>352</v>
      </c>
      <c r="C118" s="219">
        <v>1.1812000000000001E-3</v>
      </c>
      <c r="D118" s="170">
        <v>3459504</v>
      </c>
      <c r="E118" s="217"/>
    </row>
    <row r="119" spans="1:5">
      <c r="A119">
        <v>32915</v>
      </c>
      <c r="B119" t="s">
        <v>353</v>
      </c>
      <c r="C119" s="219">
        <v>1.3870000000000001E-4</v>
      </c>
      <c r="D119" s="170">
        <v>359054</v>
      </c>
      <c r="E119" s="217"/>
    </row>
    <row r="120" spans="1:5">
      <c r="A120">
        <v>32920</v>
      </c>
      <c r="B120" t="s">
        <v>354</v>
      </c>
      <c r="C120" s="219">
        <v>9.4939999999999998E-4</v>
      </c>
      <c r="D120" s="170">
        <v>2737653</v>
      </c>
      <c r="E120" s="217"/>
    </row>
    <row r="121" spans="1:5">
      <c r="A121">
        <v>33000</v>
      </c>
      <c r="B121" t="s">
        <v>355</v>
      </c>
      <c r="C121" s="219">
        <v>2.3134000000000002E-3</v>
      </c>
      <c r="D121" s="170">
        <v>6926843</v>
      </c>
      <c r="E121" s="217"/>
    </row>
    <row r="122" spans="1:5">
      <c r="A122">
        <v>33001</v>
      </c>
      <c r="B122" t="s">
        <v>356</v>
      </c>
      <c r="C122" s="219">
        <v>3.6999999999999998E-5</v>
      </c>
      <c r="D122" s="170">
        <v>122129</v>
      </c>
      <c r="E122" s="217"/>
    </row>
    <row r="123" spans="1:5">
      <c r="A123">
        <v>33027</v>
      </c>
      <c r="B123" t="s">
        <v>357</v>
      </c>
      <c r="C123" s="219">
        <v>3.836E-4</v>
      </c>
      <c r="D123" s="170">
        <v>1046721</v>
      </c>
      <c r="E123" s="217"/>
    </row>
    <row r="124" spans="1:5">
      <c r="A124">
        <v>33100</v>
      </c>
      <c r="B124" t="s">
        <v>358</v>
      </c>
      <c r="C124" s="219">
        <v>3.3124999999999999E-3</v>
      </c>
      <c r="D124" s="170">
        <v>10208357</v>
      </c>
      <c r="E124" s="217"/>
    </row>
    <row r="125" spans="1:5">
      <c r="A125">
        <v>33105</v>
      </c>
      <c r="B125" t="s">
        <v>225</v>
      </c>
      <c r="C125" s="219">
        <v>4.3649999999999998E-4</v>
      </c>
      <c r="D125" s="170">
        <v>1308346</v>
      </c>
      <c r="E125" s="217"/>
    </row>
    <row r="126" spans="1:5">
      <c r="A126">
        <v>33200</v>
      </c>
      <c r="B126" t="s">
        <v>359</v>
      </c>
      <c r="C126" s="219">
        <v>1.5823400000000001E-2</v>
      </c>
      <c r="D126" s="170">
        <v>46036112</v>
      </c>
      <c r="E126" s="217"/>
    </row>
    <row r="127" spans="1:5">
      <c r="A127">
        <v>33202</v>
      </c>
      <c r="B127" t="s">
        <v>360</v>
      </c>
      <c r="C127" s="219">
        <v>2.855E-4</v>
      </c>
      <c r="D127" s="170">
        <v>688055</v>
      </c>
      <c r="E127" s="217"/>
    </row>
    <row r="128" spans="1:5">
      <c r="A128">
        <v>33203</v>
      </c>
      <c r="B128" t="s">
        <v>361</v>
      </c>
      <c r="C128" s="219">
        <v>2.7300000000000002E-4</v>
      </c>
      <c r="D128" s="170">
        <v>679428</v>
      </c>
      <c r="E128" s="217"/>
    </row>
    <row r="129" spans="1:5">
      <c r="A129">
        <v>33204</v>
      </c>
      <c r="B129" t="s">
        <v>362</v>
      </c>
      <c r="C129" s="219">
        <v>4.9669999999999998E-4</v>
      </c>
      <c r="D129" s="170">
        <v>1322019</v>
      </c>
      <c r="E129" s="217"/>
    </row>
    <row r="130" spans="1:5">
      <c r="A130">
        <v>33205</v>
      </c>
      <c r="B130" t="s">
        <v>216</v>
      </c>
      <c r="C130" s="219">
        <v>1.3216E-3</v>
      </c>
      <c r="D130" s="170">
        <v>4119476</v>
      </c>
      <c r="E130" s="217"/>
    </row>
    <row r="131" spans="1:5">
      <c r="A131">
        <v>33206</v>
      </c>
      <c r="B131" t="s">
        <v>363</v>
      </c>
      <c r="C131" s="219">
        <v>1.238E-4</v>
      </c>
      <c r="D131" s="170">
        <v>396799</v>
      </c>
      <c r="E131" s="217"/>
    </row>
    <row r="132" spans="1:5">
      <c r="A132">
        <v>33207</v>
      </c>
      <c r="B132" t="s">
        <v>364</v>
      </c>
      <c r="C132" s="219">
        <v>5.6860000000000005E-4</v>
      </c>
      <c r="D132" s="170">
        <v>1253177</v>
      </c>
      <c r="E132" s="217"/>
    </row>
    <row r="133" spans="1:5">
      <c r="A133">
        <v>33300</v>
      </c>
      <c r="B133" t="s">
        <v>365</v>
      </c>
      <c r="C133" s="219">
        <v>2.2477E-3</v>
      </c>
      <c r="D133" s="170">
        <v>6506985</v>
      </c>
      <c r="E133" s="217"/>
    </row>
    <row r="134" spans="1:5">
      <c r="A134">
        <v>33305</v>
      </c>
      <c r="B134" t="s">
        <v>217</v>
      </c>
      <c r="C134" s="219">
        <v>4.661E-4</v>
      </c>
      <c r="D134" s="170">
        <v>1475070</v>
      </c>
      <c r="E134" s="217"/>
    </row>
    <row r="135" spans="1:5">
      <c r="A135">
        <v>33400</v>
      </c>
      <c r="B135" t="s">
        <v>366</v>
      </c>
      <c r="C135" s="219">
        <v>2.1417599999999998E-2</v>
      </c>
      <c r="D135" s="170">
        <v>62825826</v>
      </c>
      <c r="E135" s="217"/>
    </row>
    <row r="136" spans="1:5">
      <c r="A136">
        <v>33402</v>
      </c>
      <c r="B136" t="s">
        <v>367</v>
      </c>
      <c r="C136" s="219">
        <v>2.0379999999999999E-4</v>
      </c>
      <c r="D136" s="170">
        <v>523269</v>
      </c>
      <c r="E136" s="217"/>
    </row>
    <row r="137" spans="1:5">
      <c r="A137">
        <v>33405</v>
      </c>
      <c r="B137" t="s">
        <v>368</v>
      </c>
      <c r="C137" s="219">
        <v>1.8741000000000001E-3</v>
      </c>
      <c r="D137" s="170">
        <v>5853190</v>
      </c>
      <c r="E137" s="217"/>
    </row>
    <row r="138" spans="1:5">
      <c r="A138">
        <v>33500</v>
      </c>
      <c r="B138" t="s">
        <v>369</v>
      </c>
      <c r="C138" s="219">
        <v>3.1034999999999999E-3</v>
      </c>
      <c r="D138" s="170">
        <v>9157192</v>
      </c>
      <c r="E138" s="217"/>
    </row>
    <row r="139" spans="1:5">
      <c r="A139">
        <v>33501</v>
      </c>
      <c r="B139" t="s">
        <v>370</v>
      </c>
      <c r="C139" s="219">
        <v>1.3109999999999999E-4</v>
      </c>
      <c r="D139" s="170">
        <v>396347</v>
      </c>
      <c r="E139" s="217"/>
    </row>
    <row r="140" spans="1:5">
      <c r="A140">
        <v>33600</v>
      </c>
      <c r="B140" t="s">
        <v>371</v>
      </c>
      <c r="C140" s="219">
        <v>1.0320599999999999E-2</v>
      </c>
      <c r="D140" s="170">
        <v>31270347</v>
      </c>
      <c r="E140" s="217"/>
    </row>
    <row r="141" spans="1:5">
      <c r="A141">
        <v>33605</v>
      </c>
      <c r="B141" t="s">
        <v>220</v>
      </c>
      <c r="C141" s="219">
        <v>1.3082E-3</v>
      </c>
      <c r="D141" s="170">
        <v>4508017</v>
      </c>
      <c r="E141" s="217"/>
    </row>
    <row r="142" spans="1:5">
      <c r="A142">
        <v>33700</v>
      </c>
      <c r="B142" t="s">
        <v>372</v>
      </c>
      <c r="C142" s="219">
        <v>7.6710000000000005E-4</v>
      </c>
      <c r="D142" s="170">
        <v>2233983</v>
      </c>
      <c r="E142" s="217"/>
    </row>
    <row r="143" spans="1:5">
      <c r="A143">
        <v>33800</v>
      </c>
      <c r="B143" t="s">
        <v>373</v>
      </c>
      <c r="C143" s="219">
        <v>6.0459999999999995E-4</v>
      </c>
      <c r="D143" s="170">
        <v>1802526</v>
      </c>
      <c r="E143" s="217"/>
    </row>
    <row r="144" spans="1:5">
      <c r="A144">
        <v>33900</v>
      </c>
      <c r="B144" t="s">
        <v>374</v>
      </c>
      <c r="C144" s="219">
        <v>2.3820999999999998E-3</v>
      </c>
      <c r="D144" s="170">
        <v>7450726</v>
      </c>
      <c r="E144" s="217"/>
    </row>
    <row r="145" spans="1:5">
      <c r="A145">
        <v>34000</v>
      </c>
      <c r="B145" t="s">
        <v>375</v>
      </c>
      <c r="C145" s="219">
        <v>1.3366000000000001E-3</v>
      </c>
      <c r="D145" s="170">
        <v>4035845</v>
      </c>
      <c r="E145" s="217"/>
    </row>
    <row r="146" spans="1:5">
      <c r="A146">
        <v>34100</v>
      </c>
      <c r="B146" t="s">
        <v>376</v>
      </c>
      <c r="C146" s="219">
        <v>2.8091499999999998E-2</v>
      </c>
      <c r="D146" s="170">
        <v>80945208</v>
      </c>
      <c r="E146" s="217"/>
    </row>
    <row r="147" spans="1:5">
      <c r="A147">
        <v>34105</v>
      </c>
      <c r="B147" t="s">
        <v>221</v>
      </c>
      <c r="C147" s="219">
        <v>2.1749E-3</v>
      </c>
      <c r="D147" s="170">
        <v>7332398</v>
      </c>
      <c r="E147" s="217"/>
    </row>
    <row r="148" spans="1:5">
      <c r="A148">
        <v>34200</v>
      </c>
      <c r="B148" t="s">
        <v>377</v>
      </c>
      <c r="C148" s="219">
        <v>8.2870000000000003E-4</v>
      </c>
      <c r="D148" s="170">
        <v>2651149</v>
      </c>
      <c r="E148" s="217"/>
    </row>
    <row r="149" spans="1:5">
      <c r="A149">
        <v>34205</v>
      </c>
      <c r="B149" t="s">
        <v>222</v>
      </c>
      <c r="C149" s="219">
        <v>3.4880000000000002E-4</v>
      </c>
      <c r="D149" s="170">
        <v>1146376</v>
      </c>
      <c r="E149" s="217"/>
    </row>
    <row r="150" spans="1:5">
      <c r="A150">
        <v>34220</v>
      </c>
      <c r="B150" t="s">
        <v>378</v>
      </c>
      <c r="C150" s="219">
        <v>1.0222E-3</v>
      </c>
      <c r="D150" s="170">
        <v>3150221</v>
      </c>
      <c r="E150" s="217"/>
    </row>
    <row r="151" spans="1:5">
      <c r="A151">
        <v>34230</v>
      </c>
      <c r="B151" t="s">
        <v>379</v>
      </c>
      <c r="C151" s="219">
        <v>3.7369999999999998E-4</v>
      </c>
      <c r="D151" s="170">
        <v>1264866</v>
      </c>
      <c r="E151" s="217"/>
    </row>
    <row r="152" spans="1:5">
      <c r="A152">
        <v>34300</v>
      </c>
      <c r="B152" t="s">
        <v>380</v>
      </c>
      <c r="C152" s="219">
        <v>6.5915000000000001E-3</v>
      </c>
      <c r="D152" s="170">
        <v>19223900</v>
      </c>
      <c r="E152" s="217"/>
    </row>
    <row r="153" spans="1:5">
      <c r="A153">
        <v>34400</v>
      </c>
      <c r="B153" t="s">
        <v>381</v>
      </c>
      <c r="C153" s="219">
        <v>2.7288E-3</v>
      </c>
      <c r="D153" s="170">
        <v>8043908</v>
      </c>
      <c r="E153" s="217"/>
    </row>
    <row r="154" spans="1:5">
      <c r="A154">
        <v>34405</v>
      </c>
      <c r="B154" t="s">
        <v>223</v>
      </c>
      <c r="C154" s="219">
        <v>5.0259999999999997E-4</v>
      </c>
      <c r="D154" s="170">
        <v>1436551</v>
      </c>
      <c r="E154" s="217"/>
    </row>
    <row r="155" spans="1:5">
      <c r="A155">
        <v>34500</v>
      </c>
      <c r="B155" t="s">
        <v>382</v>
      </c>
      <c r="C155" s="219">
        <v>5.3033000000000004E-3</v>
      </c>
      <c r="D155" s="170">
        <v>14884602</v>
      </c>
      <c r="E155" s="217"/>
    </row>
    <row r="156" spans="1:5">
      <c r="A156">
        <v>34501</v>
      </c>
      <c r="B156" t="s">
        <v>383</v>
      </c>
      <c r="C156" s="219">
        <v>7.4800000000000002E-5</v>
      </c>
      <c r="D156" s="170">
        <v>192851</v>
      </c>
      <c r="E156" s="217"/>
    </row>
    <row r="157" spans="1:5">
      <c r="A157">
        <v>34505</v>
      </c>
      <c r="B157" t="s">
        <v>203</v>
      </c>
      <c r="C157" s="219">
        <v>7.7269999999999997E-4</v>
      </c>
      <c r="D157" s="170">
        <v>2265524</v>
      </c>
      <c r="E157" s="217"/>
    </row>
    <row r="158" spans="1:5">
      <c r="A158">
        <v>34600</v>
      </c>
      <c r="B158" t="s">
        <v>384</v>
      </c>
      <c r="C158" s="219">
        <v>9.6100000000000005E-4</v>
      </c>
      <c r="D158" s="170">
        <v>3321208</v>
      </c>
      <c r="E158" s="217"/>
    </row>
    <row r="159" spans="1:5">
      <c r="A159">
        <v>34605</v>
      </c>
      <c r="B159" t="s">
        <v>239</v>
      </c>
      <c r="C159" s="219">
        <v>1.9479999999999999E-4</v>
      </c>
      <c r="D159" s="170">
        <v>612644</v>
      </c>
      <c r="E159" s="217"/>
    </row>
    <row r="160" spans="1:5">
      <c r="A160">
        <v>34700</v>
      </c>
      <c r="B160" t="s">
        <v>385</v>
      </c>
      <c r="C160" s="219">
        <v>3.4497E-3</v>
      </c>
      <c r="D160" s="170">
        <v>9030727</v>
      </c>
      <c r="E160" s="217"/>
    </row>
    <row r="161" spans="1:5">
      <c r="A161">
        <v>34800</v>
      </c>
      <c r="B161" t="s">
        <v>386</v>
      </c>
      <c r="C161" s="219">
        <v>3.4900000000000003E-4</v>
      </c>
      <c r="D161" s="170">
        <v>1141199</v>
      </c>
      <c r="E161" s="217"/>
    </row>
    <row r="162" spans="1:5">
      <c r="A162">
        <v>34900</v>
      </c>
      <c r="B162" t="s">
        <v>387</v>
      </c>
      <c r="C162" s="219">
        <v>7.3559000000000003E-3</v>
      </c>
      <c r="D162" s="170">
        <v>21910797</v>
      </c>
      <c r="E162" s="217"/>
    </row>
    <row r="163" spans="1:5">
      <c r="A163">
        <v>34901</v>
      </c>
      <c r="B163" t="s">
        <v>388</v>
      </c>
      <c r="C163" s="219">
        <v>2.0900000000000001E-4</v>
      </c>
      <c r="D163" s="170">
        <v>589409</v>
      </c>
      <c r="E163" s="217"/>
    </row>
    <row r="164" spans="1:5">
      <c r="A164">
        <v>34903</v>
      </c>
      <c r="B164" t="s">
        <v>389</v>
      </c>
      <c r="C164" s="219">
        <v>2.0699999999999998E-5</v>
      </c>
      <c r="D164" s="170">
        <v>91455</v>
      </c>
      <c r="E164" s="217"/>
    </row>
    <row r="165" spans="1:5">
      <c r="A165">
        <v>34905</v>
      </c>
      <c r="B165" t="s">
        <v>231</v>
      </c>
      <c r="C165" s="219">
        <v>6.5490000000000004E-4</v>
      </c>
      <c r="D165" s="170">
        <v>2036565</v>
      </c>
      <c r="E165" s="217"/>
    </row>
    <row r="166" spans="1:5">
      <c r="A166">
        <v>34910</v>
      </c>
      <c r="B166" t="s">
        <v>390</v>
      </c>
      <c r="C166" s="219">
        <v>2.1973000000000001E-3</v>
      </c>
      <c r="D166" s="170">
        <v>6461709</v>
      </c>
      <c r="E166" s="217"/>
    </row>
    <row r="167" spans="1:5">
      <c r="A167">
        <v>35000</v>
      </c>
      <c r="B167" t="s">
        <v>391</v>
      </c>
      <c r="C167" s="219">
        <v>1.6310999999999999E-3</v>
      </c>
      <c r="D167" s="170">
        <v>4364151</v>
      </c>
      <c r="E167" s="217"/>
    </row>
    <row r="168" spans="1:5">
      <c r="A168">
        <v>35005</v>
      </c>
      <c r="B168" t="s">
        <v>247</v>
      </c>
      <c r="C168" s="219">
        <v>5.9369999999999996E-4</v>
      </c>
      <c r="D168" s="170">
        <v>1910145</v>
      </c>
      <c r="E168" s="217"/>
    </row>
    <row r="169" spans="1:5">
      <c r="A169">
        <v>35100</v>
      </c>
      <c r="B169" t="s">
        <v>392</v>
      </c>
      <c r="C169" s="219">
        <v>1.3399899999999999E-2</v>
      </c>
      <c r="D169" s="170">
        <v>37616594</v>
      </c>
      <c r="E169" s="217"/>
    </row>
    <row r="170" spans="1:5">
      <c r="A170">
        <v>35105</v>
      </c>
      <c r="B170" t="s">
        <v>226</v>
      </c>
      <c r="C170" s="219">
        <v>1.085E-3</v>
      </c>
      <c r="D170" s="170">
        <v>3326244</v>
      </c>
      <c r="E170" s="217"/>
    </row>
    <row r="171" spans="1:5">
      <c r="A171">
        <v>35106</v>
      </c>
      <c r="B171" t="s">
        <v>393</v>
      </c>
      <c r="C171" s="219">
        <v>2.396E-4</v>
      </c>
      <c r="D171" s="170">
        <v>645055</v>
      </c>
      <c r="E171" s="217"/>
    </row>
    <row r="172" spans="1:5">
      <c r="A172">
        <v>35200</v>
      </c>
      <c r="B172" t="s">
        <v>394</v>
      </c>
      <c r="C172" s="219">
        <v>5.1020000000000004E-4</v>
      </c>
      <c r="D172" s="170">
        <v>1692724</v>
      </c>
      <c r="E172" s="217"/>
    </row>
    <row r="173" spans="1:5">
      <c r="A173">
        <v>35300</v>
      </c>
      <c r="B173" t="s">
        <v>395</v>
      </c>
      <c r="C173" s="219">
        <v>3.9455000000000002E-3</v>
      </c>
      <c r="D173" s="170">
        <v>11209060</v>
      </c>
      <c r="E173" s="217"/>
    </row>
    <row r="174" spans="1:5">
      <c r="A174">
        <v>35305</v>
      </c>
      <c r="B174" t="s">
        <v>209</v>
      </c>
      <c r="C174" s="219">
        <v>1.4901999999999999E-3</v>
      </c>
      <c r="D174" s="170">
        <v>4403911</v>
      </c>
      <c r="E174" s="217"/>
    </row>
    <row r="175" spans="1:5">
      <c r="A175">
        <v>35400</v>
      </c>
      <c r="B175" t="s">
        <v>396</v>
      </c>
      <c r="C175" s="219">
        <v>3.3595000000000001E-3</v>
      </c>
      <c r="D175" s="170">
        <v>9500161</v>
      </c>
      <c r="E175" s="217"/>
    </row>
    <row r="176" spans="1:5">
      <c r="A176">
        <v>35401</v>
      </c>
      <c r="B176" t="s">
        <v>397</v>
      </c>
      <c r="C176" s="219">
        <v>3.4700000000000003E-5</v>
      </c>
      <c r="D176" s="170">
        <v>95191</v>
      </c>
      <c r="E176" s="217"/>
    </row>
    <row r="177" spans="1:5">
      <c r="A177">
        <v>35405</v>
      </c>
      <c r="B177" t="s">
        <v>227</v>
      </c>
      <c r="C177" s="219">
        <v>8.4389999999999997E-4</v>
      </c>
      <c r="D177" s="170">
        <v>2479662</v>
      </c>
      <c r="E177" s="217"/>
    </row>
    <row r="178" spans="1:5">
      <c r="A178">
        <v>35500</v>
      </c>
      <c r="B178" t="s">
        <v>398</v>
      </c>
      <c r="C178" s="219">
        <v>4.1213999999999999E-3</v>
      </c>
      <c r="D178" s="170">
        <v>12091885</v>
      </c>
      <c r="E178" s="217"/>
    </row>
    <row r="179" spans="1:5">
      <c r="A179">
        <v>35600</v>
      </c>
      <c r="B179" t="s">
        <v>399</v>
      </c>
      <c r="C179" s="219">
        <v>1.8473000000000001E-3</v>
      </c>
      <c r="D179" s="170">
        <v>5482992</v>
      </c>
      <c r="E179" s="217"/>
    </row>
    <row r="180" spans="1:5">
      <c r="A180">
        <v>35700</v>
      </c>
      <c r="B180" t="s">
        <v>400</v>
      </c>
      <c r="C180" s="219">
        <v>9.9449999999999994E-4</v>
      </c>
      <c r="D180" s="170">
        <v>3110592</v>
      </c>
      <c r="E180" s="217"/>
    </row>
    <row r="181" spans="1:5">
      <c r="A181">
        <v>35800</v>
      </c>
      <c r="B181" t="s">
        <v>401</v>
      </c>
      <c r="C181" s="219">
        <v>1.1238000000000001E-3</v>
      </c>
      <c r="D181" s="170">
        <v>3553153</v>
      </c>
      <c r="E181" s="217"/>
    </row>
    <row r="182" spans="1:5">
      <c r="A182">
        <v>35805</v>
      </c>
      <c r="B182" t="s">
        <v>228</v>
      </c>
      <c r="C182" s="219">
        <v>2.2560000000000001E-4</v>
      </c>
      <c r="D182" s="170">
        <v>833513</v>
      </c>
      <c r="E182" s="217"/>
    </row>
    <row r="183" spans="1:5">
      <c r="A183">
        <v>35900</v>
      </c>
      <c r="B183" t="s">
        <v>402</v>
      </c>
      <c r="C183" s="219">
        <v>2.2491E-3</v>
      </c>
      <c r="D183" s="170">
        <v>6982822</v>
      </c>
      <c r="E183" s="217"/>
    </row>
    <row r="184" spans="1:5">
      <c r="A184">
        <v>35905</v>
      </c>
      <c r="B184" t="s">
        <v>230</v>
      </c>
      <c r="C184" s="219">
        <v>3.4079999999999999E-4</v>
      </c>
      <c r="D184" s="170">
        <v>1168699</v>
      </c>
      <c r="E184" s="217"/>
    </row>
    <row r="185" spans="1:5">
      <c r="A185">
        <v>36000</v>
      </c>
      <c r="B185" t="s">
        <v>403</v>
      </c>
      <c r="C185" s="219">
        <v>5.8404200000000003E-2</v>
      </c>
      <c r="D185" s="170">
        <v>166371207</v>
      </c>
      <c r="E185" s="217"/>
    </row>
    <row r="186" spans="1:5">
      <c r="A186">
        <v>36003</v>
      </c>
      <c r="B186" t="s">
        <v>404</v>
      </c>
      <c r="C186" s="219">
        <v>4.3399999999999998E-4</v>
      </c>
      <c r="D186" s="170">
        <v>1444044</v>
      </c>
      <c r="E186" s="217"/>
    </row>
    <row r="187" spans="1:5">
      <c r="A187">
        <v>36004</v>
      </c>
      <c r="B187" t="s">
        <v>405</v>
      </c>
      <c r="C187" s="219">
        <v>3.68E-4</v>
      </c>
      <c r="D187" s="170">
        <v>1014913</v>
      </c>
      <c r="E187" s="217"/>
    </row>
    <row r="188" spans="1:5">
      <c r="A188">
        <v>36005</v>
      </c>
      <c r="B188" t="s">
        <v>210</v>
      </c>
      <c r="C188" s="219">
        <v>4.1365000000000004E-3</v>
      </c>
      <c r="D188" s="170">
        <v>12422969</v>
      </c>
      <c r="E188" s="217"/>
    </row>
    <row r="189" spans="1:5">
      <c r="A189">
        <v>36006</v>
      </c>
      <c r="B189" t="s">
        <v>406</v>
      </c>
      <c r="C189" s="219">
        <v>6.9950000000000003E-4</v>
      </c>
      <c r="D189" s="170">
        <v>1881952</v>
      </c>
      <c r="E189" s="217"/>
    </row>
    <row r="190" spans="1:5">
      <c r="A190">
        <v>36007</v>
      </c>
      <c r="B190" t="s">
        <v>407</v>
      </c>
      <c r="C190" s="219">
        <v>2.8689999999999998E-4</v>
      </c>
      <c r="D190" s="170">
        <v>749989</v>
      </c>
      <c r="E190" s="217"/>
    </row>
    <row r="191" spans="1:5">
      <c r="A191">
        <v>36008</v>
      </c>
      <c r="B191" t="s">
        <v>408</v>
      </c>
      <c r="C191" s="219">
        <v>6.4930000000000001E-4</v>
      </c>
      <c r="D191" s="170">
        <v>1648217</v>
      </c>
      <c r="E191" s="217"/>
    </row>
    <row r="192" spans="1:5">
      <c r="A192">
        <v>36009</v>
      </c>
      <c r="B192" t="s">
        <v>409</v>
      </c>
      <c r="C192" s="219">
        <v>7.0500000000000006E-5</v>
      </c>
      <c r="D192" s="170">
        <v>187295</v>
      </c>
      <c r="E192" s="217"/>
    </row>
    <row r="193" spans="1:5">
      <c r="A193">
        <v>36100</v>
      </c>
      <c r="B193" t="s">
        <v>410</v>
      </c>
      <c r="C193" s="219">
        <v>7.1509999999999998E-4</v>
      </c>
      <c r="D193" s="170">
        <v>2207976</v>
      </c>
      <c r="E193" s="217"/>
    </row>
    <row r="194" spans="1:5">
      <c r="A194">
        <v>36105</v>
      </c>
      <c r="B194" t="s">
        <v>229</v>
      </c>
      <c r="C194" s="219">
        <v>3.2380000000000001E-4</v>
      </c>
      <c r="D194" s="170">
        <v>1072133</v>
      </c>
      <c r="E194" s="217"/>
    </row>
    <row r="195" spans="1:5">
      <c r="A195">
        <v>36200</v>
      </c>
      <c r="B195" t="s">
        <v>411</v>
      </c>
      <c r="C195" s="219">
        <v>1.3404999999999999E-3</v>
      </c>
      <c r="D195" s="170">
        <v>4193819</v>
      </c>
      <c r="E195" s="217"/>
    </row>
    <row r="196" spans="1:5">
      <c r="A196">
        <v>36205</v>
      </c>
      <c r="B196" t="s">
        <v>232</v>
      </c>
      <c r="C196" s="219">
        <v>2.856E-4</v>
      </c>
      <c r="D196" s="170">
        <v>843839</v>
      </c>
      <c r="E196" s="217"/>
    </row>
    <row r="197" spans="1:5">
      <c r="A197">
        <v>36300</v>
      </c>
      <c r="B197" t="s">
        <v>412</v>
      </c>
      <c r="C197" s="219">
        <v>4.8606999999999999E-3</v>
      </c>
      <c r="D197" s="170">
        <v>14620575</v>
      </c>
      <c r="E197" s="217"/>
    </row>
    <row r="198" spans="1:5">
      <c r="A198">
        <v>36301</v>
      </c>
      <c r="B198" t="s">
        <v>413</v>
      </c>
      <c r="C198" s="219">
        <v>1.22E-4</v>
      </c>
      <c r="D198" s="170">
        <v>358845</v>
      </c>
      <c r="E198" s="217"/>
    </row>
    <row r="199" spans="1:5">
      <c r="A199">
        <v>36302</v>
      </c>
      <c r="B199" t="s">
        <v>414</v>
      </c>
      <c r="C199" s="219">
        <v>2.1340000000000001E-4</v>
      </c>
      <c r="D199" s="170">
        <v>545603</v>
      </c>
      <c r="E199" s="217"/>
    </row>
    <row r="200" spans="1:5">
      <c r="A200">
        <v>36303</v>
      </c>
      <c r="B200" t="s">
        <v>415</v>
      </c>
      <c r="C200" s="219">
        <v>2.787E-4</v>
      </c>
      <c r="D200" s="170">
        <v>647363</v>
      </c>
      <c r="E200" s="217"/>
    </row>
    <row r="201" spans="1:5">
      <c r="A201">
        <v>36305</v>
      </c>
      <c r="B201" t="s">
        <v>244</v>
      </c>
      <c r="C201" s="219">
        <v>1.0313E-3</v>
      </c>
      <c r="D201" s="170">
        <v>3236277</v>
      </c>
      <c r="E201" s="217"/>
    </row>
    <row r="202" spans="1:5">
      <c r="A202">
        <v>36400</v>
      </c>
      <c r="B202" t="s">
        <v>416</v>
      </c>
      <c r="C202" s="219">
        <v>4.9709999999999997E-3</v>
      </c>
      <c r="D202" s="170">
        <v>15351852</v>
      </c>
      <c r="E202" s="217"/>
    </row>
    <row r="203" spans="1:5">
      <c r="A203">
        <v>36405</v>
      </c>
      <c r="B203" t="s">
        <v>417</v>
      </c>
      <c r="C203" s="219">
        <v>7.2800000000000002E-4</v>
      </c>
      <c r="D203" s="170">
        <v>2229541</v>
      </c>
      <c r="E203" s="217"/>
    </row>
    <row r="204" spans="1:5">
      <c r="A204">
        <v>36500</v>
      </c>
      <c r="B204" t="s">
        <v>418</v>
      </c>
      <c r="C204" s="219">
        <v>1.1829299999999999E-2</v>
      </c>
      <c r="D204" s="170">
        <v>33293756</v>
      </c>
      <c r="E204" s="217"/>
    </row>
    <row r="205" spans="1:5">
      <c r="A205">
        <v>36501</v>
      </c>
      <c r="B205" t="s">
        <v>419</v>
      </c>
      <c r="C205" s="219">
        <v>1.496E-4</v>
      </c>
      <c r="D205" s="170">
        <v>388785</v>
      </c>
      <c r="E205" s="217"/>
    </row>
    <row r="206" spans="1:5">
      <c r="A206">
        <v>36502</v>
      </c>
      <c r="B206" t="s">
        <v>420</v>
      </c>
      <c r="C206" s="219">
        <v>2.5899999999999999E-5</v>
      </c>
      <c r="D206" s="170">
        <v>71103</v>
      </c>
      <c r="E206" s="217"/>
    </row>
    <row r="207" spans="1:5">
      <c r="A207">
        <v>36505</v>
      </c>
      <c r="B207" t="s">
        <v>206</v>
      </c>
      <c r="C207" s="219">
        <v>2.1667000000000001E-3</v>
      </c>
      <c r="D207" s="170">
        <v>6674037</v>
      </c>
      <c r="E207" s="217"/>
    </row>
    <row r="208" spans="1:5">
      <c r="A208">
        <v>36600</v>
      </c>
      <c r="B208" t="s">
        <v>421</v>
      </c>
      <c r="C208" s="219">
        <v>5.2950000000000002E-4</v>
      </c>
      <c r="D208" s="170">
        <v>1721692</v>
      </c>
      <c r="E208" s="217"/>
    </row>
    <row r="209" spans="1:5">
      <c r="A209">
        <v>36700</v>
      </c>
      <c r="B209" t="s">
        <v>422</v>
      </c>
      <c r="C209" s="219">
        <v>9.5951999999999999E-3</v>
      </c>
      <c r="D209" s="170">
        <v>28341659</v>
      </c>
      <c r="E209" s="217"/>
    </row>
    <row r="210" spans="1:5">
      <c r="A210">
        <v>36701</v>
      </c>
      <c r="B210" t="s">
        <v>423</v>
      </c>
      <c r="C210" s="219">
        <v>2.58E-5</v>
      </c>
      <c r="D210" s="170">
        <v>73396</v>
      </c>
      <c r="E210" s="217"/>
    </row>
    <row r="211" spans="1:5">
      <c r="A211">
        <v>36705</v>
      </c>
      <c r="B211" t="s">
        <v>212</v>
      </c>
      <c r="C211" s="219">
        <v>9.1889999999999995E-4</v>
      </c>
      <c r="D211" s="170">
        <v>2846671</v>
      </c>
      <c r="E211" s="217"/>
    </row>
    <row r="212" spans="1:5">
      <c r="A212">
        <v>36800</v>
      </c>
      <c r="B212" t="s">
        <v>424</v>
      </c>
      <c r="C212" s="219">
        <v>3.4841E-3</v>
      </c>
      <c r="D212" s="170">
        <v>10137372</v>
      </c>
      <c r="E212" s="217"/>
    </row>
    <row r="213" spans="1:5">
      <c r="A213">
        <v>36802</v>
      </c>
      <c r="B213" t="s">
        <v>425</v>
      </c>
      <c r="C213" s="219">
        <v>2.6640000000000002E-4</v>
      </c>
      <c r="D213" s="170">
        <v>704911</v>
      </c>
      <c r="E213" s="217"/>
    </row>
    <row r="214" spans="1:5">
      <c r="A214">
        <v>36810</v>
      </c>
      <c r="B214" t="s">
        <v>426</v>
      </c>
      <c r="C214" s="219">
        <v>6.7225999999999996E-3</v>
      </c>
      <c r="D214" s="170">
        <v>19417632</v>
      </c>
      <c r="E214" s="217"/>
    </row>
    <row r="215" spans="1:5">
      <c r="A215">
        <v>36900</v>
      </c>
      <c r="B215" t="s">
        <v>427</v>
      </c>
      <c r="C215" s="219">
        <v>7.4350000000000002E-4</v>
      </c>
      <c r="D215" s="170">
        <v>2125429</v>
      </c>
      <c r="E215" s="217"/>
    </row>
    <row r="216" spans="1:5">
      <c r="A216">
        <v>36901</v>
      </c>
      <c r="B216" t="s">
        <v>428</v>
      </c>
      <c r="C216" s="219">
        <v>2.354E-4</v>
      </c>
      <c r="D216" s="170">
        <v>786501</v>
      </c>
      <c r="E216" s="217"/>
    </row>
    <row r="217" spans="1:5">
      <c r="A217">
        <v>36905</v>
      </c>
      <c r="B217" t="s">
        <v>234</v>
      </c>
      <c r="C217" s="219">
        <v>1.9990000000000001E-4</v>
      </c>
      <c r="D217" s="170">
        <v>664366</v>
      </c>
      <c r="E217" s="217"/>
    </row>
    <row r="218" spans="1:5">
      <c r="A218">
        <v>37000</v>
      </c>
      <c r="B218" t="s">
        <v>429</v>
      </c>
      <c r="C218" s="219">
        <v>1.916E-3</v>
      </c>
      <c r="D218" s="170">
        <v>5606914</v>
      </c>
      <c r="E218" s="217"/>
    </row>
    <row r="219" spans="1:5">
      <c r="A219">
        <v>37001</v>
      </c>
      <c r="B219" t="s">
        <v>430</v>
      </c>
      <c r="C219" s="219">
        <v>2.285E-4</v>
      </c>
      <c r="D219" s="170">
        <v>644877</v>
      </c>
      <c r="E219" s="217"/>
    </row>
    <row r="220" spans="1:5">
      <c r="A220">
        <v>37005</v>
      </c>
      <c r="B220" t="s">
        <v>213</v>
      </c>
      <c r="C220" s="219">
        <v>6.0959999999999996E-4</v>
      </c>
      <c r="D220" s="170">
        <v>1897954</v>
      </c>
      <c r="E220" s="217"/>
    </row>
    <row r="221" spans="1:5">
      <c r="A221">
        <v>37100</v>
      </c>
      <c r="B221" t="s">
        <v>431</v>
      </c>
      <c r="C221" s="219">
        <v>3.8265999999999999E-3</v>
      </c>
      <c r="D221" s="170">
        <v>11010273</v>
      </c>
      <c r="E221" s="217"/>
    </row>
    <row r="222" spans="1:5">
      <c r="A222">
        <v>37200</v>
      </c>
      <c r="B222" t="s">
        <v>432</v>
      </c>
      <c r="C222" s="219">
        <v>7.1520000000000004E-4</v>
      </c>
      <c r="D222" s="170">
        <v>2203940</v>
      </c>
      <c r="E222" s="217"/>
    </row>
    <row r="223" spans="1:5">
      <c r="A223">
        <v>37300</v>
      </c>
      <c r="B223" t="s">
        <v>433</v>
      </c>
      <c r="C223" s="219">
        <v>1.8508999999999999E-3</v>
      </c>
      <c r="D223" s="170">
        <v>5379834</v>
      </c>
      <c r="E223" s="217"/>
    </row>
    <row r="224" spans="1:5">
      <c r="A224">
        <v>37301</v>
      </c>
      <c r="B224" t="s">
        <v>434</v>
      </c>
      <c r="C224" s="219">
        <v>1.851E-4</v>
      </c>
      <c r="D224" s="170">
        <v>568684</v>
      </c>
      <c r="E224" s="217"/>
    </row>
    <row r="225" spans="1:5">
      <c r="A225">
        <v>37305</v>
      </c>
      <c r="B225" t="s">
        <v>235</v>
      </c>
      <c r="C225" s="219">
        <v>4.5080000000000001E-4</v>
      </c>
      <c r="D225" s="170">
        <v>1454678</v>
      </c>
      <c r="E225" s="217"/>
    </row>
    <row r="226" spans="1:5">
      <c r="A226">
        <v>37400</v>
      </c>
      <c r="B226" t="s">
        <v>435</v>
      </c>
      <c r="C226" s="219">
        <v>9.4900000000000002E-3</v>
      </c>
      <c r="D226" s="170">
        <v>26220350</v>
      </c>
      <c r="E226" s="217"/>
    </row>
    <row r="227" spans="1:5">
      <c r="A227">
        <v>37405</v>
      </c>
      <c r="B227" t="s">
        <v>236</v>
      </c>
      <c r="C227" s="219">
        <v>1.7394000000000001E-3</v>
      </c>
      <c r="D227" s="170">
        <v>5525959</v>
      </c>
      <c r="E227" s="217"/>
    </row>
    <row r="228" spans="1:5">
      <c r="A228">
        <v>37500</v>
      </c>
      <c r="B228" t="s">
        <v>436</v>
      </c>
      <c r="C228" s="219">
        <v>9.9789999999999992E-4</v>
      </c>
      <c r="D228" s="170">
        <v>3110320</v>
      </c>
      <c r="E228" s="217"/>
    </row>
    <row r="229" spans="1:5">
      <c r="A229">
        <v>37600</v>
      </c>
      <c r="B229" t="s">
        <v>437</v>
      </c>
      <c r="C229" s="219">
        <v>5.6696000000000003E-3</v>
      </c>
      <c r="D229" s="170">
        <v>16279423</v>
      </c>
      <c r="E229" s="217"/>
    </row>
    <row r="230" spans="1:5">
      <c r="A230">
        <v>37601</v>
      </c>
      <c r="B230" t="s">
        <v>438</v>
      </c>
      <c r="C230" s="219">
        <v>5.8430000000000005E-4</v>
      </c>
      <c r="D230" s="170">
        <v>1515952</v>
      </c>
      <c r="E230" s="217"/>
    </row>
    <row r="231" spans="1:5">
      <c r="A231">
        <v>37605</v>
      </c>
      <c r="B231" t="s">
        <v>237</v>
      </c>
      <c r="C231" s="219">
        <v>6.8130000000000003E-4</v>
      </c>
      <c r="D231" s="170">
        <v>2090287</v>
      </c>
      <c r="E231" s="217"/>
    </row>
    <row r="232" spans="1:5">
      <c r="A232">
        <v>37610</v>
      </c>
      <c r="B232" t="s">
        <v>439</v>
      </c>
      <c r="C232" s="219">
        <v>1.7417999999999999E-3</v>
      </c>
      <c r="D232" s="170">
        <v>4994749</v>
      </c>
      <c r="E232" s="217"/>
    </row>
    <row r="233" spans="1:5">
      <c r="A233">
        <v>37700</v>
      </c>
      <c r="B233" t="s">
        <v>440</v>
      </c>
      <c r="C233" s="219">
        <v>2.6285000000000002E-3</v>
      </c>
      <c r="D233" s="170">
        <v>7739277</v>
      </c>
      <c r="E233" s="217"/>
    </row>
    <row r="234" spans="1:5">
      <c r="A234">
        <v>37705</v>
      </c>
      <c r="B234" t="s">
        <v>238</v>
      </c>
      <c r="C234" s="219">
        <v>7.4470000000000005E-4</v>
      </c>
      <c r="D234" s="170">
        <v>2287669</v>
      </c>
      <c r="E234" s="217"/>
    </row>
    <row r="235" spans="1:5">
      <c r="A235">
        <v>37800</v>
      </c>
      <c r="B235" t="s">
        <v>441</v>
      </c>
      <c r="C235" s="219">
        <v>8.2822999999999994E-3</v>
      </c>
      <c r="D235" s="170">
        <v>23879499</v>
      </c>
      <c r="E235" s="217"/>
    </row>
    <row r="236" spans="1:5">
      <c r="A236">
        <v>37801</v>
      </c>
      <c r="B236" t="s">
        <v>442</v>
      </c>
      <c r="C236" s="219">
        <v>6.6699999999999995E-5</v>
      </c>
      <c r="D236" s="170">
        <v>186747</v>
      </c>
      <c r="E236" s="217"/>
    </row>
    <row r="237" spans="1:5">
      <c r="A237">
        <v>37805</v>
      </c>
      <c r="B237" t="s">
        <v>240</v>
      </c>
      <c r="C237" s="219">
        <v>6.3029999999999998E-4</v>
      </c>
      <c r="D237" s="170">
        <v>1979423</v>
      </c>
      <c r="E237" s="217"/>
    </row>
    <row r="238" spans="1:5">
      <c r="A238">
        <v>37900</v>
      </c>
      <c r="B238" t="s">
        <v>443</v>
      </c>
      <c r="C238" s="219">
        <v>4.0486999999999997E-3</v>
      </c>
      <c r="D238" s="170">
        <v>12384623</v>
      </c>
      <c r="E238" s="217"/>
    </row>
    <row r="239" spans="1:5">
      <c r="A239">
        <v>37901</v>
      </c>
      <c r="B239" t="s">
        <v>444</v>
      </c>
      <c r="C239" s="219">
        <v>1.5750000000000001E-4</v>
      </c>
      <c r="D239" s="170">
        <v>415975</v>
      </c>
      <c r="E239" s="217"/>
    </row>
    <row r="240" spans="1:5">
      <c r="A240">
        <v>37905</v>
      </c>
      <c r="B240" t="s">
        <v>241</v>
      </c>
      <c r="C240" s="219">
        <v>4.3859999999999998E-4</v>
      </c>
      <c r="D240" s="170">
        <v>1455379</v>
      </c>
      <c r="E240" s="217"/>
    </row>
    <row r="241" spans="1:5">
      <c r="A241">
        <v>38000</v>
      </c>
      <c r="B241" t="s">
        <v>445</v>
      </c>
      <c r="C241" s="219">
        <v>6.3937999999999998E-3</v>
      </c>
      <c r="D241" s="170">
        <v>20313768</v>
      </c>
      <c r="E241" s="217"/>
    </row>
    <row r="242" spans="1:5">
      <c r="A242">
        <v>38005</v>
      </c>
      <c r="B242" t="s">
        <v>242</v>
      </c>
      <c r="C242" s="219">
        <v>1.4444E-3</v>
      </c>
      <c r="D242" s="170">
        <v>4461180</v>
      </c>
      <c r="E242" s="217"/>
    </row>
    <row r="243" spans="1:5">
      <c r="A243">
        <v>38100</v>
      </c>
      <c r="B243" t="s">
        <v>446</v>
      </c>
      <c r="C243" s="219">
        <v>3.3357E-3</v>
      </c>
      <c r="D243" s="170">
        <v>10051193</v>
      </c>
      <c r="E243" s="217"/>
    </row>
    <row r="244" spans="1:5">
      <c r="A244">
        <v>38105</v>
      </c>
      <c r="B244" t="s">
        <v>224</v>
      </c>
      <c r="C244" s="219">
        <v>5.9750000000000005E-4</v>
      </c>
      <c r="D244" s="170">
        <v>1873311</v>
      </c>
      <c r="E244" s="217"/>
    </row>
    <row r="245" spans="1:5">
      <c r="A245">
        <v>38200</v>
      </c>
      <c r="B245" t="s">
        <v>447</v>
      </c>
      <c r="C245" s="219">
        <v>2.9068000000000002E-3</v>
      </c>
      <c r="D245" s="170">
        <v>8998100</v>
      </c>
      <c r="E245" s="217"/>
    </row>
    <row r="246" spans="1:5">
      <c r="A246">
        <v>38205</v>
      </c>
      <c r="B246" t="s">
        <v>243</v>
      </c>
      <c r="C246" s="219">
        <v>4.5419999999999998E-4</v>
      </c>
      <c r="D246" s="170">
        <v>1355267</v>
      </c>
      <c r="E246" s="217"/>
    </row>
    <row r="247" spans="1:5">
      <c r="A247">
        <v>38210</v>
      </c>
      <c r="B247" t="s">
        <v>448</v>
      </c>
      <c r="C247" s="219">
        <v>1.1351E-3</v>
      </c>
      <c r="D247" s="170">
        <v>3392787</v>
      </c>
      <c r="E247" s="217"/>
    </row>
    <row r="248" spans="1:5">
      <c r="A248">
        <v>38300</v>
      </c>
      <c r="B248" t="s">
        <v>449</v>
      </c>
      <c r="C248" s="219">
        <v>2.264E-3</v>
      </c>
      <c r="D248" s="170">
        <v>6581135</v>
      </c>
      <c r="E248" s="217"/>
    </row>
    <row r="249" spans="1:5">
      <c r="A249">
        <v>38400</v>
      </c>
      <c r="B249" t="s">
        <v>450</v>
      </c>
      <c r="C249" s="219">
        <v>2.9508E-3</v>
      </c>
      <c r="D249" s="170">
        <v>8780490</v>
      </c>
      <c r="E249" s="217"/>
    </row>
    <row r="250" spans="1:5">
      <c r="A250">
        <v>38402</v>
      </c>
      <c r="B250" t="s">
        <v>451</v>
      </c>
      <c r="C250" s="219">
        <v>2.0680000000000001E-4</v>
      </c>
      <c r="D250" s="170">
        <v>590552</v>
      </c>
      <c r="E250" s="217"/>
    </row>
    <row r="251" spans="1:5">
      <c r="A251">
        <v>38405</v>
      </c>
      <c r="B251" t="s">
        <v>248</v>
      </c>
      <c r="C251" s="219">
        <v>7.1449999999999997E-4</v>
      </c>
      <c r="D251" s="170">
        <v>2113392</v>
      </c>
      <c r="E251" s="217"/>
    </row>
    <row r="252" spans="1:5">
      <c r="A252">
        <v>38500</v>
      </c>
      <c r="B252" t="s">
        <v>452</v>
      </c>
      <c r="C252" s="219">
        <v>2.1951000000000002E-3</v>
      </c>
      <c r="D252" s="170">
        <v>6715287</v>
      </c>
      <c r="E252" s="217"/>
    </row>
    <row r="253" spans="1:5">
      <c r="A253">
        <v>38600</v>
      </c>
      <c r="B253" t="s">
        <v>453</v>
      </c>
      <c r="C253" s="219">
        <v>2.7948000000000001E-3</v>
      </c>
      <c r="D253" s="170">
        <v>8532923</v>
      </c>
      <c r="E253" s="217"/>
    </row>
    <row r="254" spans="1:5">
      <c r="A254">
        <v>38602</v>
      </c>
      <c r="B254" t="s">
        <v>454</v>
      </c>
      <c r="C254" s="219">
        <v>2.1440000000000001E-4</v>
      </c>
      <c r="D254" s="170">
        <v>617349</v>
      </c>
      <c r="E254" s="217"/>
    </row>
    <row r="255" spans="1:5">
      <c r="A255">
        <v>38605</v>
      </c>
      <c r="B255" t="s">
        <v>249</v>
      </c>
      <c r="C255" s="219">
        <v>7.1310000000000004E-4</v>
      </c>
      <c r="D255" s="170">
        <v>2171854</v>
      </c>
      <c r="E255" s="217"/>
    </row>
    <row r="256" spans="1:5">
      <c r="A256">
        <v>38610</v>
      </c>
      <c r="B256" t="s">
        <v>455</v>
      </c>
      <c r="C256" s="219">
        <v>7.3450000000000002E-4</v>
      </c>
      <c r="D256" s="170">
        <v>2087167</v>
      </c>
      <c r="E256" s="217"/>
    </row>
    <row r="257" spans="1:5">
      <c r="A257">
        <v>38620</v>
      </c>
      <c r="B257" t="s">
        <v>456</v>
      </c>
      <c r="C257" s="219">
        <v>5.1849999999999997E-4</v>
      </c>
      <c r="D257" s="170">
        <v>1641800</v>
      </c>
      <c r="E257" s="217"/>
    </row>
    <row r="258" spans="1:5">
      <c r="A258">
        <v>38700</v>
      </c>
      <c r="B258" t="s">
        <v>457</v>
      </c>
      <c r="C258" s="219">
        <v>9.2299999999999999E-4</v>
      </c>
      <c r="D258" s="170">
        <v>2610728</v>
      </c>
      <c r="E258" s="217"/>
    </row>
    <row r="259" spans="1:5">
      <c r="A259">
        <v>38701</v>
      </c>
      <c r="B259" t="s">
        <v>458</v>
      </c>
      <c r="C259" s="219">
        <v>7.2299999999999996E-5</v>
      </c>
      <c r="D259" s="170">
        <v>175944</v>
      </c>
      <c r="E259" s="217"/>
    </row>
    <row r="260" spans="1:5">
      <c r="A260">
        <v>38800</v>
      </c>
      <c r="B260" t="s">
        <v>459</v>
      </c>
      <c r="C260" s="219">
        <v>1.5731E-3</v>
      </c>
      <c r="D260" s="170">
        <v>4521127</v>
      </c>
      <c r="E260" s="217"/>
    </row>
    <row r="261" spans="1:5">
      <c r="A261">
        <v>38801</v>
      </c>
      <c r="B261" t="s">
        <v>460</v>
      </c>
      <c r="C261" s="219">
        <v>1.4689999999999999E-4</v>
      </c>
      <c r="D261" s="170">
        <v>376167</v>
      </c>
      <c r="E261" s="217"/>
    </row>
    <row r="262" spans="1:5">
      <c r="A262">
        <v>38900</v>
      </c>
      <c r="B262" t="s">
        <v>461</v>
      </c>
      <c r="C262" s="219">
        <v>3.2509999999999999E-4</v>
      </c>
      <c r="D262" s="170">
        <v>964703</v>
      </c>
      <c r="E262" s="217"/>
    </row>
    <row r="263" spans="1:5">
      <c r="A263">
        <v>39000</v>
      </c>
      <c r="B263" t="s">
        <v>462</v>
      </c>
      <c r="C263" s="219">
        <v>1.53309E-2</v>
      </c>
      <c r="D263" s="170">
        <v>43357805</v>
      </c>
      <c r="E263" s="217"/>
    </row>
    <row r="264" spans="1:5">
      <c r="A264">
        <v>39100</v>
      </c>
      <c r="B264" t="s">
        <v>463</v>
      </c>
      <c r="C264" s="219">
        <v>1.8116E-3</v>
      </c>
      <c r="D264" s="170">
        <v>5782244</v>
      </c>
      <c r="E264" s="217"/>
    </row>
    <row r="265" spans="1:5">
      <c r="A265">
        <v>39101</v>
      </c>
      <c r="B265" t="s">
        <v>464</v>
      </c>
      <c r="C265" s="219">
        <v>2.8269999999999999E-4</v>
      </c>
      <c r="D265" s="170">
        <v>852793</v>
      </c>
      <c r="E265" s="217"/>
    </row>
    <row r="266" spans="1:5">
      <c r="A266">
        <v>39105</v>
      </c>
      <c r="B266" t="s">
        <v>251</v>
      </c>
      <c r="C266" s="219">
        <v>6.6790000000000003E-4</v>
      </c>
      <c r="D266" s="170">
        <v>2168466</v>
      </c>
      <c r="E266" s="217"/>
    </row>
    <row r="267" spans="1:5">
      <c r="A267">
        <v>39200</v>
      </c>
      <c r="B267" t="s">
        <v>465</v>
      </c>
      <c r="C267" s="219">
        <v>6.7534800000000006E-2</v>
      </c>
      <c r="D267" s="170">
        <v>192899266</v>
      </c>
      <c r="E267" s="217"/>
    </row>
    <row r="268" spans="1:5">
      <c r="A268">
        <v>39201</v>
      </c>
      <c r="B268" t="s">
        <v>466</v>
      </c>
      <c r="C268" s="219">
        <v>2.9829999999999999E-4</v>
      </c>
      <c r="D268" s="170">
        <v>721503</v>
      </c>
      <c r="E268" s="217"/>
    </row>
    <row r="269" spans="1:5">
      <c r="A269">
        <v>39204</v>
      </c>
      <c r="B269" t="s">
        <v>467</v>
      </c>
      <c r="C269" s="219">
        <v>2.81E-4</v>
      </c>
      <c r="D269" s="170">
        <v>706563</v>
      </c>
      <c r="E269" s="217"/>
    </row>
    <row r="270" spans="1:5">
      <c r="A270">
        <v>39205</v>
      </c>
      <c r="B270" t="s">
        <v>252</v>
      </c>
      <c r="C270" s="219">
        <v>5.8827000000000003E-3</v>
      </c>
      <c r="D270" s="170">
        <v>17536174</v>
      </c>
      <c r="E270" s="217"/>
    </row>
    <row r="271" spans="1:5">
      <c r="A271">
        <v>39208</v>
      </c>
      <c r="B271" t="s">
        <v>468</v>
      </c>
      <c r="C271" s="219">
        <v>4.149E-4</v>
      </c>
      <c r="D271" s="170">
        <v>1045591</v>
      </c>
      <c r="E271" s="217"/>
    </row>
    <row r="272" spans="1:5">
      <c r="A272">
        <v>39220</v>
      </c>
      <c r="B272" t="s">
        <v>470</v>
      </c>
      <c r="C272" s="219">
        <v>0</v>
      </c>
      <c r="D272" s="170">
        <v>1320</v>
      </c>
      <c r="E272" s="217"/>
    </row>
    <row r="273" spans="1:7">
      <c r="A273">
        <v>39300</v>
      </c>
      <c r="B273" t="s">
        <v>471</v>
      </c>
      <c r="C273" s="219">
        <v>7.7320000000000004E-4</v>
      </c>
      <c r="D273" s="170">
        <v>2445475</v>
      </c>
      <c r="E273" s="217"/>
    </row>
    <row r="274" spans="1:7">
      <c r="A274">
        <v>39301</v>
      </c>
      <c r="B274" t="s">
        <v>472</v>
      </c>
      <c r="C274" s="219">
        <v>6.3E-5</v>
      </c>
      <c r="D274" s="170">
        <v>156980</v>
      </c>
      <c r="E274" s="217"/>
    </row>
    <row r="275" spans="1:7">
      <c r="A275">
        <v>39400</v>
      </c>
      <c r="B275" t="s">
        <v>473</v>
      </c>
      <c r="C275" s="219">
        <v>4.4309999999999998E-4</v>
      </c>
      <c r="D275" s="170">
        <v>1565034</v>
      </c>
      <c r="E275" s="217"/>
    </row>
    <row r="276" spans="1:7">
      <c r="A276">
        <v>39401</v>
      </c>
      <c r="B276" t="s">
        <v>474</v>
      </c>
      <c r="C276" s="219">
        <v>5.0880000000000001E-4</v>
      </c>
      <c r="D276" s="170">
        <v>1215821</v>
      </c>
      <c r="E276" s="217"/>
    </row>
    <row r="277" spans="1:7">
      <c r="A277">
        <v>39500</v>
      </c>
      <c r="B277" t="s">
        <v>475</v>
      </c>
      <c r="C277" s="219">
        <v>2.2116000000000002E-3</v>
      </c>
      <c r="D277" s="170">
        <v>6271713</v>
      </c>
      <c r="E277" s="217"/>
    </row>
    <row r="278" spans="1:7">
      <c r="A278">
        <v>39501</v>
      </c>
      <c r="B278" t="s">
        <v>476</v>
      </c>
      <c r="C278" s="219">
        <v>5.5699999999999999E-5</v>
      </c>
      <c r="D278" s="170">
        <v>141856</v>
      </c>
      <c r="E278" s="217"/>
    </row>
    <row r="279" spans="1:7">
      <c r="A279">
        <v>39600</v>
      </c>
      <c r="B279" t="s">
        <v>477</v>
      </c>
      <c r="C279" s="219">
        <v>5.8960999999999996E-3</v>
      </c>
      <c r="D279" s="170">
        <v>17712550</v>
      </c>
      <c r="E279" s="217"/>
    </row>
    <row r="280" spans="1:7">
      <c r="A280">
        <v>39605</v>
      </c>
      <c r="B280" t="s">
        <v>253</v>
      </c>
      <c r="C280" s="219">
        <v>8.6549999999999995E-4</v>
      </c>
      <c r="D280" s="170">
        <v>2630681</v>
      </c>
      <c r="E280" s="217"/>
    </row>
    <row r="281" spans="1:7">
      <c r="A281">
        <v>39700</v>
      </c>
      <c r="B281" t="s">
        <v>478</v>
      </c>
      <c r="C281" s="219">
        <v>3.3102000000000001E-3</v>
      </c>
      <c r="D281" s="170">
        <v>9780861</v>
      </c>
      <c r="E281" s="217"/>
    </row>
    <row r="282" spans="1:7">
      <c r="A282">
        <v>39703</v>
      </c>
      <c r="B282" t="s">
        <v>479</v>
      </c>
      <c r="C282" s="219">
        <v>2.4909999999999998E-4</v>
      </c>
      <c r="D282" s="170">
        <v>643207</v>
      </c>
      <c r="E282" s="217"/>
    </row>
    <row r="283" spans="1:7">
      <c r="A283">
        <v>39705</v>
      </c>
      <c r="B283" t="s">
        <v>255</v>
      </c>
      <c r="C283" s="219">
        <v>8.8150000000000001E-4</v>
      </c>
      <c r="D283" s="170">
        <v>2681202</v>
      </c>
      <c r="E283" s="217"/>
    </row>
    <row r="284" spans="1:7">
      <c r="A284">
        <v>39800</v>
      </c>
      <c r="B284" t="s">
        <v>480</v>
      </c>
      <c r="C284" s="219">
        <v>3.7074999999999999E-3</v>
      </c>
      <c r="D284" s="170">
        <v>11059491</v>
      </c>
      <c r="E284" s="217"/>
    </row>
    <row r="285" spans="1:7" ht="13.8" thickBot="1">
      <c r="A285">
        <v>39805</v>
      </c>
      <c r="B285" t="s">
        <v>256</v>
      </c>
      <c r="C285" s="219">
        <v>4.2759999999999999E-4</v>
      </c>
      <c r="D285" s="170">
        <v>1440247</v>
      </c>
      <c r="E285" s="217"/>
    </row>
    <row r="286" spans="1:7">
      <c r="A286">
        <v>39900</v>
      </c>
      <c r="B286" t="s">
        <v>481</v>
      </c>
      <c r="C286" s="219">
        <v>2.0157E-3</v>
      </c>
      <c r="D286" s="170">
        <v>6216938</v>
      </c>
      <c r="E286" s="222">
        <v>100812217</v>
      </c>
      <c r="F286" s="228" t="s">
        <v>567</v>
      </c>
      <c r="G286" s="223"/>
    </row>
    <row r="287" spans="1:7">
      <c r="A287">
        <v>51000</v>
      </c>
      <c r="B287" t="s">
        <v>482</v>
      </c>
      <c r="C287" s="219">
        <v>2.8191399999999998E-2</v>
      </c>
      <c r="D287" s="221">
        <v>100812217</v>
      </c>
      <c r="E287" s="224">
        <v>3209414</v>
      </c>
      <c r="F287" t="s">
        <v>568</v>
      </c>
      <c r="G287" s="225"/>
    </row>
    <row r="288" spans="1:7">
      <c r="A288" s="136">
        <v>51000.2</v>
      </c>
      <c r="B288" s="136" t="s">
        <v>483</v>
      </c>
      <c r="C288" s="219">
        <v>3.4700000000000003E-5</v>
      </c>
      <c r="D288" s="221">
        <v>248713</v>
      </c>
      <c r="E288" s="224">
        <v>248713</v>
      </c>
      <c r="F288" t="s">
        <v>569</v>
      </c>
      <c r="G288" s="225"/>
    </row>
    <row r="289" spans="1:7" ht="13.8" thickBot="1">
      <c r="A289" s="136">
        <v>51000.3</v>
      </c>
      <c r="B289" s="136" t="s">
        <v>484</v>
      </c>
      <c r="C289" s="219">
        <v>9.8339999999999994E-4</v>
      </c>
      <c r="D289" s="221">
        <v>3209414</v>
      </c>
      <c r="E289" s="226">
        <v>104270344</v>
      </c>
      <c r="F289" s="229" t="s">
        <v>121</v>
      </c>
      <c r="G289" s="227"/>
    </row>
    <row r="290" spans="1:7">
      <c r="A290" t="s">
        <v>570</v>
      </c>
      <c r="C290" s="219"/>
      <c r="D290" s="170"/>
      <c r="E290" s="217"/>
    </row>
    <row r="291" spans="1:7">
      <c r="A291">
        <v>36601</v>
      </c>
      <c r="B291" t="s">
        <v>524</v>
      </c>
      <c r="C291" s="219">
        <v>0</v>
      </c>
      <c r="D291" s="230">
        <v>879444</v>
      </c>
      <c r="E291" s="217"/>
    </row>
    <row r="292" spans="1:7">
      <c r="A292" s="2"/>
      <c r="C292" s="5"/>
      <c r="D292" s="4"/>
    </row>
    <row r="293" spans="1:7">
      <c r="C293" s="187"/>
      <c r="D293" s="4"/>
    </row>
    <row r="294" spans="1:7">
      <c r="C294" s="187"/>
      <c r="D294" s="188"/>
    </row>
    <row r="295" spans="1:7">
      <c r="C295" s="190">
        <f>SUM(C3:C294)</f>
        <v>1.0000000000000002</v>
      </c>
      <c r="D295" s="191">
        <f>SUM(D3:D293)</f>
        <v>3026055819</v>
      </c>
    </row>
    <row r="296" spans="1:7">
      <c r="C296" s="187"/>
      <c r="D296" s="188"/>
    </row>
    <row r="297" spans="1:7">
      <c r="C297" s="187"/>
      <c r="D297" s="188"/>
    </row>
    <row r="298" spans="1:7" ht="14.4">
      <c r="B298" s="192" t="s">
        <v>485</v>
      </c>
      <c r="C298" s="187"/>
      <c r="D298" s="188"/>
    </row>
    <row r="299" spans="1:7">
      <c r="A299" s="186"/>
      <c r="B299" s="157"/>
      <c r="C299" s="187"/>
      <c r="D299" s="188"/>
    </row>
    <row r="300" spans="1:7">
      <c r="A300" s="186"/>
      <c r="B300" s="157"/>
      <c r="C300" s="187"/>
      <c r="D300" s="188"/>
    </row>
    <row r="301" spans="1:7">
      <c r="A301" s="186"/>
      <c r="B301" s="157"/>
      <c r="C301" s="187"/>
      <c r="D301" s="188"/>
    </row>
    <row r="302" spans="1:7">
      <c r="A302" s="186"/>
      <c r="B302" s="157"/>
      <c r="C302" s="187"/>
      <c r="D302" s="188"/>
    </row>
    <row r="303" spans="1:7">
      <c r="A303" s="186"/>
      <c r="B303" s="157"/>
      <c r="C303" s="187"/>
      <c r="D303" s="188"/>
    </row>
    <row r="304" spans="1:7">
      <c r="A304" s="186"/>
      <c r="B304" s="157"/>
      <c r="C304" s="187"/>
      <c r="D304" s="188"/>
    </row>
    <row r="305" spans="1:4">
      <c r="A305" s="186"/>
      <c r="B305" s="157"/>
      <c r="C305" s="187"/>
      <c r="D305" s="188"/>
    </row>
    <row r="306" spans="1:4">
      <c r="A306" s="186"/>
      <c r="B306" s="157"/>
      <c r="C306" s="187"/>
      <c r="D306" s="188"/>
    </row>
    <row r="308" spans="1:4">
      <c r="C308" s="5"/>
      <c r="D308" s="4"/>
    </row>
  </sheetData>
  <sheetProtection algorithmName="SHA-512" hashValue="5/13As1ph1VZ0Q8hJzumhkufsDkHjjqPV/ZGhz/OjgzJlRJicixbIMIAja06AjjHcNn2FbpYwWkdzILM1B95fw==" saltValue="CvkR/LsUT5G1OncbgH2jy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6"/>
  <sheetViews>
    <sheetView workbookViewId="0">
      <pane xSplit="2" ySplit="3" topLeftCell="E287" activePane="bottomRight" state="frozen"/>
      <selection pane="topRight" activeCell="A4" sqref="A4"/>
      <selection pane="bottomLeft" activeCell="A4" sqref="A4"/>
      <selection pane="bottomRight" activeCell="E299" sqref="E299"/>
    </sheetView>
  </sheetViews>
  <sheetFormatPr defaultRowHeight="13.2"/>
  <cols>
    <col min="1" max="1" width="15.33203125" customWidth="1"/>
    <col min="2" max="2" width="55.5546875" bestFit="1" customWidth="1"/>
    <col min="3" max="3" width="22" bestFit="1" customWidth="1"/>
    <col min="4" max="4" width="18.33203125" customWidth="1"/>
    <col min="5" max="5" width="20" customWidth="1"/>
    <col min="6" max="6" width="14.44140625" customWidth="1"/>
    <col min="7" max="7" width="19.44140625" customWidth="1"/>
    <col min="8" max="8" width="18.33203125" customWidth="1"/>
    <col min="9" max="9" width="20" customWidth="1"/>
    <col min="10" max="10" width="14.44140625" customWidth="1"/>
    <col min="11" max="11" width="19.44140625" customWidth="1"/>
    <col min="12" max="12" width="15" bestFit="1" customWidth="1"/>
    <col min="13" max="13" width="22.44140625" customWidth="1"/>
    <col min="14" max="14" width="15" bestFit="1" customWidth="1"/>
  </cols>
  <sheetData>
    <row r="1" spans="1:14">
      <c r="A1" s="202">
        <v>1</v>
      </c>
      <c r="B1" s="202">
        <v>2</v>
      </c>
      <c r="C1" s="202">
        <v>3</v>
      </c>
      <c r="D1" s="202">
        <v>4</v>
      </c>
      <c r="E1" s="202">
        <v>5</v>
      </c>
      <c r="F1" s="202">
        <v>6</v>
      </c>
      <c r="G1" s="202">
        <v>7</v>
      </c>
      <c r="H1" s="202">
        <v>8</v>
      </c>
      <c r="I1" s="202">
        <v>9</v>
      </c>
      <c r="J1" s="202">
        <v>10</v>
      </c>
      <c r="K1" s="202">
        <v>11</v>
      </c>
      <c r="L1" s="202">
        <v>12</v>
      </c>
      <c r="M1" s="202">
        <v>13</v>
      </c>
      <c r="N1" s="202">
        <v>14</v>
      </c>
    </row>
    <row r="2" spans="1:14" ht="14.4">
      <c r="D2" s="124" t="s">
        <v>486</v>
      </c>
      <c r="E2" s="125"/>
      <c r="F2" s="125"/>
      <c r="G2" s="126"/>
      <c r="H2" s="125" t="s">
        <v>487</v>
      </c>
      <c r="I2" s="125"/>
      <c r="J2" s="125"/>
      <c r="K2" s="126"/>
      <c r="L2" s="124" t="s">
        <v>110</v>
      </c>
      <c r="M2" s="125"/>
      <c r="N2" s="126"/>
    </row>
    <row r="3" spans="1:14" ht="100.8">
      <c r="A3" s="46" t="s">
        <v>266</v>
      </c>
      <c r="B3" s="46" t="s">
        <v>488</v>
      </c>
      <c r="C3" s="46" t="s">
        <v>158</v>
      </c>
      <c r="D3" s="46" t="s">
        <v>164</v>
      </c>
      <c r="E3" s="46" t="s">
        <v>165</v>
      </c>
      <c r="F3" s="46" t="s">
        <v>166</v>
      </c>
      <c r="G3" s="46" t="s">
        <v>167</v>
      </c>
      <c r="H3" s="46" t="s">
        <v>164</v>
      </c>
      <c r="I3" s="46" t="s">
        <v>165</v>
      </c>
      <c r="J3" s="46" t="s">
        <v>166</v>
      </c>
      <c r="K3" s="46" t="s">
        <v>167</v>
      </c>
      <c r="L3" s="46" t="s">
        <v>168</v>
      </c>
      <c r="M3" s="46" t="s">
        <v>169</v>
      </c>
      <c r="N3" s="46" t="s">
        <v>170</v>
      </c>
    </row>
    <row r="4" spans="1:14" ht="13.8">
      <c r="A4" s="193">
        <v>10200</v>
      </c>
      <c r="B4" s="194" t="s">
        <v>270</v>
      </c>
      <c r="C4" s="239">
        <v>20246456</v>
      </c>
      <c r="D4" s="239">
        <v>1650565</v>
      </c>
      <c r="E4" s="239">
        <v>5638637</v>
      </c>
      <c r="F4" s="239">
        <v>711029</v>
      </c>
      <c r="G4" s="239">
        <v>352663</v>
      </c>
      <c r="H4" s="239">
        <v>149433</v>
      </c>
      <c r="K4" s="239">
        <v>284673</v>
      </c>
      <c r="L4" s="239">
        <v>5220889</v>
      </c>
      <c r="M4" s="239">
        <v>316678</v>
      </c>
      <c r="N4" s="239">
        <v>5537567</v>
      </c>
    </row>
    <row r="5" spans="1:14" ht="13.8">
      <c r="A5" s="193">
        <v>10400</v>
      </c>
      <c r="B5" s="194" t="s">
        <v>271</v>
      </c>
      <c r="C5" s="239">
        <v>55736106</v>
      </c>
      <c r="D5" s="239">
        <v>4543811</v>
      </c>
      <c r="E5" s="239">
        <v>15522501</v>
      </c>
      <c r="F5" s="239">
        <v>1957378</v>
      </c>
      <c r="G5" s="239">
        <v>506689</v>
      </c>
      <c r="H5" s="239">
        <v>411372</v>
      </c>
      <c r="K5" s="239">
        <v>508428</v>
      </c>
      <c r="L5" s="239">
        <v>14372492</v>
      </c>
      <c r="M5" s="239">
        <v>371227</v>
      </c>
      <c r="N5" s="239">
        <v>14743719</v>
      </c>
    </row>
    <row r="6" spans="1:14" ht="13.8">
      <c r="A6" s="193">
        <v>10500</v>
      </c>
      <c r="B6" s="194" t="s">
        <v>489</v>
      </c>
      <c r="C6" s="239">
        <v>12619024</v>
      </c>
      <c r="D6" s="239">
        <v>1028749</v>
      </c>
      <c r="E6" s="239">
        <v>3514397</v>
      </c>
      <c r="F6" s="239">
        <v>443163</v>
      </c>
      <c r="G6" s="239">
        <v>232460</v>
      </c>
      <c r="H6" s="239">
        <v>93137</v>
      </c>
      <c r="K6" s="239">
        <v>409590</v>
      </c>
      <c r="L6" s="239">
        <v>3254027</v>
      </c>
      <c r="M6" s="239">
        <v>19544</v>
      </c>
      <c r="N6" s="239">
        <v>3273571</v>
      </c>
    </row>
    <row r="7" spans="1:14" ht="13.8">
      <c r="A7" s="193">
        <v>10700</v>
      </c>
      <c r="B7" s="194" t="s">
        <v>273</v>
      </c>
      <c r="C7" s="239">
        <v>85542278</v>
      </c>
      <c r="D7" s="239">
        <v>6973719</v>
      </c>
      <c r="E7" s="239">
        <v>23823518</v>
      </c>
      <c r="F7" s="239">
        <v>3004132</v>
      </c>
      <c r="G7" s="239">
        <v>625208</v>
      </c>
      <c r="H7" s="239">
        <v>631362</v>
      </c>
      <c r="K7" s="239">
        <v>171590</v>
      </c>
      <c r="L7" s="239">
        <v>22058514</v>
      </c>
      <c r="M7" s="239">
        <v>526928</v>
      </c>
      <c r="N7" s="239">
        <v>22585442</v>
      </c>
    </row>
    <row r="8" spans="1:14" ht="13.8">
      <c r="A8" s="193">
        <v>10800</v>
      </c>
      <c r="B8" s="194" t="s">
        <v>274</v>
      </c>
      <c r="C8" s="239">
        <v>368765925</v>
      </c>
      <c r="D8" s="239">
        <v>30063146</v>
      </c>
      <c r="E8" s="239">
        <v>102701282</v>
      </c>
      <c r="F8" s="239">
        <v>12950572</v>
      </c>
      <c r="G8" s="239">
        <v>14761422</v>
      </c>
      <c r="H8" s="239">
        <v>2721753</v>
      </c>
      <c r="K8" s="239">
        <v>0</v>
      </c>
      <c r="L8" s="239">
        <v>95092491</v>
      </c>
      <c r="M8" s="239">
        <v>7940728</v>
      </c>
      <c r="N8" s="239">
        <v>103033219</v>
      </c>
    </row>
    <row r="9" spans="1:14" ht="13.8">
      <c r="A9" s="193">
        <v>10850</v>
      </c>
      <c r="B9" s="194" t="s">
        <v>275</v>
      </c>
      <c r="C9" s="239">
        <v>3042637</v>
      </c>
      <c r="D9" s="239">
        <v>248047</v>
      </c>
      <c r="E9" s="239">
        <v>847374</v>
      </c>
      <c r="F9" s="239">
        <v>106853</v>
      </c>
      <c r="G9" s="239">
        <v>351232</v>
      </c>
      <c r="H9" s="239">
        <v>22457</v>
      </c>
      <c r="K9" s="239">
        <v>3225</v>
      </c>
      <c r="L9" s="239">
        <v>784595</v>
      </c>
      <c r="M9" s="239">
        <v>201192</v>
      </c>
      <c r="N9" s="239">
        <v>985787</v>
      </c>
    </row>
    <row r="10" spans="1:14" ht="13.8">
      <c r="A10" s="236">
        <v>10900</v>
      </c>
      <c r="B10" s="237" t="s">
        <v>276</v>
      </c>
      <c r="C10" s="240">
        <v>29429384</v>
      </c>
      <c r="D10" s="240">
        <v>2399191</v>
      </c>
      <c r="E10" s="240">
        <v>8196081</v>
      </c>
      <c r="F10" s="240">
        <v>1033521</v>
      </c>
      <c r="G10" s="240">
        <v>1736327</v>
      </c>
      <c r="H10" s="240">
        <v>217210</v>
      </c>
      <c r="K10" s="240">
        <v>0</v>
      </c>
      <c r="L10" s="240">
        <v>7588861</v>
      </c>
      <c r="M10" s="240">
        <v>1226701</v>
      </c>
      <c r="N10" s="240">
        <v>8815562</v>
      </c>
    </row>
    <row r="11" spans="1:14" ht="13.8">
      <c r="A11" s="236">
        <v>10910</v>
      </c>
      <c r="B11" s="238" t="s">
        <v>490</v>
      </c>
      <c r="C11" s="240">
        <v>10184914</v>
      </c>
      <c r="D11" s="240">
        <v>830311</v>
      </c>
      <c r="E11" s="243">
        <v>2836498</v>
      </c>
      <c r="F11" s="240">
        <v>357681</v>
      </c>
      <c r="G11" s="240">
        <v>1071577</v>
      </c>
      <c r="H11" s="240">
        <v>75172</v>
      </c>
      <c r="K11" s="240">
        <v>0</v>
      </c>
      <c r="L11" s="240">
        <v>2626351</v>
      </c>
      <c r="M11" s="240">
        <v>628478</v>
      </c>
      <c r="N11" s="240">
        <v>3254829</v>
      </c>
    </row>
    <row r="12" spans="1:14" ht="13.8">
      <c r="A12" s="236">
        <v>10930</v>
      </c>
      <c r="B12" s="238" t="s">
        <v>491</v>
      </c>
      <c r="C12" s="240">
        <v>96782529</v>
      </c>
      <c r="D12" s="240">
        <v>7890066</v>
      </c>
      <c r="E12" s="240">
        <v>26953927</v>
      </c>
      <c r="F12" s="240">
        <v>3398874</v>
      </c>
      <c r="G12" s="240">
        <v>5496249</v>
      </c>
      <c r="H12" s="240">
        <v>714323</v>
      </c>
      <c r="K12" s="240">
        <v>0</v>
      </c>
      <c r="L12" s="240">
        <v>24957001</v>
      </c>
      <c r="M12" s="240">
        <v>4507994</v>
      </c>
      <c r="N12" s="240">
        <v>29464995</v>
      </c>
    </row>
    <row r="13" spans="1:14" ht="13.8">
      <c r="A13" s="236">
        <v>10940</v>
      </c>
      <c r="B13" s="237" t="s">
        <v>279</v>
      </c>
      <c r="C13" s="240">
        <v>13130854</v>
      </c>
      <c r="D13" s="240">
        <v>1070475</v>
      </c>
      <c r="E13" s="240">
        <v>3656942</v>
      </c>
      <c r="F13" s="240">
        <v>461138</v>
      </c>
      <c r="G13" s="240">
        <v>1025117</v>
      </c>
      <c r="H13" s="240">
        <v>96915</v>
      </c>
      <c r="K13" s="240">
        <v>0</v>
      </c>
      <c r="L13" s="240">
        <v>3386011</v>
      </c>
      <c r="M13" s="240">
        <v>623946</v>
      </c>
      <c r="N13" s="240">
        <v>4009957</v>
      </c>
    </row>
    <row r="14" spans="1:14" ht="13.8">
      <c r="A14" s="236">
        <v>10950</v>
      </c>
      <c r="B14" s="238" t="s">
        <v>492</v>
      </c>
      <c r="C14" s="240">
        <v>15166503</v>
      </c>
      <c r="D14" s="240">
        <v>1236429</v>
      </c>
      <c r="E14" s="240">
        <v>4223870</v>
      </c>
      <c r="F14" s="240">
        <v>532628</v>
      </c>
      <c r="G14" s="240">
        <v>1531863</v>
      </c>
      <c r="H14" s="240">
        <v>111939</v>
      </c>
      <c r="K14" s="240">
        <v>0</v>
      </c>
      <c r="L14" s="240">
        <v>3910938</v>
      </c>
      <c r="M14" s="240">
        <v>609485</v>
      </c>
      <c r="N14" s="240">
        <v>4520423</v>
      </c>
    </row>
    <row r="15" spans="1:14" ht="13.8">
      <c r="A15" s="236">
        <v>11050</v>
      </c>
      <c r="B15" s="238" t="s">
        <v>493</v>
      </c>
      <c r="C15" s="240">
        <v>4281365</v>
      </c>
      <c r="D15" s="240">
        <v>349033</v>
      </c>
      <c r="E15" s="240">
        <v>1192360</v>
      </c>
      <c r="F15" s="240">
        <v>150356</v>
      </c>
      <c r="G15" s="240">
        <v>225604</v>
      </c>
      <c r="H15" s="240">
        <v>31599</v>
      </c>
      <c r="K15" s="240">
        <v>56666</v>
      </c>
      <c r="L15" s="240">
        <v>1104022</v>
      </c>
      <c r="M15" s="240">
        <v>148685</v>
      </c>
      <c r="N15" s="240">
        <v>1252707</v>
      </c>
    </row>
    <row r="16" spans="1:14" ht="13.8">
      <c r="A16" s="193">
        <v>11300</v>
      </c>
      <c r="B16" s="194" t="s">
        <v>494</v>
      </c>
      <c r="C16" s="239">
        <v>79400319</v>
      </c>
      <c r="D16" s="239">
        <v>6473004</v>
      </c>
      <c r="E16" s="239">
        <v>22112983</v>
      </c>
      <c r="F16" s="239">
        <v>2788434</v>
      </c>
      <c r="G16" s="239">
        <v>2180698</v>
      </c>
      <c r="H16" s="239">
        <v>586030</v>
      </c>
      <c r="K16" s="239">
        <v>0</v>
      </c>
      <c r="L16" s="239">
        <v>20474707</v>
      </c>
      <c r="M16" s="239">
        <v>1693474</v>
      </c>
      <c r="N16" s="239">
        <v>22168181</v>
      </c>
    </row>
    <row r="17" spans="1:14" ht="13.8">
      <c r="A17" s="193">
        <v>11310</v>
      </c>
      <c r="B17" s="194" t="s">
        <v>495</v>
      </c>
      <c r="C17" s="239">
        <v>9659747</v>
      </c>
      <c r="D17" s="239">
        <v>787498</v>
      </c>
      <c r="E17" s="239">
        <v>2690239</v>
      </c>
      <c r="F17" s="239">
        <v>339238</v>
      </c>
      <c r="G17" s="239">
        <v>272823</v>
      </c>
      <c r="H17" s="239">
        <v>71296</v>
      </c>
      <c r="K17" s="239">
        <v>0</v>
      </c>
      <c r="L17" s="239">
        <v>2490928</v>
      </c>
      <c r="M17" s="239">
        <v>206908</v>
      </c>
      <c r="N17" s="239">
        <v>2697836</v>
      </c>
    </row>
    <row r="18" spans="1:14" ht="13.8">
      <c r="A18" s="193">
        <v>11600</v>
      </c>
      <c r="B18" s="194" t="s">
        <v>282</v>
      </c>
      <c r="C18" s="239">
        <v>41223145</v>
      </c>
      <c r="D18" s="239">
        <v>3360661</v>
      </c>
      <c r="E18" s="239">
        <v>11480643</v>
      </c>
      <c r="F18" s="239">
        <v>1447702</v>
      </c>
      <c r="G18" s="239">
        <v>44737</v>
      </c>
      <c r="H18" s="239">
        <v>304256</v>
      </c>
      <c r="K18" s="239">
        <v>59696</v>
      </c>
      <c r="L18" s="239">
        <v>10630081</v>
      </c>
      <c r="M18" s="239">
        <v>114073</v>
      </c>
      <c r="N18" s="239">
        <v>10744154</v>
      </c>
    </row>
    <row r="19" spans="1:14" ht="13.8">
      <c r="A19" s="193">
        <v>11900</v>
      </c>
      <c r="B19" s="194" t="s">
        <v>283</v>
      </c>
      <c r="C19" s="239">
        <v>5905216</v>
      </c>
      <c r="D19" s="239">
        <v>481415</v>
      </c>
      <c r="E19" s="239">
        <v>1644602</v>
      </c>
      <c r="F19" s="239">
        <v>207383</v>
      </c>
      <c r="G19" s="239">
        <v>435757</v>
      </c>
      <c r="H19" s="239">
        <v>43585</v>
      </c>
      <c r="K19" s="239">
        <v>707758</v>
      </c>
      <c r="L19" s="239">
        <v>1522759</v>
      </c>
      <c r="M19" s="239">
        <v>186144</v>
      </c>
      <c r="N19" s="239">
        <v>1708903</v>
      </c>
    </row>
    <row r="20" spans="1:14" ht="13.8">
      <c r="A20" s="193">
        <v>12100</v>
      </c>
      <c r="B20" s="194" t="s">
        <v>496</v>
      </c>
      <c r="C20" s="239">
        <v>5430065</v>
      </c>
      <c r="D20" s="239">
        <v>442679</v>
      </c>
      <c r="E20" s="239">
        <v>1512273</v>
      </c>
      <c r="F20" s="239">
        <v>190697</v>
      </c>
      <c r="G20" s="239">
        <v>293886</v>
      </c>
      <c r="H20" s="239">
        <v>40078</v>
      </c>
      <c r="K20" s="239">
        <v>0</v>
      </c>
      <c r="L20" s="239">
        <v>1400233</v>
      </c>
      <c r="M20" s="239">
        <v>167244</v>
      </c>
      <c r="N20" s="239">
        <v>1567477</v>
      </c>
    </row>
    <row r="21" spans="1:14" ht="13.8">
      <c r="A21" s="193">
        <v>12150</v>
      </c>
      <c r="B21" s="194" t="s">
        <v>497</v>
      </c>
      <c r="C21" s="239">
        <v>830265</v>
      </c>
      <c r="D21" s="239">
        <v>67686</v>
      </c>
      <c r="E21" s="239">
        <v>231229</v>
      </c>
      <c r="F21" s="239">
        <v>29158</v>
      </c>
      <c r="G21" s="239">
        <v>66102</v>
      </c>
      <c r="H21" s="239">
        <v>6128</v>
      </c>
      <c r="K21" s="239">
        <v>0</v>
      </c>
      <c r="L21" s="239">
        <v>214098</v>
      </c>
      <c r="M21" s="239">
        <v>5195</v>
      </c>
      <c r="N21" s="239">
        <v>219293</v>
      </c>
    </row>
    <row r="22" spans="1:14" ht="13.8">
      <c r="A22" s="236">
        <v>12160</v>
      </c>
      <c r="B22" s="237" t="s">
        <v>286</v>
      </c>
      <c r="C22" s="240">
        <v>33442331</v>
      </c>
      <c r="D22" s="240">
        <v>2726341</v>
      </c>
      <c r="E22" s="240">
        <v>9313687</v>
      </c>
      <c r="F22" s="240">
        <v>1174450</v>
      </c>
      <c r="G22" s="240">
        <v>894044</v>
      </c>
      <c r="H22" s="240">
        <v>246828</v>
      </c>
      <c r="K22" s="240">
        <v>0</v>
      </c>
      <c r="L22" s="240">
        <v>8623667</v>
      </c>
      <c r="M22" s="240">
        <v>874637</v>
      </c>
      <c r="N22" s="240">
        <v>9498304</v>
      </c>
    </row>
    <row r="23" spans="1:14" ht="13.8">
      <c r="A23" s="236">
        <v>12220</v>
      </c>
      <c r="B23" s="238" t="s">
        <v>498</v>
      </c>
      <c r="C23" s="240">
        <v>754030444</v>
      </c>
      <c r="D23" s="240">
        <v>61471318</v>
      </c>
      <c r="E23" s="240">
        <v>209997421</v>
      </c>
      <c r="F23" s="240">
        <v>26480552</v>
      </c>
      <c r="G23" s="240">
        <v>14408661</v>
      </c>
      <c r="H23" s="240">
        <v>5565277</v>
      </c>
      <c r="K23" s="240">
        <v>31513899</v>
      </c>
      <c r="L23" s="240">
        <v>194439422</v>
      </c>
      <c r="M23" s="240">
        <v>4851509</v>
      </c>
      <c r="N23" s="240">
        <v>199290931</v>
      </c>
    </row>
    <row r="24" spans="1:14" ht="13.8">
      <c r="A24" s="236">
        <v>12510</v>
      </c>
      <c r="B24" s="237" t="s">
        <v>288</v>
      </c>
      <c r="C24" s="240">
        <v>74028606</v>
      </c>
      <c r="D24" s="240">
        <v>6035083</v>
      </c>
      <c r="E24" s="240">
        <v>20616961</v>
      </c>
      <c r="F24" s="240">
        <v>2599787</v>
      </c>
      <c r="G24" s="240">
        <v>3976484</v>
      </c>
      <c r="H24" s="240">
        <v>546383</v>
      </c>
      <c r="K24" s="240">
        <v>3548157</v>
      </c>
      <c r="L24" s="240">
        <v>19089520</v>
      </c>
      <c r="M24" s="240">
        <v>2331444</v>
      </c>
      <c r="N24" s="240">
        <v>21420964</v>
      </c>
    </row>
    <row r="25" spans="1:14" ht="13.8">
      <c r="A25" s="236">
        <v>12600</v>
      </c>
      <c r="B25" s="238" t="s">
        <v>499</v>
      </c>
      <c r="C25" s="240">
        <v>32432009</v>
      </c>
      <c r="D25" s="240">
        <v>2643976</v>
      </c>
      <c r="E25" s="240">
        <v>9032312</v>
      </c>
      <c r="F25" s="240">
        <v>1138969</v>
      </c>
      <c r="G25" s="240">
        <v>947701</v>
      </c>
      <c r="H25" s="240">
        <v>239371</v>
      </c>
      <c r="K25" s="240">
        <v>0</v>
      </c>
      <c r="L25" s="240">
        <v>8363138</v>
      </c>
      <c r="M25" s="240">
        <v>679959</v>
      </c>
      <c r="N25" s="240">
        <v>9043097</v>
      </c>
    </row>
    <row r="26" spans="1:14" ht="13.8">
      <c r="A26" s="236">
        <v>12700</v>
      </c>
      <c r="B26" s="238" t="s">
        <v>500</v>
      </c>
      <c r="C26" s="240">
        <v>18894358</v>
      </c>
      <c r="D26" s="240">
        <v>1540337</v>
      </c>
      <c r="E26" s="240">
        <v>5262077</v>
      </c>
      <c r="F26" s="240">
        <v>663545</v>
      </c>
      <c r="G26" s="240">
        <v>988782</v>
      </c>
      <c r="H26" s="240">
        <v>139454</v>
      </c>
      <c r="K26" s="240">
        <v>0</v>
      </c>
      <c r="L26" s="240">
        <v>4872228</v>
      </c>
      <c r="M26" s="240">
        <v>483725</v>
      </c>
      <c r="N26" s="240">
        <v>5355953</v>
      </c>
    </row>
    <row r="27" spans="1:14" ht="13.8">
      <c r="A27" s="236">
        <v>13500</v>
      </c>
      <c r="B27" s="238" t="s">
        <v>501</v>
      </c>
      <c r="C27" s="240">
        <v>73466760</v>
      </c>
      <c r="D27" s="240">
        <v>5989279</v>
      </c>
      <c r="E27" s="240">
        <v>20460487</v>
      </c>
      <c r="F27" s="240">
        <v>2580055</v>
      </c>
      <c r="G27" s="240">
        <v>1015233</v>
      </c>
      <c r="H27" s="240">
        <v>542237</v>
      </c>
      <c r="K27" s="240">
        <v>0</v>
      </c>
      <c r="L27" s="240">
        <v>18944639</v>
      </c>
      <c r="M27" s="240">
        <v>1180401</v>
      </c>
      <c r="N27" s="240">
        <v>20125040</v>
      </c>
    </row>
    <row r="28" spans="1:14" ht="13.8">
      <c r="A28" s="193">
        <v>13700</v>
      </c>
      <c r="B28" s="194" t="s">
        <v>502</v>
      </c>
      <c r="C28" s="239">
        <v>8040897</v>
      </c>
      <c r="D28" s="239">
        <v>655523</v>
      </c>
      <c r="E28" s="239">
        <v>2239389</v>
      </c>
      <c r="F28" s="239">
        <v>282386</v>
      </c>
      <c r="G28" s="239">
        <v>421420</v>
      </c>
      <c r="H28" s="239">
        <v>59347</v>
      </c>
      <c r="K28" s="239">
        <v>77791</v>
      </c>
      <c r="L28" s="239">
        <v>2073481</v>
      </c>
      <c r="M28" s="239">
        <v>286162</v>
      </c>
      <c r="N28" s="239">
        <v>2359643</v>
      </c>
    </row>
    <row r="29" spans="1:14" ht="13.8">
      <c r="A29" s="193">
        <v>14300</v>
      </c>
      <c r="B29" s="194" t="s">
        <v>503</v>
      </c>
      <c r="C29" s="239">
        <v>25609833</v>
      </c>
      <c r="D29" s="239">
        <v>2087807</v>
      </c>
      <c r="E29" s="239">
        <v>7132337</v>
      </c>
      <c r="F29" s="239">
        <v>899383</v>
      </c>
      <c r="G29" s="239">
        <v>305708</v>
      </c>
      <c r="H29" s="239">
        <v>189019</v>
      </c>
      <c r="K29" s="239">
        <v>93955</v>
      </c>
      <c r="L29" s="239">
        <v>6603926</v>
      </c>
      <c r="M29" s="239">
        <v>317866</v>
      </c>
      <c r="N29" s="239">
        <v>6921792</v>
      </c>
    </row>
    <row r="30" spans="1:14" ht="13.8">
      <c r="A30" s="193">
        <v>14300.2</v>
      </c>
      <c r="B30" s="194" t="s">
        <v>504</v>
      </c>
      <c r="C30" s="239">
        <v>3426093</v>
      </c>
      <c r="D30" s="239">
        <v>279308</v>
      </c>
      <c r="E30" s="239">
        <v>954167</v>
      </c>
      <c r="F30" s="239">
        <v>120320</v>
      </c>
      <c r="G30" s="239">
        <v>15880</v>
      </c>
      <c r="H30" s="239">
        <v>25287</v>
      </c>
      <c r="K30" s="239">
        <v>84418</v>
      </c>
      <c r="L30" s="239">
        <v>883476</v>
      </c>
      <c r="M30" s="239">
        <v>-44967</v>
      </c>
      <c r="N30" s="239">
        <v>838509</v>
      </c>
    </row>
    <row r="31" spans="1:14" ht="13.8">
      <c r="A31" s="193">
        <v>18400</v>
      </c>
      <c r="B31" s="194" t="s">
        <v>505</v>
      </c>
      <c r="C31" s="239">
        <v>88143107</v>
      </c>
      <c r="D31" s="239">
        <v>7185748</v>
      </c>
      <c r="E31" s="239">
        <v>24547849</v>
      </c>
      <c r="F31" s="239">
        <v>3095469</v>
      </c>
      <c r="G31" s="239">
        <v>609414</v>
      </c>
      <c r="H31" s="239">
        <v>650558</v>
      </c>
      <c r="K31" s="239">
        <v>87015</v>
      </c>
      <c r="L31" s="239">
        <v>22729181</v>
      </c>
      <c r="M31" s="239">
        <v>610981</v>
      </c>
      <c r="N31" s="239">
        <v>23340162</v>
      </c>
    </row>
    <row r="32" spans="1:14" ht="13.8">
      <c r="A32" s="193">
        <v>18600</v>
      </c>
      <c r="B32" s="194" t="s">
        <v>506</v>
      </c>
      <c r="C32" s="239">
        <v>221737</v>
      </c>
      <c r="D32" s="239">
        <v>18077</v>
      </c>
      <c r="E32" s="239">
        <v>61754</v>
      </c>
      <c r="F32" s="239">
        <v>7787</v>
      </c>
      <c r="G32" s="239">
        <v>10892</v>
      </c>
      <c r="H32" s="239">
        <v>1637</v>
      </c>
      <c r="K32" s="239">
        <v>15080</v>
      </c>
      <c r="L32" s="239">
        <v>57179</v>
      </c>
      <c r="M32" s="239">
        <v>2014</v>
      </c>
      <c r="N32" s="239">
        <v>59193</v>
      </c>
    </row>
    <row r="33" spans="1:14" ht="13.8">
      <c r="A33" s="193">
        <v>18640</v>
      </c>
      <c r="B33" s="194" t="s">
        <v>297</v>
      </c>
      <c r="C33" s="239">
        <v>36678</v>
      </c>
      <c r="D33" s="239">
        <v>2990</v>
      </c>
      <c r="E33" s="239">
        <v>10215</v>
      </c>
      <c r="F33" s="239">
        <v>1288</v>
      </c>
      <c r="G33" s="239">
        <v>2048</v>
      </c>
      <c r="H33" s="239">
        <v>271</v>
      </c>
      <c r="K33" s="239">
        <v>295</v>
      </c>
      <c r="L33" s="239">
        <v>9458</v>
      </c>
      <c r="M33" s="239">
        <v>1680</v>
      </c>
      <c r="N33" s="239">
        <v>11138</v>
      </c>
    </row>
    <row r="34" spans="1:14" ht="13.8">
      <c r="A34" s="236">
        <v>18740</v>
      </c>
      <c r="B34" s="238" t="s">
        <v>507</v>
      </c>
      <c r="C34" s="240">
        <v>103366</v>
      </c>
      <c r="D34" s="240">
        <v>8427</v>
      </c>
      <c r="E34" s="240">
        <v>28788</v>
      </c>
      <c r="F34" s="240">
        <v>3630</v>
      </c>
      <c r="G34" s="240">
        <v>4134</v>
      </c>
      <c r="H34" s="240">
        <v>763</v>
      </c>
      <c r="K34" s="240">
        <v>0</v>
      </c>
      <c r="L34" s="240">
        <v>26655</v>
      </c>
      <c r="M34" s="240">
        <v>1884</v>
      </c>
      <c r="N34" s="240">
        <v>28539</v>
      </c>
    </row>
    <row r="35" spans="1:14" ht="13.8">
      <c r="A35" s="236">
        <v>18780</v>
      </c>
      <c r="B35" s="238" t="s">
        <v>571</v>
      </c>
      <c r="C35" s="240">
        <v>465148</v>
      </c>
      <c r="D35" s="240">
        <v>37921</v>
      </c>
      <c r="E35" s="240">
        <v>129544</v>
      </c>
      <c r="F35" s="240">
        <v>16335</v>
      </c>
      <c r="G35" s="240">
        <v>6126</v>
      </c>
      <c r="H35" s="240">
        <v>3433</v>
      </c>
      <c r="K35" s="240">
        <v>1332</v>
      </c>
      <c r="L35" s="240">
        <v>119946</v>
      </c>
      <c r="M35" s="240">
        <v>814</v>
      </c>
      <c r="N35" s="240">
        <v>120760</v>
      </c>
    </row>
    <row r="36" spans="1:14" ht="13.8">
      <c r="A36" s="236">
        <v>19005</v>
      </c>
      <c r="B36" s="238" t="s">
        <v>508</v>
      </c>
      <c r="C36" s="240">
        <v>15103149</v>
      </c>
      <c r="D36" s="240">
        <v>1231264</v>
      </c>
      <c r="E36" s="240">
        <v>4206226</v>
      </c>
      <c r="F36" s="240">
        <v>530403</v>
      </c>
      <c r="G36" s="240">
        <v>1581047</v>
      </c>
      <c r="H36" s="240">
        <v>111472</v>
      </c>
      <c r="K36" s="240">
        <v>0</v>
      </c>
      <c r="L36" s="240">
        <v>3894601</v>
      </c>
      <c r="M36" s="240">
        <v>729866</v>
      </c>
      <c r="N36" s="240">
        <v>4624467</v>
      </c>
    </row>
    <row r="37" spans="1:14" ht="13.8">
      <c r="A37" s="236">
        <v>19100</v>
      </c>
      <c r="B37" s="237" t="s">
        <v>301</v>
      </c>
      <c r="C37" s="240">
        <v>326802544</v>
      </c>
      <c r="D37" s="240">
        <v>26642138</v>
      </c>
      <c r="E37" s="240">
        <v>91014484</v>
      </c>
      <c r="F37" s="240">
        <v>11476873</v>
      </c>
      <c r="G37" s="240">
        <v>14329830</v>
      </c>
      <c r="H37" s="240">
        <v>2412033</v>
      </c>
      <c r="K37" s="240">
        <v>340575719</v>
      </c>
      <c r="L37" s="240">
        <v>84271528</v>
      </c>
      <c r="M37" s="240">
        <v>-101301559</v>
      </c>
      <c r="N37" s="240">
        <v>-17030031</v>
      </c>
    </row>
    <row r="38" spans="1:14" ht="13.8">
      <c r="A38" s="236">
        <v>19120</v>
      </c>
      <c r="B38" s="237" t="s">
        <v>572</v>
      </c>
      <c r="C38" s="240">
        <v>844697689</v>
      </c>
      <c r="D38" s="240">
        <v>68862843</v>
      </c>
      <c r="E38" s="240">
        <v>235248242</v>
      </c>
      <c r="F38" s="240">
        <v>29664666</v>
      </c>
      <c r="G38" s="240">
        <v>310381083</v>
      </c>
      <c r="H38" s="240">
        <v>6234465</v>
      </c>
      <c r="K38" s="240">
        <v>0</v>
      </c>
      <c r="L38" s="240">
        <v>217819495</v>
      </c>
      <c r="M38" s="240">
        <v>103460361</v>
      </c>
      <c r="N38" s="240">
        <v>321279856</v>
      </c>
    </row>
    <row r="39" spans="1:14" ht="13.8">
      <c r="A39" s="236">
        <v>20100</v>
      </c>
      <c r="B39" s="237" t="s">
        <v>182</v>
      </c>
      <c r="C39" s="240">
        <v>123042569</v>
      </c>
      <c r="D39" s="240">
        <v>10030880</v>
      </c>
      <c r="E39" s="240">
        <v>34267346</v>
      </c>
      <c r="F39" s="240">
        <v>4321092</v>
      </c>
      <c r="G39" s="240">
        <v>4567353</v>
      </c>
      <c r="H39" s="240">
        <v>908141</v>
      </c>
      <c r="K39" s="240">
        <v>510595</v>
      </c>
      <c r="L39" s="240">
        <v>31728594</v>
      </c>
      <c r="M39" s="240">
        <v>1294222</v>
      </c>
      <c r="N39" s="240">
        <v>33022816</v>
      </c>
    </row>
    <row r="40" spans="1:14" ht="13.8">
      <c r="A40" s="193">
        <v>20200</v>
      </c>
      <c r="B40" s="194" t="s">
        <v>509</v>
      </c>
      <c r="C40" s="239">
        <v>16468585</v>
      </c>
      <c r="D40" s="239">
        <v>1342579</v>
      </c>
      <c r="E40" s="239">
        <v>4586500</v>
      </c>
      <c r="F40" s="239">
        <v>578355</v>
      </c>
      <c r="G40" s="239">
        <v>513834</v>
      </c>
      <c r="H40" s="239">
        <v>121550</v>
      </c>
      <c r="K40" s="239">
        <v>0</v>
      </c>
      <c r="L40" s="239">
        <v>4246701</v>
      </c>
      <c r="M40" s="239">
        <v>327916</v>
      </c>
      <c r="N40" s="239">
        <v>4574617</v>
      </c>
    </row>
    <row r="41" spans="1:14" ht="13.8">
      <c r="A41" s="193">
        <v>20300</v>
      </c>
      <c r="B41" s="194" t="s">
        <v>183</v>
      </c>
      <c r="C41" s="239">
        <v>220513650</v>
      </c>
      <c r="D41" s="239">
        <v>17977079</v>
      </c>
      <c r="E41" s="239">
        <v>61413035</v>
      </c>
      <c r="F41" s="239">
        <v>7744148</v>
      </c>
      <c r="G41" s="239">
        <v>5109839</v>
      </c>
      <c r="H41" s="239">
        <v>1627546</v>
      </c>
      <c r="K41" s="239">
        <v>4379857</v>
      </c>
      <c r="L41" s="239">
        <v>56863151</v>
      </c>
      <c r="M41" s="239">
        <v>-1562870</v>
      </c>
      <c r="N41" s="239">
        <v>55300281</v>
      </c>
    </row>
    <row r="42" spans="1:14" ht="13.8">
      <c r="A42" s="193">
        <v>20400</v>
      </c>
      <c r="B42" s="194" t="s">
        <v>184</v>
      </c>
      <c r="C42" s="239">
        <v>18284164</v>
      </c>
      <c r="D42" s="239">
        <v>1490592</v>
      </c>
      <c r="E42" s="239">
        <v>5092138</v>
      </c>
      <c r="F42" s="239">
        <v>642116</v>
      </c>
      <c r="G42" s="239">
        <v>718944</v>
      </c>
      <c r="H42" s="239">
        <v>134950</v>
      </c>
      <c r="K42" s="239">
        <v>0</v>
      </c>
      <c r="L42" s="239">
        <v>4714879</v>
      </c>
      <c r="M42" s="239">
        <v>342026</v>
      </c>
      <c r="N42" s="239">
        <v>5056905</v>
      </c>
    </row>
    <row r="43" spans="1:14" ht="13.8">
      <c r="A43" s="193">
        <v>20600</v>
      </c>
      <c r="B43" s="194" t="s">
        <v>4</v>
      </c>
      <c r="C43" s="239">
        <v>36558324</v>
      </c>
      <c r="D43" s="239">
        <v>2980368</v>
      </c>
      <c r="E43" s="239">
        <v>10181491</v>
      </c>
      <c r="F43" s="239">
        <v>1283880</v>
      </c>
      <c r="G43" s="239">
        <v>2580340</v>
      </c>
      <c r="H43" s="239">
        <v>269826</v>
      </c>
      <c r="K43" s="239">
        <v>83145</v>
      </c>
      <c r="L43" s="239">
        <v>9427178</v>
      </c>
      <c r="M43" s="239">
        <v>596449</v>
      </c>
      <c r="N43" s="239">
        <v>10023627</v>
      </c>
    </row>
    <row r="44" spans="1:14" ht="13.8">
      <c r="A44" s="193">
        <v>20700</v>
      </c>
      <c r="B44" s="194" t="s">
        <v>510</v>
      </c>
      <c r="C44" s="239">
        <v>67806622</v>
      </c>
      <c r="D44" s="239">
        <v>5527844</v>
      </c>
      <c r="E44" s="239">
        <v>18884139</v>
      </c>
      <c r="F44" s="239">
        <v>2381279</v>
      </c>
      <c r="G44" s="239">
        <v>761520</v>
      </c>
      <c r="H44" s="239">
        <v>500461</v>
      </c>
      <c r="K44" s="239">
        <v>670914</v>
      </c>
      <c r="L44" s="239">
        <v>17485077</v>
      </c>
      <c r="M44" s="239">
        <v>259824</v>
      </c>
      <c r="N44" s="239">
        <v>17744901</v>
      </c>
    </row>
    <row r="45" spans="1:14" ht="13.8">
      <c r="A45" s="193">
        <v>20800</v>
      </c>
      <c r="B45" s="194" t="s">
        <v>511</v>
      </c>
      <c r="C45" s="239">
        <v>52538420</v>
      </c>
      <c r="D45" s="239">
        <v>4283124</v>
      </c>
      <c r="E45" s="239">
        <v>14631946</v>
      </c>
      <c r="F45" s="239">
        <v>1845080</v>
      </c>
      <c r="G45" s="239">
        <v>178075</v>
      </c>
      <c r="H45" s="239">
        <v>387771</v>
      </c>
      <c r="K45" s="239">
        <v>466627</v>
      </c>
      <c r="L45" s="239">
        <v>13547915</v>
      </c>
      <c r="M45" s="239">
        <v>-371</v>
      </c>
      <c r="N45" s="239">
        <v>13547544</v>
      </c>
    </row>
    <row r="46" spans="1:14" ht="13.8">
      <c r="A46" s="236">
        <v>20900</v>
      </c>
      <c r="B46" s="237" t="s">
        <v>195</v>
      </c>
      <c r="C46" s="240">
        <v>84491943</v>
      </c>
      <c r="D46" s="240">
        <v>6888092</v>
      </c>
      <c r="E46" s="240">
        <v>23531000</v>
      </c>
      <c r="F46" s="240">
        <v>2967245</v>
      </c>
      <c r="G46" s="240">
        <v>381043</v>
      </c>
      <c r="H46" s="240">
        <v>623610</v>
      </c>
      <c r="K46" s="240">
        <v>1265303</v>
      </c>
      <c r="L46" s="240">
        <v>21787667</v>
      </c>
      <c r="M46" s="240">
        <v>82070</v>
      </c>
      <c r="N46" s="240">
        <v>21869737</v>
      </c>
    </row>
    <row r="47" spans="1:14" ht="13.8">
      <c r="A47" s="236">
        <v>21200</v>
      </c>
      <c r="B47" s="238" t="s">
        <v>512</v>
      </c>
      <c r="C47" s="240">
        <v>33792442</v>
      </c>
      <c r="D47" s="240">
        <v>2754883</v>
      </c>
      <c r="E47" s="240">
        <v>9411193</v>
      </c>
      <c r="F47" s="240">
        <v>1186746</v>
      </c>
      <c r="G47" s="240">
        <v>1106824</v>
      </c>
      <c r="H47" s="240">
        <v>249412</v>
      </c>
      <c r="K47" s="240">
        <v>391921</v>
      </c>
      <c r="L47" s="240">
        <v>8713949</v>
      </c>
      <c r="M47" s="240">
        <v>464867</v>
      </c>
      <c r="N47" s="240">
        <v>9178816</v>
      </c>
    </row>
    <row r="48" spans="1:14" ht="13.8">
      <c r="A48" s="236">
        <v>21300</v>
      </c>
      <c r="B48" s="238" t="s">
        <v>513</v>
      </c>
      <c r="C48" s="240">
        <v>366706935</v>
      </c>
      <c r="D48" s="240">
        <v>29895290</v>
      </c>
      <c r="E48" s="240">
        <v>102127854</v>
      </c>
      <c r="F48" s="240">
        <v>12878263</v>
      </c>
      <c r="G48" s="240">
        <v>8503593</v>
      </c>
      <c r="H48" s="240">
        <v>2706556</v>
      </c>
      <c r="K48" s="240">
        <v>5681009</v>
      </c>
      <c r="L48" s="240">
        <v>94561546</v>
      </c>
      <c r="M48" s="240">
        <v>-734252</v>
      </c>
      <c r="N48" s="240">
        <v>93827294</v>
      </c>
    </row>
    <row r="49" spans="1:14" ht="13.8">
      <c r="A49" s="236">
        <v>21520</v>
      </c>
      <c r="B49" s="238" t="s">
        <v>302</v>
      </c>
      <c r="C49" s="240">
        <v>551510865</v>
      </c>
      <c r="D49" s="240">
        <v>44961182</v>
      </c>
      <c r="E49" s="240">
        <v>153595734</v>
      </c>
      <c r="F49" s="240">
        <v>19368332</v>
      </c>
      <c r="G49" s="240">
        <v>17442686</v>
      </c>
      <c r="H49" s="240">
        <v>4070539</v>
      </c>
      <c r="K49" s="240">
        <v>6469099</v>
      </c>
      <c r="L49" s="240">
        <v>142216345</v>
      </c>
      <c r="M49" s="240">
        <v>4234707</v>
      </c>
      <c r="N49" s="240">
        <v>146451052</v>
      </c>
    </row>
    <row r="50" spans="1:14" ht="13.8">
      <c r="A50" s="236">
        <v>21525</v>
      </c>
      <c r="B50" s="237" t="s">
        <v>541</v>
      </c>
      <c r="C50" s="240">
        <v>19414524</v>
      </c>
      <c r="D50" s="240">
        <v>1582743</v>
      </c>
      <c r="E50" s="240">
        <v>5406944</v>
      </c>
      <c r="F50" s="240">
        <v>681812</v>
      </c>
      <c r="G50" s="240">
        <v>1115861</v>
      </c>
      <c r="H50" s="240">
        <v>143293</v>
      </c>
      <c r="K50" s="240">
        <v>0</v>
      </c>
      <c r="L50" s="240">
        <v>5006361</v>
      </c>
      <c r="M50" s="240">
        <v>852978</v>
      </c>
      <c r="N50" s="240">
        <v>5859339</v>
      </c>
    </row>
    <row r="51" spans="1:14" ht="13.8">
      <c r="A51" s="236">
        <v>21525.200000000001</v>
      </c>
      <c r="B51" s="237" t="s">
        <v>542</v>
      </c>
      <c r="C51" s="240">
        <v>2862579</v>
      </c>
      <c r="D51" s="240">
        <v>233368</v>
      </c>
      <c r="E51" s="240">
        <v>797228</v>
      </c>
      <c r="F51" s="240">
        <v>100530</v>
      </c>
      <c r="G51" s="240">
        <v>385789</v>
      </c>
      <c r="H51" s="240">
        <v>21128</v>
      </c>
      <c r="K51" s="240">
        <v>0</v>
      </c>
      <c r="L51" s="240">
        <v>738164</v>
      </c>
      <c r="M51" s="240">
        <v>183553</v>
      </c>
      <c r="N51" s="240">
        <v>921717</v>
      </c>
    </row>
    <row r="52" spans="1:14" ht="13.8">
      <c r="A52" s="193">
        <v>21550</v>
      </c>
      <c r="B52" s="194" t="s">
        <v>191</v>
      </c>
      <c r="C52" s="239">
        <v>666902661</v>
      </c>
      <c r="D52" s="239">
        <v>54368343</v>
      </c>
      <c r="E52" s="239">
        <v>185732340</v>
      </c>
      <c r="F52" s="239">
        <v>23420740</v>
      </c>
      <c r="G52" s="239">
        <v>4215955</v>
      </c>
      <c r="H52" s="239">
        <v>4922212</v>
      </c>
      <c r="K52" s="239">
        <v>0</v>
      </c>
      <c r="L52" s="239">
        <v>171972059</v>
      </c>
      <c r="M52" s="239">
        <v>5134071</v>
      </c>
      <c r="N52" s="239">
        <v>177106130</v>
      </c>
    </row>
    <row r="53" spans="1:14" ht="13.8">
      <c r="A53" s="193">
        <v>21570</v>
      </c>
      <c r="B53" s="194" t="s">
        <v>305</v>
      </c>
      <c r="C53" s="239">
        <v>2989287</v>
      </c>
      <c r="D53" s="239">
        <v>243698</v>
      </c>
      <c r="E53" s="239">
        <v>832516</v>
      </c>
      <c r="F53" s="239">
        <v>104980</v>
      </c>
      <c r="G53" s="239">
        <v>112716</v>
      </c>
      <c r="H53" s="239">
        <v>22063</v>
      </c>
      <c r="K53" s="239">
        <v>0</v>
      </c>
      <c r="L53" s="239">
        <v>770838</v>
      </c>
      <c r="M53" s="239">
        <v>75622</v>
      </c>
      <c r="N53" s="239">
        <v>846460</v>
      </c>
    </row>
    <row r="54" spans="1:14" ht="13.8">
      <c r="A54" s="193">
        <v>21800</v>
      </c>
      <c r="B54" s="194" t="s">
        <v>197</v>
      </c>
      <c r="C54" s="239">
        <v>59533984</v>
      </c>
      <c r="D54" s="239">
        <v>4853428</v>
      </c>
      <c r="E54" s="239">
        <v>16580210</v>
      </c>
      <c r="F54" s="239">
        <v>2090755</v>
      </c>
      <c r="G54" s="239">
        <v>1614992</v>
      </c>
      <c r="H54" s="239">
        <v>439403</v>
      </c>
      <c r="K54" s="239">
        <v>116403</v>
      </c>
      <c r="L54" s="239">
        <v>15351838</v>
      </c>
      <c r="M54" s="239">
        <v>878817</v>
      </c>
      <c r="N54" s="239">
        <v>16230655</v>
      </c>
    </row>
    <row r="55" spans="1:14" ht="13.8">
      <c r="A55" s="193">
        <v>21900</v>
      </c>
      <c r="B55" s="194" t="s">
        <v>198</v>
      </c>
      <c r="C55" s="239">
        <v>29301010</v>
      </c>
      <c r="D55" s="239">
        <v>2388725</v>
      </c>
      <c r="E55" s="239">
        <v>8160329</v>
      </c>
      <c r="F55" s="239">
        <v>1029013</v>
      </c>
      <c r="G55" s="239">
        <v>927341</v>
      </c>
      <c r="H55" s="239">
        <v>216262</v>
      </c>
      <c r="K55" s="239">
        <v>398071</v>
      </c>
      <c r="L55" s="239">
        <v>7555758</v>
      </c>
      <c r="M55" s="239">
        <v>-48577</v>
      </c>
      <c r="N55" s="239">
        <v>7507181</v>
      </c>
    </row>
    <row r="56" spans="1:14" ht="13.8">
      <c r="A56" s="193">
        <v>22000</v>
      </c>
      <c r="B56" s="194" t="s">
        <v>306</v>
      </c>
      <c r="C56" s="239">
        <v>64505569</v>
      </c>
      <c r="D56" s="239">
        <v>5258730</v>
      </c>
      <c r="E56" s="239">
        <v>17964796</v>
      </c>
      <c r="F56" s="239">
        <v>2265350</v>
      </c>
      <c r="G56" s="239">
        <v>4325707</v>
      </c>
      <c r="H56" s="239">
        <v>476097</v>
      </c>
      <c r="K56" s="239">
        <v>0</v>
      </c>
      <c r="L56" s="239">
        <v>16633845</v>
      </c>
      <c r="M56" s="239">
        <v>2641358</v>
      </c>
      <c r="N56" s="239">
        <v>19275203</v>
      </c>
    </row>
    <row r="57" spans="1:14" ht="13.8">
      <c r="A57" s="193">
        <v>23000</v>
      </c>
      <c r="B57" s="194" t="s">
        <v>193</v>
      </c>
      <c r="C57" s="239">
        <v>18677623</v>
      </c>
      <c r="D57" s="239">
        <v>1522668</v>
      </c>
      <c r="E57" s="239">
        <v>5201716</v>
      </c>
      <c r="F57" s="239">
        <v>655933</v>
      </c>
      <c r="G57" s="239">
        <v>586771</v>
      </c>
      <c r="H57" s="239">
        <v>137854</v>
      </c>
      <c r="K57" s="239">
        <v>294338</v>
      </c>
      <c r="L57" s="239">
        <v>4816339</v>
      </c>
      <c r="M57" s="239">
        <v>29881</v>
      </c>
      <c r="N57" s="239">
        <v>4846220</v>
      </c>
    </row>
    <row r="58" spans="1:14" ht="13.8">
      <c r="A58" s="236">
        <v>23100</v>
      </c>
      <c r="B58" s="237" t="s">
        <v>194</v>
      </c>
      <c r="C58" s="240">
        <v>123601080</v>
      </c>
      <c r="D58" s="240">
        <v>10076412</v>
      </c>
      <c r="E58" s="240">
        <v>34422892</v>
      </c>
      <c r="F58" s="240">
        <v>4340707</v>
      </c>
      <c r="G58" s="240">
        <v>3588589</v>
      </c>
      <c r="H58" s="240">
        <v>912263</v>
      </c>
      <c r="K58" s="240">
        <v>1780418</v>
      </c>
      <c r="L58" s="240">
        <v>31872616</v>
      </c>
      <c r="M58" s="240">
        <v>749174</v>
      </c>
      <c r="N58" s="240">
        <v>32621790</v>
      </c>
    </row>
    <row r="59" spans="1:14" ht="13.8">
      <c r="A59" s="236">
        <v>23200</v>
      </c>
      <c r="B59" s="237" t="s">
        <v>196</v>
      </c>
      <c r="C59" s="240">
        <v>76005903</v>
      </c>
      <c r="D59" s="240">
        <v>6196279</v>
      </c>
      <c r="E59" s="240">
        <v>21167638</v>
      </c>
      <c r="F59" s="240">
        <v>2669227</v>
      </c>
      <c r="G59" s="240">
        <v>1959678</v>
      </c>
      <c r="H59" s="240">
        <v>560977</v>
      </c>
      <c r="K59" s="240">
        <v>0</v>
      </c>
      <c r="L59" s="240">
        <v>19599399</v>
      </c>
      <c r="M59" s="240">
        <v>1098127</v>
      </c>
      <c r="N59" s="240">
        <v>20697526</v>
      </c>
    </row>
    <row r="60" spans="1:14" ht="13.8">
      <c r="A60" s="236">
        <v>30000</v>
      </c>
      <c r="B60" s="237" t="s">
        <v>307</v>
      </c>
      <c r="C60" s="240">
        <v>13672693</v>
      </c>
      <c r="D60" s="240">
        <v>1114648</v>
      </c>
      <c r="E60" s="240">
        <v>3807844</v>
      </c>
      <c r="F60" s="240">
        <v>480167</v>
      </c>
      <c r="G60" s="240">
        <v>93145</v>
      </c>
      <c r="H60" s="240">
        <v>100914</v>
      </c>
      <c r="K60" s="240">
        <v>198365</v>
      </c>
      <c r="L60" s="240">
        <v>3525734</v>
      </c>
      <c r="M60" s="240">
        <v>-178980</v>
      </c>
      <c r="N60" s="240">
        <v>3346754</v>
      </c>
    </row>
    <row r="61" spans="1:14" ht="13.8">
      <c r="A61" s="236">
        <v>30100</v>
      </c>
      <c r="B61" s="237" t="s">
        <v>308</v>
      </c>
      <c r="C61" s="240">
        <v>141143341</v>
      </c>
      <c r="D61" s="240">
        <v>11506521</v>
      </c>
      <c r="E61" s="240">
        <v>39308410</v>
      </c>
      <c r="F61" s="240">
        <v>4956768</v>
      </c>
      <c r="G61" s="240">
        <v>1794363</v>
      </c>
      <c r="H61" s="240">
        <v>1041737</v>
      </c>
      <c r="K61" s="240">
        <v>3790605</v>
      </c>
      <c r="L61" s="240">
        <v>36396182</v>
      </c>
      <c r="M61" s="240">
        <v>-1000334</v>
      </c>
      <c r="N61" s="240">
        <v>35395848</v>
      </c>
    </row>
    <row r="62" spans="1:14" ht="13.8">
      <c r="A62" s="236">
        <v>30102</v>
      </c>
      <c r="B62" s="237" t="s">
        <v>309</v>
      </c>
      <c r="C62" s="240">
        <v>3577808</v>
      </c>
      <c r="D62" s="240">
        <v>291676</v>
      </c>
      <c r="E62" s="240">
        <v>996419</v>
      </c>
      <c r="F62" s="240">
        <v>125648</v>
      </c>
      <c r="G62" s="240">
        <v>118262</v>
      </c>
      <c r="H62" s="240">
        <v>26407</v>
      </c>
      <c r="K62" s="240">
        <v>4749</v>
      </c>
      <c r="L62" s="240">
        <v>922598</v>
      </c>
      <c r="M62" s="240">
        <v>35795</v>
      </c>
      <c r="N62" s="240">
        <v>958393</v>
      </c>
    </row>
    <row r="63" spans="1:14" ht="13.8">
      <c r="A63" s="236">
        <v>30103</v>
      </c>
      <c r="B63" s="237" t="s">
        <v>310</v>
      </c>
      <c r="C63" s="240">
        <v>3846226</v>
      </c>
      <c r="D63" s="240">
        <v>313558</v>
      </c>
      <c r="E63" s="240">
        <v>1071174</v>
      </c>
      <c r="F63" s="240">
        <v>135074</v>
      </c>
      <c r="G63" s="240">
        <v>0</v>
      </c>
      <c r="H63" s="240">
        <v>28388</v>
      </c>
      <c r="K63" s="240">
        <v>91897</v>
      </c>
      <c r="L63" s="240">
        <v>991814</v>
      </c>
      <c r="M63" s="240">
        <v>-27197</v>
      </c>
      <c r="N63" s="240">
        <v>964617</v>
      </c>
    </row>
    <row r="64" spans="1:14" ht="13.8">
      <c r="A64" s="193">
        <v>30104</v>
      </c>
      <c r="B64" s="194" t="s">
        <v>311</v>
      </c>
      <c r="C64" s="239">
        <v>3075981</v>
      </c>
      <c r="D64" s="239">
        <v>250765</v>
      </c>
      <c r="E64" s="239">
        <v>856660</v>
      </c>
      <c r="F64" s="239">
        <v>108024</v>
      </c>
      <c r="G64" s="239">
        <v>220645</v>
      </c>
      <c r="H64" s="239">
        <v>22703</v>
      </c>
      <c r="K64" s="239">
        <v>61530</v>
      </c>
      <c r="L64" s="239">
        <v>793193</v>
      </c>
      <c r="M64" s="239">
        <v>74140</v>
      </c>
      <c r="N64" s="239">
        <v>867333</v>
      </c>
    </row>
    <row r="65" spans="1:14" ht="13.8">
      <c r="A65" s="193">
        <v>30105</v>
      </c>
      <c r="B65" s="194" t="s">
        <v>199</v>
      </c>
      <c r="C65" s="239">
        <v>13429282</v>
      </c>
      <c r="D65" s="239">
        <v>1094804</v>
      </c>
      <c r="E65" s="239">
        <v>3740054</v>
      </c>
      <c r="F65" s="239">
        <v>471619</v>
      </c>
      <c r="G65" s="239">
        <v>67115</v>
      </c>
      <c r="H65" s="239">
        <v>99118</v>
      </c>
      <c r="K65" s="239">
        <v>44633</v>
      </c>
      <c r="L65" s="239">
        <v>3462966</v>
      </c>
      <c r="M65" s="239">
        <v>-70590</v>
      </c>
      <c r="N65" s="239">
        <v>3392376</v>
      </c>
    </row>
    <row r="66" spans="1:14" ht="13.8">
      <c r="A66" s="193">
        <v>30200</v>
      </c>
      <c r="B66" s="194" t="s">
        <v>312</v>
      </c>
      <c r="C66" s="239">
        <v>31415018</v>
      </c>
      <c r="D66" s="239">
        <v>2561067</v>
      </c>
      <c r="E66" s="239">
        <v>8749080</v>
      </c>
      <c r="F66" s="239">
        <v>1103254</v>
      </c>
      <c r="G66" s="239">
        <v>585795</v>
      </c>
      <c r="H66" s="239">
        <v>231865</v>
      </c>
      <c r="K66" s="239">
        <v>627710</v>
      </c>
      <c r="L66" s="239">
        <v>8100890</v>
      </c>
      <c r="M66" s="239">
        <v>-98344</v>
      </c>
      <c r="N66" s="239">
        <v>8002546</v>
      </c>
    </row>
    <row r="67" spans="1:14" ht="13.8">
      <c r="A67" s="193">
        <v>30300</v>
      </c>
      <c r="B67" s="194" t="s">
        <v>313</v>
      </c>
      <c r="C67" s="239">
        <v>11013512</v>
      </c>
      <c r="D67" s="239">
        <v>897862</v>
      </c>
      <c r="E67" s="239">
        <v>3067262</v>
      </c>
      <c r="F67" s="239">
        <v>386780</v>
      </c>
      <c r="G67" s="239">
        <v>377527</v>
      </c>
      <c r="H67" s="239">
        <v>81287</v>
      </c>
      <c r="K67" s="239">
        <v>51956</v>
      </c>
      <c r="L67" s="239">
        <v>2840019</v>
      </c>
      <c r="M67" s="239">
        <v>42825</v>
      </c>
      <c r="N67" s="239">
        <v>2882844</v>
      </c>
    </row>
    <row r="68" spans="1:14" ht="13.8">
      <c r="A68" s="193">
        <v>30400</v>
      </c>
      <c r="B68" s="194" t="s">
        <v>314</v>
      </c>
      <c r="C68" s="239">
        <v>21041710</v>
      </c>
      <c r="D68" s="239">
        <v>1715397</v>
      </c>
      <c r="E68" s="239">
        <v>5860115</v>
      </c>
      <c r="F68" s="239">
        <v>738957</v>
      </c>
      <c r="G68" s="239">
        <v>944247</v>
      </c>
      <c r="H68" s="239">
        <v>155303</v>
      </c>
      <c r="K68" s="239">
        <v>70142</v>
      </c>
      <c r="L68" s="239">
        <v>5425958</v>
      </c>
      <c r="M68" s="239">
        <v>302034</v>
      </c>
      <c r="N68" s="239">
        <v>5727992</v>
      </c>
    </row>
    <row r="69" spans="1:14" ht="13.8">
      <c r="A69" s="193">
        <v>30405</v>
      </c>
      <c r="B69" s="194" t="s">
        <v>245</v>
      </c>
      <c r="C69" s="239">
        <v>12095524</v>
      </c>
      <c r="D69" s="239">
        <v>986071</v>
      </c>
      <c r="E69" s="239">
        <v>3368602</v>
      </c>
      <c r="F69" s="239">
        <v>424779</v>
      </c>
      <c r="G69" s="239">
        <v>218929</v>
      </c>
      <c r="H69" s="239">
        <v>89274</v>
      </c>
      <c r="K69" s="239">
        <v>79969</v>
      </c>
      <c r="L69" s="239">
        <v>3119034</v>
      </c>
      <c r="M69" s="239">
        <v>102211</v>
      </c>
      <c r="N69" s="239">
        <v>3221245</v>
      </c>
    </row>
    <row r="70" spans="1:14" ht="13.8">
      <c r="A70" s="236">
        <v>30500</v>
      </c>
      <c r="B70" s="237" t="s">
        <v>315</v>
      </c>
      <c r="C70" s="240">
        <v>20166431</v>
      </c>
      <c r="D70" s="240">
        <v>1644041</v>
      </c>
      <c r="E70" s="240">
        <v>5616349</v>
      </c>
      <c r="F70" s="240">
        <v>708218</v>
      </c>
      <c r="G70" s="240">
        <v>584348</v>
      </c>
      <c r="H70" s="240">
        <v>148842</v>
      </c>
      <c r="K70" s="240">
        <v>141777</v>
      </c>
      <c r="L70" s="240">
        <v>5200253</v>
      </c>
      <c r="M70" s="240">
        <v>-13040</v>
      </c>
      <c r="N70" s="240">
        <v>5187213</v>
      </c>
    </row>
    <row r="71" spans="1:14" ht="13.8">
      <c r="A71" s="236">
        <v>30600</v>
      </c>
      <c r="B71" s="237" t="s">
        <v>316</v>
      </c>
      <c r="C71" s="241">
        <v>16036780</v>
      </c>
      <c r="D71" s="241">
        <v>1307377</v>
      </c>
      <c r="E71" s="241">
        <v>4466242</v>
      </c>
      <c r="F71" s="241">
        <v>563191</v>
      </c>
      <c r="G71" s="240">
        <v>399853</v>
      </c>
      <c r="H71" s="241">
        <v>118363</v>
      </c>
      <c r="K71" s="240">
        <v>31519</v>
      </c>
      <c r="L71" s="241">
        <v>4135353</v>
      </c>
      <c r="M71" s="240">
        <v>87582</v>
      </c>
      <c r="N71" s="240">
        <v>4222935</v>
      </c>
    </row>
    <row r="72" spans="1:14" ht="13.8">
      <c r="A72" s="236">
        <v>30601</v>
      </c>
      <c r="B72" s="237" t="s">
        <v>514</v>
      </c>
      <c r="C72" s="241">
        <v>0</v>
      </c>
      <c r="D72" s="241">
        <v>0</v>
      </c>
      <c r="E72" s="241">
        <v>0</v>
      </c>
      <c r="F72" s="241">
        <v>0</v>
      </c>
      <c r="G72" s="240">
        <v>0</v>
      </c>
      <c r="H72" s="241">
        <v>0</v>
      </c>
      <c r="K72" s="240">
        <v>9725</v>
      </c>
      <c r="L72" s="241">
        <v>0</v>
      </c>
      <c r="M72" s="240">
        <v>12368</v>
      </c>
      <c r="N72" s="240">
        <v>12368</v>
      </c>
    </row>
    <row r="73" spans="1:14" ht="13.8">
      <c r="A73" s="236">
        <v>30700</v>
      </c>
      <c r="B73" s="237" t="s">
        <v>317</v>
      </c>
      <c r="C73" s="240">
        <v>41658284</v>
      </c>
      <c r="D73" s="240">
        <v>3396136</v>
      </c>
      <c r="E73" s="240">
        <v>11601829</v>
      </c>
      <c r="F73" s="240">
        <v>1462984</v>
      </c>
      <c r="G73" s="240">
        <v>1546759</v>
      </c>
      <c r="H73" s="240">
        <v>307468</v>
      </c>
      <c r="K73" s="240">
        <v>1383441</v>
      </c>
      <c r="L73" s="240">
        <v>10742289</v>
      </c>
      <c r="M73" s="240">
        <v>32781</v>
      </c>
      <c r="N73" s="240">
        <v>10775070</v>
      </c>
    </row>
    <row r="74" spans="1:14" ht="13.8">
      <c r="A74" s="236">
        <v>30705</v>
      </c>
      <c r="B74" s="237" t="s">
        <v>201</v>
      </c>
      <c r="C74" s="240">
        <v>8656094</v>
      </c>
      <c r="D74" s="240">
        <v>705676</v>
      </c>
      <c r="E74" s="240">
        <v>2410721</v>
      </c>
      <c r="F74" s="240">
        <v>303991</v>
      </c>
      <c r="G74" s="240">
        <v>207481</v>
      </c>
      <c r="H74" s="240">
        <v>63888</v>
      </c>
      <c r="K74" s="240">
        <v>21435</v>
      </c>
      <c r="L74" s="240">
        <v>2232119</v>
      </c>
      <c r="M74" s="240">
        <v>43795</v>
      </c>
      <c r="N74" s="240">
        <v>2275914</v>
      </c>
    </row>
    <row r="75" spans="1:14" ht="13.8">
      <c r="A75" s="236">
        <v>30800</v>
      </c>
      <c r="B75" s="237" t="s">
        <v>318</v>
      </c>
      <c r="C75" s="240">
        <v>11922135</v>
      </c>
      <c r="D75" s="240">
        <v>971936</v>
      </c>
      <c r="E75" s="240">
        <v>3320314</v>
      </c>
      <c r="F75" s="240">
        <v>418690</v>
      </c>
      <c r="G75" s="240">
        <v>394353</v>
      </c>
      <c r="H75" s="240">
        <v>87994</v>
      </c>
      <c r="K75" s="240">
        <v>86938</v>
      </c>
      <c r="L75" s="240">
        <v>3074323</v>
      </c>
      <c r="M75" s="240">
        <v>10559</v>
      </c>
      <c r="N75" s="240">
        <v>3084882</v>
      </c>
    </row>
    <row r="76" spans="1:14" ht="13.8">
      <c r="A76" s="193">
        <v>30900</v>
      </c>
      <c r="B76" s="194" t="s">
        <v>319</v>
      </c>
      <c r="C76" s="239">
        <v>28750835</v>
      </c>
      <c r="D76" s="239">
        <v>2343873</v>
      </c>
      <c r="E76" s="239">
        <v>8007105</v>
      </c>
      <c r="F76" s="239">
        <v>1009691</v>
      </c>
      <c r="G76" s="239">
        <v>2026910</v>
      </c>
      <c r="H76" s="239">
        <v>212201</v>
      </c>
      <c r="K76" s="239">
        <v>79078</v>
      </c>
      <c r="L76" s="239">
        <v>7413886</v>
      </c>
      <c r="M76" s="239">
        <v>667254</v>
      </c>
      <c r="N76" s="239">
        <v>8081140</v>
      </c>
    </row>
    <row r="77" spans="1:14" ht="13.8">
      <c r="A77" s="193">
        <v>30905</v>
      </c>
      <c r="B77" s="194" t="s">
        <v>202</v>
      </c>
      <c r="C77" s="239">
        <v>5091624</v>
      </c>
      <c r="D77" s="239">
        <v>415088</v>
      </c>
      <c r="E77" s="239">
        <v>1418017</v>
      </c>
      <c r="F77" s="239">
        <v>178811</v>
      </c>
      <c r="G77" s="239">
        <v>265853</v>
      </c>
      <c r="H77" s="239">
        <v>37580</v>
      </c>
      <c r="K77" s="239">
        <v>3829</v>
      </c>
      <c r="L77" s="239">
        <v>1312961</v>
      </c>
      <c r="M77" s="239">
        <v>121657</v>
      </c>
      <c r="N77" s="239">
        <v>1434618</v>
      </c>
    </row>
    <row r="78" spans="1:14" ht="13.8">
      <c r="A78" s="193">
        <v>31000</v>
      </c>
      <c r="B78" s="194" t="s">
        <v>320</v>
      </c>
      <c r="C78" s="239">
        <v>83910090</v>
      </c>
      <c r="D78" s="239">
        <v>6840657</v>
      </c>
      <c r="E78" s="239">
        <v>23368954</v>
      </c>
      <c r="F78" s="239">
        <v>2946811</v>
      </c>
      <c r="G78" s="239">
        <v>1156649</v>
      </c>
      <c r="H78" s="239">
        <v>619316</v>
      </c>
      <c r="K78" s="239">
        <v>111578</v>
      </c>
      <c r="L78" s="239">
        <v>21637627</v>
      </c>
      <c r="M78" s="239">
        <v>295169</v>
      </c>
      <c r="N78" s="239">
        <v>21932796</v>
      </c>
    </row>
    <row r="79" spans="1:14" ht="13.8">
      <c r="A79" s="193">
        <v>31005</v>
      </c>
      <c r="B79" s="194" t="s">
        <v>204</v>
      </c>
      <c r="C79" s="239">
        <v>8107585</v>
      </c>
      <c r="D79" s="239">
        <v>660960</v>
      </c>
      <c r="E79" s="239">
        <v>2257962</v>
      </c>
      <c r="F79" s="239">
        <v>284728</v>
      </c>
      <c r="G79" s="239">
        <v>324157</v>
      </c>
      <c r="H79" s="239">
        <v>59840</v>
      </c>
      <c r="K79" s="239">
        <v>0</v>
      </c>
      <c r="L79" s="239">
        <v>2090677</v>
      </c>
      <c r="M79" s="239">
        <v>180295</v>
      </c>
      <c r="N79" s="239">
        <v>2270972</v>
      </c>
    </row>
    <row r="80" spans="1:14" ht="13.8">
      <c r="A80" s="193">
        <v>31100</v>
      </c>
      <c r="B80" s="194" t="s">
        <v>321</v>
      </c>
      <c r="C80" s="239">
        <v>163273731</v>
      </c>
      <c r="D80" s="239">
        <v>13310671</v>
      </c>
      <c r="E80" s="239">
        <v>45471722</v>
      </c>
      <c r="F80" s="239">
        <v>5733958</v>
      </c>
      <c r="G80" s="239">
        <v>721436</v>
      </c>
      <c r="H80" s="239">
        <v>1205075</v>
      </c>
      <c r="K80" s="239">
        <v>967445</v>
      </c>
      <c r="L80" s="239">
        <v>42102875</v>
      </c>
      <c r="M80" s="239">
        <v>-1143588</v>
      </c>
      <c r="N80" s="239">
        <v>40959287</v>
      </c>
    </row>
    <row r="81" spans="1:14" ht="13.8">
      <c r="A81" s="193">
        <v>31101</v>
      </c>
      <c r="B81" s="194" t="s">
        <v>515</v>
      </c>
      <c r="C81" s="239">
        <v>1083679</v>
      </c>
      <c r="D81" s="239">
        <v>88345</v>
      </c>
      <c r="E81" s="239">
        <v>301804</v>
      </c>
      <c r="F81" s="239">
        <v>38057</v>
      </c>
      <c r="G81" s="239">
        <v>68265</v>
      </c>
      <c r="H81" s="239">
        <v>7998</v>
      </c>
      <c r="K81" s="239">
        <v>5434</v>
      </c>
      <c r="L81" s="239">
        <v>279445</v>
      </c>
      <c r="M81" s="239">
        <v>28844</v>
      </c>
      <c r="N81" s="239">
        <v>308289</v>
      </c>
    </row>
    <row r="82" spans="1:14" ht="13.8">
      <c r="A82" s="193">
        <v>31102</v>
      </c>
      <c r="B82" s="194" t="s">
        <v>323</v>
      </c>
      <c r="C82" s="239">
        <v>2974282</v>
      </c>
      <c r="D82" s="239">
        <v>242474</v>
      </c>
      <c r="E82" s="239">
        <v>828337</v>
      </c>
      <c r="F82" s="239">
        <v>104453</v>
      </c>
      <c r="G82" s="239">
        <v>2349</v>
      </c>
      <c r="H82" s="239">
        <v>21952</v>
      </c>
      <c r="K82" s="239">
        <v>61265</v>
      </c>
      <c r="L82" s="239">
        <v>766969</v>
      </c>
      <c r="M82" s="239">
        <v>-87552</v>
      </c>
      <c r="N82" s="239">
        <v>679417</v>
      </c>
    </row>
    <row r="83" spans="1:14" ht="13.8">
      <c r="A83" s="193">
        <v>31105</v>
      </c>
      <c r="B83" s="194" t="s">
        <v>200</v>
      </c>
      <c r="C83" s="239">
        <v>25081331</v>
      </c>
      <c r="D83" s="239">
        <v>2044722</v>
      </c>
      <c r="E83" s="239">
        <v>6985149</v>
      </c>
      <c r="F83" s="239">
        <v>880823</v>
      </c>
      <c r="G83" s="239">
        <v>250478</v>
      </c>
      <c r="H83" s="239">
        <v>185118</v>
      </c>
      <c r="K83" s="239">
        <v>77377</v>
      </c>
      <c r="L83" s="239">
        <v>6467643</v>
      </c>
      <c r="M83" s="239">
        <v>-68796</v>
      </c>
      <c r="N83" s="239">
        <v>6398847</v>
      </c>
    </row>
    <row r="84" spans="1:14" ht="13.8">
      <c r="A84" s="193">
        <v>31110</v>
      </c>
      <c r="B84" s="194" t="s">
        <v>324</v>
      </c>
      <c r="C84" s="239">
        <v>37388589</v>
      </c>
      <c r="D84" s="239">
        <v>3048054</v>
      </c>
      <c r="E84" s="239">
        <v>10412719</v>
      </c>
      <c r="F84" s="239">
        <v>1313038</v>
      </c>
      <c r="G84" s="239">
        <v>0</v>
      </c>
      <c r="H84" s="239">
        <v>275954</v>
      </c>
      <c r="K84" s="239">
        <v>1011511</v>
      </c>
      <c r="L84" s="239">
        <v>9641276</v>
      </c>
      <c r="M84" s="239">
        <v>-790215</v>
      </c>
      <c r="N84" s="239">
        <v>8851061</v>
      </c>
    </row>
    <row r="85" spans="1:14" ht="13.8">
      <c r="A85" s="193">
        <v>31200</v>
      </c>
      <c r="B85" s="194" t="s">
        <v>325</v>
      </c>
      <c r="C85" s="239">
        <v>70209055</v>
      </c>
      <c r="D85" s="239">
        <v>5723699</v>
      </c>
      <c r="E85" s="239">
        <v>19553216</v>
      </c>
      <c r="F85" s="239">
        <v>2465649</v>
      </c>
      <c r="G85" s="239">
        <v>1458817</v>
      </c>
      <c r="H85" s="239">
        <v>518192</v>
      </c>
      <c r="K85" s="239">
        <v>820520</v>
      </c>
      <c r="L85" s="239">
        <v>18104585</v>
      </c>
      <c r="M85" s="239">
        <v>-76980</v>
      </c>
      <c r="N85" s="239">
        <v>18027605</v>
      </c>
    </row>
    <row r="86" spans="1:14" ht="13.8">
      <c r="A86" s="193">
        <v>31205</v>
      </c>
      <c r="B86" s="194" t="s">
        <v>516</v>
      </c>
      <c r="C86" s="239">
        <v>7674114</v>
      </c>
      <c r="D86" s="239">
        <v>625622</v>
      </c>
      <c r="E86" s="239">
        <v>2137240</v>
      </c>
      <c r="F86" s="239">
        <v>269505</v>
      </c>
      <c r="G86" s="239">
        <v>117743</v>
      </c>
      <c r="H86" s="239">
        <v>56640</v>
      </c>
      <c r="K86" s="239">
        <v>0</v>
      </c>
      <c r="L86" s="239">
        <v>1978899</v>
      </c>
      <c r="M86" s="239">
        <v>80976</v>
      </c>
      <c r="N86" s="239">
        <v>2059875</v>
      </c>
    </row>
    <row r="87" spans="1:14" ht="13.8">
      <c r="A87" s="193">
        <v>31300</v>
      </c>
      <c r="B87" s="194" t="s">
        <v>326</v>
      </c>
      <c r="C87" s="239">
        <v>213583107</v>
      </c>
      <c r="D87" s="239">
        <v>17412076</v>
      </c>
      <c r="E87" s="239">
        <v>59482879</v>
      </c>
      <c r="F87" s="239">
        <v>7500756</v>
      </c>
      <c r="G87" s="239">
        <v>302553</v>
      </c>
      <c r="H87" s="239">
        <v>1576394</v>
      </c>
      <c r="K87" s="239">
        <v>3366522</v>
      </c>
      <c r="L87" s="239">
        <v>55075994</v>
      </c>
      <c r="M87" s="239">
        <v>-1335821</v>
      </c>
      <c r="N87" s="239">
        <v>53740173</v>
      </c>
    </row>
    <row r="88" spans="1:14" ht="13.8">
      <c r="A88" s="236">
        <v>31301</v>
      </c>
      <c r="B88" s="237" t="s">
        <v>327</v>
      </c>
      <c r="C88" s="240">
        <v>3737859</v>
      </c>
      <c r="D88" s="240">
        <v>304724</v>
      </c>
      <c r="E88" s="240">
        <v>1040993</v>
      </c>
      <c r="F88" s="240">
        <v>131269</v>
      </c>
      <c r="G88" s="240">
        <v>0</v>
      </c>
      <c r="H88" s="240">
        <v>27588</v>
      </c>
      <c r="K88" s="240">
        <v>204774</v>
      </c>
      <c r="L88" s="240">
        <v>963870</v>
      </c>
      <c r="M88" s="240">
        <v>-137094</v>
      </c>
      <c r="N88" s="240">
        <v>826776</v>
      </c>
    </row>
    <row r="89" spans="1:14" ht="13.8">
      <c r="A89" s="236">
        <v>31320</v>
      </c>
      <c r="B89" s="237" t="s">
        <v>328</v>
      </c>
      <c r="C89" s="240">
        <v>35939794</v>
      </c>
      <c r="D89" s="240">
        <v>2929943</v>
      </c>
      <c r="E89" s="240">
        <v>10009230</v>
      </c>
      <c r="F89" s="240">
        <v>1262158</v>
      </c>
      <c r="G89" s="240">
        <v>310335</v>
      </c>
      <c r="H89" s="240">
        <v>265261</v>
      </c>
      <c r="K89" s="240">
        <v>297115</v>
      </c>
      <c r="L89" s="240">
        <v>9267680</v>
      </c>
      <c r="M89" s="240">
        <v>-317509</v>
      </c>
      <c r="N89" s="240">
        <v>8950171</v>
      </c>
    </row>
    <row r="90" spans="1:14" ht="13.8">
      <c r="A90" s="236">
        <v>31400</v>
      </c>
      <c r="B90" s="237" t="s">
        <v>329</v>
      </c>
      <c r="C90" s="240">
        <v>66331152</v>
      </c>
      <c r="D90" s="240">
        <v>5407558</v>
      </c>
      <c r="E90" s="240">
        <v>18473221</v>
      </c>
      <c r="F90" s="240">
        <v>2329462</v>
      </c>
      <c r="G90" s="240">
        <v>1055314</v>
      </c>
      <c r="H90" s="240">
        <v>489571</v>
      </c>
      <c r="K90" s="240">
        <v>986855</v>
      </c>
      <c r="L90" s="240">
        <v>17104602</v>
      </c>
      <c r="M90" s="240">
        <v>-661364</v>
      </c>
      <c r="N90" s="240">
        <v>16443238</v>
      </c>
    </row>
    <row r="91" spans="1:14" ht="13.8">
      <c r="A91" s="236">
        <v>31405</v>
      </c>
      <c r="B91" s="237" t="s">
        <v>205</v>
      </c>
      <c r="C91" s="240">
        <v>15971760</v>
      </c>
      <c r="D91" s="240">
        <v>1302076</v>
      </c>
      <c r="E91" s="240">
        <v>4448134</v>
      </c>
      <c r="F91" s="240">
        <v>560907</v>
      </c>
      <c r="G91" s="240">
        <v>904969</v>
      </c>
      <c r="H91" s="240">
        <v>117883</v>
      </c>
      <c r="K91" s="240">
        <v>0</v>
      </c>
      <c r="L91" s="240">
        <v>4118587</v>
      </c>
      <c r="M91" s="240">
        <v>409677</v>
      </c>
      <c r="N91" s="240">
        <v>4528264</v>
      </c>
    </row>
    <row r="92" spans="1:14" ht="13.8">
      <c r="A92" s="236">
        <v>31500</v>
      </c>
      <c r="B92" s="237" t="s">
        <v>330</v>
      </c>
      <c r="C92" s="240">
        <v>12884108</v>
      </c>
      <c r="D92" s="240">
        <v>1050360</v>
      </c>
      <c r="E92" s="240">
        <v>3588223</v>
      </c>
      <c r="F92" s="240">
        <v>452473</v>
      </c>
      <c r="G92" s="240">
        <v>530340</v>
      </c>
      <c r="H92" s="240">
        <v>95094</v>
      </c>
      <c r="K92" s="240">
        <v>60393</v>
      </c>
      <c r="L92" s="240">
        <v>3322384</v>
      </c>
      <c r="M92" s="240">
        <v>187476</v>
      </c>
      <c r="N92" s="240">
        <v>3509860</v>
      </c>
    </row>
    <row r="93" spans="1:14" ht="13.8">
      <c r="A93" s="236">
        <v>31600</v>
      </c>
      <c r="B93" s="237" t="s">
        <v>331</v>
      </c>
      <c r="C93" s="240">
        <v>54092249</v>
      </c>
      <c r="D93" s="240">
        <v>4409798</v>
      </c>
      <c r="E93" s="240">
        <v>15064687</v>
      </c>
      <c r="F93" s="240">
        <v>1899648</v>
      </c>
      <c r="G93" s="240">
        <v>1404461</v>
      </c>
      <c r="H93" s="240">
        <v>399239</v>
      </c>
      <c r="K93" s="240">
        <v>1470129</v>
      </c>
      <c r="L93" s="240">
        <v>13948595</v>
      </c>
      <c r="M93" s="240">
        <v>-119492</v>
      </c>
      <c r="N93" s="240">
        <v>13829103</v>
      </c>
    </row>
    <row r="94" spans="1:14" ht="13.8">
      <c r="A94" s="193">
        <v>31605</v>
      </c>
      <c r="B94" s="194" t="s">
        <v>207</v>
      </c>
      <c r="C94" s="239">
        <v>8637754</v>
      </c>
      <c r="D94" s="239">
        <v>704181</v>
      </c>
      <c r="E94" s="239">
        <v>2405614</v>
      </c>
      <c r="F94" s="239">
        <v>303347</v>
      </c>
      <c r="G94" s="239">
        <v>341480</v>
      </c>
      <c r="H94" s="239">
        <v>63753</v>
      </c>
      <c r="K94" s="239">
        <v>0</v>
      </c>
      <c r="L94" s="239">
        <v>2227390</v>
      </c>
      <c r="M94" s="239">
        <v>209431</v>
      </c>
      <c r="N94" s="239">
        <v>2436821</v>
      </c>
    </row>
    <row r="95" spans="1:14" ht="13.8">
      <c r="A95" s="193">
        <v>31700</v>
      </c>
      <c r="B95" s="194" t="s">
        <v>332</v>
      </c>
      <c r="C95" s="239">
        <v>14769710</v>
      </c>
      <c r="D95" s="239">
        <v>1204081</v>
      </c>
      <c r="E95" s="239">
        <v>4113363</v>
      </c>
      <c r="F95" s="239">
        <v>518693</v>
      </c>
      <c r="G95" s="239">
        <v>439489</v>
      </c>
      <c r="H95" s="239">
        <v>109011</v>
      </c>
      <c r="K95" s="239">
        <v>105850</v>
      </c>
      <c r="L95" s="239">
        <v>3808618</v>
      </c>
      <c r="M95" s="239">
        <v>-6698</v>
      </c>
      <c r="N95" s="239">
        <v>3801920</v>
      </c>
    </row>
    <row r="96" spans="1:14" ht="13.8">
      <c r="A96" s="193">
        <v>31800</v>
      </c>
      <c r="B96" s="194" t="s">
        <v>333</v>
      </c>
      <c r="C96" s="239">
        <v>95165346</v>
      </c>
      <c r="D96" s="239">
        <v>7758227</v>
      </c>
      <c r="E96" s="239">
        <v>26503542</v>
      </c>
      <c r="F96" s="239">
        <v>3342081</v>
      </c>
      <c r="G96" s="239">
        <v>1819823</v>
      </c>
      <c r="H96" s="239">
        <v>702387</v>
      </c>
      <c r="K96" s="239">
        <v>735613</v>
      </c>
      <c r="L96" s="239">
        <v>24539984</v>
      </c>
      <c r="M96" s="239">
        <v>235460</v>
      </c>
      <c r="N96" s="239">
        <v>24775444</v>
      </c>
    </row>
    <row r="97" spans="1:14" ht="13.8">
      <c r="A97" s="193">
        <v>31805</v>
      </c>
      <c r="B97" s="194" t="s">
        <v>208</v>
      </c>
      <c r="C97" s="239">
        <v>21290122</v>
      </c>
      <c r="D97" s="239">
        <v>1735649</v>
      </c>
      <c r="E97" s="239">
        <v>5929297</v>
      </c>
      <c r="F97" s="239">
        <v>747681</v>
      </c>
      <c r="G97" s="239">
        <v>775286</v>
      </c>
      <c r="H97" s="239">
        <v>157136</v>
      </c>
      <c r="K97" s="239">
        <v>0</v>
      </c>
      <c r="L97" s="239">
        <v>5490016</v>
      </c>
      <c r="M97" s="239">
        <v>407575</v>
      </c>
      <c r="N97" s="239">
        <v>5897591</v>
      </c>
    </row>
    <row r="98" spans="1:14" ht="13.8">
      <c r="A98" s="193">
        <v>31810</v>
      </c>
      <c r="B98" s="194" t="s">
        <v>334</v>
      </c>
      <c r="C98" s="239">
        <v>22368800</v>
      </c>
      <c r="D98" s="239">
        <v>1823586</v>
      </c>
      <c r="E98" s="239">
        <v>6229709</v>
      </c>
      <c r="F98" s="239">
        <v>785563</v>
      </c>
      <c r="G98" s="239">
        <v>272338</v>
      </c>
      <c r="H98" s="239">
        <v>165098</v>
      </c>
      <c r="K98" s="239">
        <v>426618</v>
      </c>
      <c r="L98" s="239">
        <v>5768171</v>
      </c>
      <c r="M98" s="239">
        <v>-90900</v>
      </c>
      <c r="N98" s="239">
        <v>5677271</v>
      </c>
    </row>
    <row r="99" spans="1:14" ht="13.8">
      <c r="A99" s="193">
        <v>31820</v>
      </c>
      <c r="B99" s="194" t="s">
        <v>335</v>
      </c>
      <c r="C99" s="239">
        <v>18909363</v>
      </c>
      <c r="D99" s="239">
        <v>1541560</v>
      </c>
      <c r="E99" s="239">
        <v>5266256</v>
      </c>
      <c r="F99" s="239">
        <v>664072</v>
      </c>
      <c r="G99" s="239">
        <v>0</v>
      </c>
      <c r="H99" s="239">
        <v>139564</v>
      </c>
      <c r="K99" s="239">
        <v>393068</v>
      </c>
      <c r="L99" s="239">
        <v>4876097</v>
      </c>
      <c r="M99" s="239">
        <v>-317658</v>
      </c>
      <c r="N99" s="239">
        <v>4558439</v>
      </c>
    </row>
    <row r="100" spans="1:14" ht="13.8">
      <c r="A100" s="236">
        <v>31900</v>
      </c>
      <c r="B100" s="237" t="s">
        <v>336</v>
      </c>
      <c r="C100" s="240">
        <v>62606631</v>
      </c>
      <c r="D100" s="240">
        <v>5103921</v>
      </c>
      <c r="E100" s="240">
        <v>17435942</v>
      </c>
      <c r="F100" s="240">
        <v>2198662</v>
      </c>
      <c r="G100" s="240">
        <v>386821</v>
      </c>
      <c r="H100" s="240">
        <v>462081</v>
      </c>
      <c r="K100" s="240">
        <v>754668</v>
      </c>
      <c r="L100" s="240">
        <v>16144172</v>
      </c>
      <c r="M100" s="240">
        <v>-261034</v>
      </c>
      <c r="N100" s="240">
        <v>15883138</v>
      </c>
    </row>
    <row r="101" spans="1:14" ht="13.8">
      <c r="A101" s="236">
        <v>32000</v>
      </c>
      <c r="B101" s="237" t="s">
        <v>337</v>
      </c>
      <c r="C101" s="240">
        <v>23662545</v>
      </c>
      <c r="D101" s="240">
        <v>1929057</v>
      </c>
      <c r="E101" s="240">
        <v>6590017</v>
      </c>
      <c r="F101" s="240">
        <v>830997</v>
      </c>
      <c r="G101" s="240">
        <v>269275</v>
      </c>
      <c r="H101" s="240">
        <v>174646</v>
      </c>
      <c r="K101" s="240">
        <v>247840</v>
      </c>
      <c r="L101" s="240">
        <v>6101785</v>
      </c>
      <c r="M101" s="240">
        <v>-224636</v>
      </c>
      <c r="N101" s="240">
        <v>5877149</v>
      </c>
    </row>
    <row r="102" spans="1:14" ht="13.8">
      <c r="A102" s="236">
        <v>32005</v>
      </c>
      <c r="B102" s="237" t="s">
        <v>250</v>
      </c>
      <c r="C102" s="240">
        <v>6050263</v>
      </c>
      <c r="D102" s="240">
        <v>493240</v>
      </c>
      <c r="E102" s="240">
        <v>1684998</v>
      </c>
      <c r="F102" s="240">
        <v>212477</v>
      </c>
      <c r="G102" s="240">
        <v>145652</v>
      </c>
      <c r="H102" s="240">
        <v>44655</v>
      </c>
      <c r="K102" s="240">
        <v>11858</v>
      </c>
      <c r="L102" s="240">
        <v>1560162</v>
      </c>
      <c r="M102" s="240">
        <v>134797</v>
      </c>
      <c r="N102" s="240">
        <v>1694959</v>
      </c>
    </row>
    <row r="103" spans="1:14" ht="13.8">
      <c r="A103" s="236">
        <v>32100</v>
      </c>
      <c r="B103" s="237" t="s">
        <v>338</v>
      </c>
      <c r="C103" s="240">
        <v>13477631</v>
      </c>
      <c r="D103" s="240">
        <v>1098746</v>
      </c>
      <c r="E103" s="240">
        <v>3753519</v>
      </c>
      <c r="F103" s="240">
        <v>473317</v>
      </c>
      <c r="G103" s="240">
        <v>530787</v>
      </c>
      <c r="H103" s="240">
        <v>99474</v>
      </c>
      <c r="K103" s="240">
        <v>164546</v>
      </c>
      <c r="L103" s="240">
        <v>3475434</v>
      </c>
      <c r="M103" s="240">
        <v>7066</v>
      </c>
      <c r="N103" s="240">
        <v>3482500</v>
      </c>
    </row>
    <row r="104" spans="1:14" ht="13.8">
      <c r="A104" s="236">
        <v>32200</v>
      </c>
      <c r="B104" s="237" t="s">
        <v>339</v>
      </c>
      <c r="C104" s="240">
        <v>10258271</v>
      </c>
      <c r="D104" s="240">
        <v>836292</v>
      </c>
      <c r="E104" s="240">
        <v>2856928</v>
      </c>
      <c r="F104" s="240">
        <v>360257</v>
      </c>
      <c r="G104" s="240">
        <v>415075</v>
      </c>
      <c r="H104" s="240">
        <v>75713</v>
      </c>
      <c r="K104" s="240">
        <v>54396</v>
      </c>
      <c r="L104" s="240">
        <v>2645268</v>
      </c>
      <c r="M104" s="240">
        <v>91161</v>
      </c>
      <c r="N104" s="240">
        <v>2736429</v>
      </c>
    </row>
    <row r="105" spans="1:14" ht="13.8">
      <c r="A105" s="236">
        <v>32300</v>
      </c>
      <c r="B105" s="237" t="s">
        <v>340</v>
      </c>
      <c r="C105" s="240">
        <v>93133031</v>
      </c>
      <c r="D105" s="240">
        <v>7592545</v>
      </c>
      <c r="E105" s="240">
        <v>25937542</v>
      </c>
      <c r="F105" s="240">
        <v>3270709</v>
      </c>
      <c r="G105" s="240">
        <v>1299512</v>
      </c>
      <c r="H105" s="240">
        <v>687387</v>
      </c>
      <c r="K105" s="240">
        <v>748009</v>
      </c>
      <c r="L105" s="240">
        <v>24015917</v>
      </c>
      <c r="M105" s="240">
        <v>-228253</v>
      </c>
      <c r="N105" s="240">
        <v>23787664</v>
      </c>
    </row>
    <row r="106" spans="1:14" ht="13.8">
      <c r="A106" s="193">
        <v>32305</v>
      </c>
      <c r="B106" s="194" t="s">
        <v>341</v>
      </c>
      <c r="C106" s="239">
        <v>11528676</v>
      </c>
      <c r="D106" s="239">
        <v>939860</v>
      </c>
      <c r="E106" s="239">
        <v>3210735</v>
      </c>
      <c r="F106" s="239">
        <v>404872</v>
      </c>
      <c r="G106" s="239">
        <v>626597</v>
      </c>
      <c r="H106" s="239">
        <v>85090</v>
      </c>
      <c r="K106" s="239">
        <v>0</v>
      </c>
      <c r="L106" s="239">
        <v>2972863</v>
      </c>
      <c r="M106" s="239">
        <v>157755</v>
      </c>
      <c r="N106" s="239">
        <v>3130618</v>
      </c>
    </row>
    <row r="107" spans="1:14" ht="13.8">
      <c r="A107" s="193">
        <v>32400</v>
      </c>
      <c r="B107" s="194" t="s">
        <v>342</v>
      </c>
      <c r="C107" s="239">
        <v>33744094</v>
      </c>
      <c r="D107" s="239">
        <v>2750942</v>
      </c>
      <c r="E107" s="239">
        <v>9397728</v>
      </c>
      <c r="F107" s="239">
        <v>1185048</v>
      </c>
      <c r="G107" s="239">
        <v>957796</v>
      </c>
      <c r="H107" s="239">
        <v>249055</v>
      </c>
      <c r="K107" s="239">
        <v>215695</v>
      </c>
      <c r="L107" s="239">
        <v>8701482</v>
      </c>
      <c r="M107" s="239">
        <v>207615</v>
      </c>
      <c r="N107" s="239">
        <v>8909097</v>
      </c>
    </row>
    <row r="108" spans="1:14" ht="13.8">
      <c r="A108" s="193">
        <v>32405</v>
      </c>
      <c r="B108" s="194" t="s">
        <v>246</v>
      </c>
      <c r="C108" s="239">
        <v>8230958</v>
      </c>
      <c r="D108" s="239">
        <v>671018</v>
      </c>
      <c r="E108" s="239">
        <v>2292321</v>
      </c>
      <c r="F108" s="239">
        <v>289060</v>
      </c>
      <c r="G108" s="239">
        <v>41063</v>
      </c>
      <c r="H108" s="239">
        <v>60750</v>
      </c>
      <c r="K108" s="239">
        <v>46892</v>
      </c>
      <c r="L108" s="239">
        <v>2122491</v>
      </c>
      <c r="M108" s="239">
        <v>-73791</v>
      </c>
      <c r="N108" s="239">
        <v>2048700</v>
      </c>
    </row>
    <row r="109" spans="1:14" ht="13.8">
      <c r="A109" s="193">
        <v>32410</v>
      </c>
      <c r="B109" s="194" t="s">
        <v>343</v>
      </c>
      <c r="C109" s="239">
        <v>15209850</v>
      </c>
      <c r="D109" s="239">
        <v>1239963</v>
      </c>
      <c r="E109" s="239">
        <v>4235942</v>
      </c>
      <c r="F109" s="239">
        <v>534150</v>
      </c>
      <c r="G109" s="239">
        <v>644220</v>
      </c>
      <c r="H109" s="239">
        <v>112259</v>
      </c>
      <c r="K109" s="239">
        <v>208460</v>
      </c>
      <c r="L109" s="239">
        <v>3922115</v>
      </c>
      <c r="M109" s="239">
        <v>238887</v>
      </c>
      <c r="N109" s="239">
        <v>4161002</v>
      </c>
    </row>
    <row r="110" spans="1:14" ht="13.8">
      <c r="A110" s="193">
        <v>32500</v>
      </c>
      <c r="B110" s="194" t="s">
        <v>344</v>
      </c>
      <c r="C110" s="239">
        <v>80000510</v>
      </c>
      <c r="D110" s="239">
        <v>6521934</v>
      </c>
      <c r="E110" s="239">
        <v>22280136</v>
      </c>
      <c r="F110" s="239">
        <v>2809512</v>
      </c>
      <c r="G110" s="239">
        <v>824682</v>
      </c>
      <c r="H110" s="239">
        <v>590460</v>
      </c>
      <c r="K110" s="239">
        <v>936336</v>
      </c>
      <c r="L110" s="239">
        <v>20629476</v>
      </c>
      <c r="M110" s="239">
        <v>-544703</v>
      </c>
      <c r="N110" s="239">
        <v>20084773</v>
      </c>
    </row>
    <row r="111" spans="1:14" ht="13.8">
      <c r="A111" s="193">
        <v>32505</v>
      </c>
      <c r="B111" s="194" t="s">
        <v>214</v>
      </c>
      <c r="C111" s="239">
        <v>12839094</v>
      </c>
      <c r="D111" s="239">
        <v>1046690</v>
      </c>
      <c r="E111" s="239">
        <v>3575687</v>
      </c>
      <c r="F111" s="239">
        <v>450892</v>
      </c>
      <c r="G111" s="239">
        <v>224350</v>
      </c>
      <c r="H111" s="239">
        <v>94762</v>
      </c>
      <c r="K111" s="239">
        <v>0</v>
      </c>
      <c r="L111" s="239">
        <v>3310776</v>
      </c>
      <c r="M111" s="239">
        <v>121928</v>
      </c>
      <c r="N111" s="239">
        <v>3432704</v>
      </c>
    </row>
    <row r="112" spans="1:14" ht="13.8">
      <c r="A112" s="236">
        <v>32600</v>
      </c>
      <c r="B112" s="237" t="s">
        <v>345</v>
      </c>
      <c r="C112" s="240">
        <v>291612989</v>
      </c>
      <c r="D112" s="240">
        <v>23773357</v>
      </c>
      <c r="E112" s="240">
        <v>81214195</v>
      </c>
      <c r="F112" s="240">
        <v>10241063</v>
      </c>
      <c r="G112" s="240">
        <v>6986363</v>
      </c>
      <c r="H112" s="240">
        <v>2152310</v>
      </c>
      <c r="K112" s="240">
        <v>8085710</v>
      </c>
      <c r="L112" s="240">
        <v>75197310</v>
      </c>
      <c r="M112" s="240">
        <v>-791036</v>
      </c>
      <c r="N112" s="240">
        <v>74406274</v>
      </c>
    </row>
    <row r="113" spans="1:14" ht="13.8">
      <c r="A113" s="236">
        <v>32605</v>
      </c>
      <c r="B113" s="237" t="s">
        <v>218</v>
      </c>
      <c r="C113" s="240">
        <v>51481416</v>
      </c>
      <c r="D113" s="240">
        <v>4196953</v>
      </c>
      <c r="E113" s="240">
        <v>14337571</v>
      </c>
      <c r="F113" s="240">
        <v>1807959</v>
      </c>
      <c r="G113" s="240">
        <v>2671220</v>
      </c>
      <c r="H113" s="240">
        <v>379969</v>
      </c>
      <c r="K113" s="240">
        <v>0</v>
      </c>
      <c r="L113" s="240">
        <v>13275348</v>
      </c>
      <c r="M113" s="240">
        <v>1541158</v>
      </c>
      <c r="N113" s="240">
        <v>14816506</v>
      </c>
    </row>
    <row r="114" spans="1:14" ht="13.8">
      <c r="A114" s="236">
        <v>32700</v>
      </c>
      <c r="B114" s="237" t="s">
        <v>346</v>
      </c>
      <c r="C114" s="240">
        <v>30311332</v>
      </c>
      <c r="D114" s="240">
        <v>2471091</v>
      </c>
      <c r="E114" s="240">
        <v>8441704</v>
      </c>
      <c r="F114" s="240">
        <v>1064494</v>
      </c>
      <c r="G114" s="240">
        <v>668767</v>
      </c>
      <c r="H114" s="240">
        <v>223719</v>
      </c>
      <c r="K114" s="240">
        <v>32700</v>
      </c>
      <c r="L114" s="240">
        <v>7816286</v>
      </c>
      <c r="M114" s="240">
        <v>301381</v>
      </c>
      <c r="N114" s="240">
        <v>8117667</v>
      </c>
    </row>
    <row r="115" spans="1:14" ht="13.8">
      <c r="A115" s="236">
        <v>32800</v>
      </c>
      <c r="B115" s="237" t="s">
        <v>347</v>
      </c>
      <c r="C115" s="240">
        <v>39854375</v>
      </c>
      <c r="D115" s="240">
        <v>3249074</v>
      </c>
      <c r="E115" s="240">
        <v>11099441</v>
      </c>
      <c r="F115" s="240">
        <v>1399633</v>
      </c>
      <c r="G115" s="240">
        <v>573261</v>
      </c>
      <c r="H115" s="240">
        <v>294153</v>
      </c>
      <c r="K115" s="240">
        <v>459839</v>
      </c>
      <c r="L115" s="240">
        <v>10277120</v>
      </c>
      <c r="M115" s="240">
        <v>-60332</v>
      </c>
      <c r="N115" s="240">
        <v>10216788</v>
      </c>
    </row>
    <row r="116" spans="1:14" ht="13.8">
      <c r="A116" s="236">
        <v>32900</v>
      </c>
      <c r="B116" s="237" t="s">
        <v>348</v>
      </c>
      <c r="C116" s="240">
        <v>100962195</v>
      </c>
      <c r="D116" s="240">
        <v>8230807</v>
      </c>
      <c r="E116" s="240">
        <v>28117964</v>
      </c>
      <c r="F116" s="240">
        <v>3545659</v>
      </c>
      <c r="G116" s="240">
        <v>678350</v>
      </c>
      <c r="H116" s="240">
        <v>745172</v>
      </c>
      <c r="K116" s="240">
        <v>1707583</v>
      </c>
      <c r="L116" s="240">
        <v>26034799</v>
      </c>
      <c r="M116" s="240">
        <v>-1324886</v>
      </c>
      <c r="N116" s="240">
        <v>24709913</v>
      </c>
    </row>
    <row r="117" spans="1:14" ht="13.8">
      <c r="A117" s="236">
        <v>32901</v>
      </c>
      <c r="B117" s="238" t="s">
        <v>349</v>
      </c>
      <c r="C117" s="240">
        <v>1572168</v>
      </c>
      <c r="D117" s="240">
        <v>128169</v>
      </c>
      <c r="E117" s="240">
        <v>437849</v>
      </c>
      <c r="F117" s="240">
        <v>55212</v>
      </c>
      <c r="G117" s="240">
        <v>60014</v>
      </c>
      <c r="H117" s="240">
        <v>11604</v>
      </c>
      <c r="K117" s="240">
        <v>423742</v>
      </c>
      <c r="L117" s="240">
        <v>405410</v>
      </c>
      <c r="M117" s="240">
        <v>-132046</v>
      </c>
      <c r="N117" s="240">
        <v>273364</v>
      </c>
    </row>
    <row r="118" spans="1:14" ht="13.8">
      <c r="A118" s="193">
        <v>32904</v>
      </c>
      <c r="B118" s="194" t="s">
        <v>350</v>
      </c>
      <c r="C118" s="239">
        <v>1678869</v>
      </c>
      <c r="D118" s="239">
        <v>136868</v>
      </c>
      <c r="E118" s="239">
        <v>467565</v>
      </c>
      <c r="F118" s="239">
        <v>58960</v>
      </c>
      <c r="G118" s="239">
        <v>318820</v>
      </c>
      <c r="H118" s="239">
        <v>12391</v>
      </c>
      <c r="K118" s="239">
        <v>0</v>
      </c>
      <c r="L118" s="239">
        <v>432925</v>
      </c>
      <c r="M118" s="239">
        <v>197829</v>
      </c>
      <c r="N118" s="239">
        <v>630754</v>
      </c>
    </row>
    <row r="119" spans="1:14" ht="13.8">
      <c r="A119" s="193">
        <v>32905</v>
      </c>
      <c r="B119" s="194" t="s">
        <v>215</v>
      </c>
      <c r="C119" s="239">
        <v>14499624</v>
      </c>
      <c r="D119" s="239">
        <v>1182062</v>
      </c>
      <c r="E119" s="239">
        <v>4038144</v>
      </c>
      <c r="F119" s="239">
        <v>509208</v>
      </c>
      <c r="G119" s="239">
        <v>103567</v>
      </c>
      <c r="H119" s="239">
        <v>107017</v>
      </c>
      <c r="K119" s="239">
        <v>0</v>
      </c>
      <c r="L119" s="239">
        <v>3738972</v>
      </c>
      <c r="M119" s="239">
        <v>55086</v>
      </c>
      <c r="N119" s="239">
        <v>3794058</v>
      </c>
    </row>
    <row r="120" spans="1:14" ht="13.8">
      <c r="A120" s="193">
        <v>32910</v>
      </c>
      <c r="B120" s="194" t="s">
        <v>352</v>
      </c>
      <c r="C120" s="239">
        <v>19692946</v>
      </c>
      <c r="D120" s="239">
        <v>1605441</v>
      </c>
      <c r="E120" s="239">
        <v>5484484</v>
      </c>
      <c r="F120" s="239">
        <v>691590</v>
      </c>
      <c r="G120" s="239">
        <v>346506</v>
      </c>
      <c r="H120" s="239">
        <v>145348</v>
      </c>
      <c r="K120" s="239">
        <v>372446</v>
      </c>
      <c r="L120" s="239">
        <v>5078157</v>
      </c>
      <c r="M120" s="239">
        <v>-163818</v>
      </c>
      <c r="N120" s="239">
        <v>4914339</v>
      </c>
    </row>
    <row r="121" spans="1:14" ht="13.8">
      <c r="A121" s="193">
        <v>32915</v>
      </c>
      <c r="B121" s="194" t="s">
        <v>517</v>
      </c>
      <c r="C121" s="239">
        <v>2312404</v>
      </c>
      <c r="D121" s="239">
        <v>188516</v>
      </c>
      <c r="E121" s="239">
        <v>644004</v>
      </c>
      <c r="F121" s="239">
        <v>81209</v>
      </c>
      <c r="G121" s="239">
        <v>451791</v>
      </c>
      <c r="H121" s="239">
        <v>17067</v>
      </c>
      <c r="K121" s="239">
        <v>0</v>
      </c>
      <c r="L121" s="239">
        <v>596292</v>
      </c>
      <c r="M121" s="239">
        <v>287618</v>
      </c>
      <c r="N121" s="239">
        <v>883910</v>
      </c>
    </row>
    <row r="122" spans="1:14" ht="13.8">
      <c r="A122" s="193">
        <v>32920</v>
      </c>
      <c r="B122" s="194" t="s">
        <v>354</v>
      </c>
      <c r="C122" s="239">
        <v>15828381</v>
      </c>
      <c r="D122" s="239">
        <v>1290387</v>
      </c>
      <c r="E122" s="239">
        <v>4408203</v>
      </c>
      <c r="F122" s="239">
        <v>555872</v>
      </c>
      <c r="G122" s="239">
        <v>0</v>
      </c>
      <c r="H122" s="239">
        <v>116825</v>
      </c>
      <c r="K122" s="239">
        <v>556098</v>
      </c>
      <c r="L122" s="239">
        <v>4081614</v>
      </c>
      <c r="M122" s="239">
        <v>-349665</v>
      </c>
      <c r="N122" s="239">
        <v>3731949</v>
      </c>
    </row>
    <row r="123" spans="1:14" ht="13.8">
      <c r="A123" s="193">
        <v>33000</v>
      </c>
      <c r="B123" s="194" t="s">
        <v>355</v>
      </c>
      <c r="C123" s="239">
        <v>38568965</v>
      </c>
      <c r="D123" s="239">
        <v>3144283</v>
      </c>
      <c r="E123" s="239">
        <v>10741454</v>
      </c>
      <c r="F123" s="239">
        <v>1354491</v>
      </c>
      <c r="G123" s="239">
        <v>552487</v>
      </c>
      <c r="H123" s="239">
        <v>284666</v>
      </c>
      <c r="K123" s="239">
        <v>529657</v>
      </c>
      <c r="L123" s="239">
        <v>9945656</v>
      </c>
      <c r="M123" s="239">
        <v>-500459</v>
      </c>
      <c r="N123" s="239">
        <v>9445197</v>
      </c>
    </row>
    <row r="124" spans="1:14" ht="13.8">
      <c r="A124" s="236">
        <v>33001</v>
      </c>
      <c r="B124" s="238" t="s">
        <v>518</v>
      </c>
      <c r="C124" s="240">
        <v>616863</v>
      </c>
      <c r="D124" s="240">
        <v>50289</v>
      </c>
      <c r="E124" s="240">
        <v>171796</v>
      </c>
      <c r="F124" s="240">
        <v>21663</v>
      </c>
      <c r="G124" s="240">
        <v>4622</v>
      </c>
      <c r="H124" s="240">
        <v>4553</v>
      </c>
      <c r="K124" s="240">
        <v>109104</v>
      </c>
      <c r="L124" s="240">
        <v>159069</v>
      </c>
      <c r="M124" s="240">
        <v>-49822</v>
      </c>
      <c r="N124" s="240">
        <v>109247</v>
      </c>
    </row>
    <row r="125" spans="1:14" ht="13.8">
      <c r="A125" s="236">
        <v>33027</v>
      </c>
      <c r="B125" s="237" t="s">
        <v>357</v>
      </c>
      <c r="C125" s="240">
        <v>6395373</v>
      </c>
      <c r="D125" s="240">
        <v>521374</v>
      </c>
      <c r="E125" s="240">
        <v>1781111</v>
      </c>
      <c r="F125" s="240">
        <v>224597</v>
      </c>
      <c r="G125" s="240">
        <v>35585</v>
      </c>
      <c r="H125" s="240">
        <v>47202</v>
      </c>
      <c r="K125" s="240">
        <v>42001</v>
      </c>
      <c r="L125" s="240">
        <v>1649154</v>
      </c>
      <c r="M125" s="240">
        <v>24559</v>
      </c>
      <c r="N125" s="240">
        <v>1673713</v>
      </c>
    </row>
    <row r="126" spans="1:14" ht="13.8">
      <c r="A126" s="236">
        <v>33100</v>
      </c>
      <c r="B126" s="237" t="s">
        <v>358</v>
      </c>
      <c r="C126" s="240">
        <v>55225944</v>
      </c>
      <c r="D126" s="240">
        <v>4502221</v>
      </c>
      <c r="E126" s="240">
        <v>15380421</v>
      </c>
      <c r="F126" s="240">
        <v>1939462</v>
      </c>
      <c r="G126" s="240">
        <v>837163</v>
      </c>
      <c r="H126" s="240">
        <v>407606</v>
      </c>
      <c r="K126" s="240">
        <v>110273</v>
      </c>
      <c r="L126" s="240">
        <v>14240938</v>
      </c>
      <c r="M126" s="240">
        <v>10475</v>
      </c>
      <c r="N126" s="240">
        <v>14251413</v>
      </c>
    </row>
    <row r="127" spans="1:14" ht="13.8">
      <c r="A127" s="236">
        <v>33105</v>
      </c>
      <c r="B127" s="237" t="s">
        <v>225</v>
      </c>
      <c r="C127" s="240">
        <v>7277321</v>
      </c>
      <c r="D127" s="240">
        <v>593274</v>
      </c>
      <c r="E127" s="240">
        <v>2026733</v>
      </c>
      <c r="F127" s="240">
        <v>255570</v>
      </c>
      <c r="G127" s="240">
        <v>304261</v>
      </c>
      <c r="H127" s="240">
        <v>53712</v>
      </c>
      <c r="K127" s="240">
        <v>0</v>
      </c>
      <c r="L127" s="240">
        <v>1876579</v>
      </c>
      <c r="M127" s="240">
        <v>170656</v>
      </c>
      <c r="N127" s="240">
        <v>2047235</v>
      </c>
    </row>
    <row r="128" spans="1:14" ht="13.8">
      <c r="A128" s="236">
        <v>33200</v>
      </c>
      <c r="B128" s="237" t="s">
        <v>359</v>
      </c>
      <c r="C128" s="240">
        <v>263807456</v>
      </c>
      <c r="D128" s="240">
        <v>21506548</v>
      </c>
      <c r="E128" s="240">
        <v>73470356</v>
      </c>
      <c r="F128" s="240">
        <v>9264569</v>
      </c>
      <c r="G128" s="240">
        <v>0</v>
      </c>
      <c r="H128" s="240">
        <v>1947085</v>
      </c>
      <c r="K128" s="240">
        <v>5662740</v>
      </c>
      <c r="L128" s="240">
        <v>68027186</v>
      </c>
      <c r="M128" s="240">
        <v>-2966152</v>
      </c>
      <c r="N128" s="240">
        <v>65061034</v>
      </c>
    </row>
    <row r="129" spans="1:14" ht="13.8">
      <c r="A129" s="236">
        <v>33202</v>
      </c>
      <c r="B129" s="238" t="s">
        <v>519</v>
      </c>
      <c r="C129" s="240">
        <v>4759851</v>
      </c>
      <c r="D129" s="240">
        <v>388040</v>
      </c>
      <c r="E129" s="240">
        <v>1325618</v>
      </c>
      <c r="F129" s="240">
        <v>167160</v>
      </c>
      <c r="G129" s="240">
        <v>121367</v>
      </c>
      <c r="H129" s="240">
        <v>35131</v>
      </c>
      <c r="K129" s="240">
        <v>526106</v>
      </c>
      <c r="L129" s="240">
        <v>1227408</v>
      </c>
      <c r="M129" s="240">
        <v>-111803</v>
      </c>
      <c r="N129" s="240">
        <v>1115605</v>
      </c>
    </row>
    <row r="130" spans="1:14" ht="13.8">
      <c r="A130" s="193">
        <v>33203</v>
      </c>
      <c r="B130" s="194" t="s">
        <v>361</v>
      </c>
      <c r="C130" s="239">
        <v>4551451</v>
      </c>
      <c r="D130" s="239">
        <v>371051</v>
      </c>
      <c r="E130" s="239">
        <v>1267579</v>
      </c>
      <c r="F130" s="239">
        <v>159841</v>
      </c>
      <c r="G130" s="239">
        <v>329136</v>
      </c>
      <c r="H130" s="239">
        <v>33593</v>
      </c>
      <c r="K130" s="239">
        <v>0</v>
      </c>
      <c r="L130" s="239">
        <v>1173668</v>
      </c>
      <c r="M130" s="239">
        <v>159586</v>
      </c>
      <c r="N130" s="239">
        <v>1333254</v>
      </c>
    </row>
    <row r="131" spans="1:14" ht="13.8">
      <c r="A131" s="193">
        <v>33204</v>
      </c>
      <c r="B131" s="194" t="s">
        <v>362</v>
      </c>
      <c r="C131" s="239">
        <v>8280974</v>
      </c>
      <c r="D131" s="239">
        <v>675095</v>
      </c>
      <c r="E131" s="239">
        <v>2306251</v>
      </c>
      <c r="F131" s="239">
        <v>290817</v>
      </c>
      <c r="G131" s="239">
        <v>88785</v>
      </c>
      <c r="H131" s="239">
        <v>61119</v>
      </c>
      <c r="K131" s="239">
        <v>30658</v>
      </c>
      <c r="L131" s="239">
        <v>2135388</v>
      </c>
      <c r="M131" s="239">
        <v>-17045</v>
      </c>
      <c r="N131" s="239">
        <v>2118343</v>
      </c>
    </row>
    <row r="132" spans="1:14" ht="13.8">
      <c r="A132" s="193">
        <v>33205</v>
      </c>
      <c r="B132" s="194" t="s">
        <v>216</v>
      </c>
      <c r="C132" s="239">
        <v>22033693</v>
      </c>
      <c r="D132" s="239">
        <v>1796267</v>
      </c>
      <c r="E132" s="239">
        <v>6136382</v>
      </c>
      <c r="F132" s="239">
        <v>773794</v>
      </c>
      <c r="G132" s="239">
        <v>697587</v>
      </c>
      <c r="H132" s="239">
        <v>162624</v>
      </c>
      <c r="K132" s="239">
        <v>0</v>
      </c>
      <c r="L132" s="239">
        <v>5681758</v>
      </c>
      <c r="M132" s="239">
        <v>424066</v>
      </c>
      <c r="N132" s="239">
        <v>6105824</v>
      </c>
    </row>
    <row r="133" spans="1:14" ht="13.8">
      <c r="A133" s="193">
        <v>33206</v>
      </c>
      <c r="B133" s="194" t="s">
        <v>363</v>
      </c>
      <c r="C133" s="239">
        <v>2063991</v>
      </c>
      <c r="D133" s="239">
        <v>168264</v>
      </c>
      <c r="E133" s="239">
        <v>574821</v>
      </c>
      <c r="F133" s="239">
        <v>72485</v>
      </c>
      <c r="G133" s="239">
        <v>51784</v>
      </c>
      <c r="H133" s="239">
        <v>15234</v>
      </c>
      <c r="K133" s="239">
        <v>26924</v>
      </c>
      <c r="L133" s="239">
        <v>532235</v>
      </c>
      <c r="M133" s="239">
        <v>24427</v>
      </c>
      <c r="N133" s="239">
        <v>556662</v>
      </c>
    </row>
    <row r="134" spans="1:14" ht="13.8">
      <c r="A134" s="193">
        <v>33207</v>
      </c>
      <c r="B134" s="194" t="s">
        <v>364</v>
      </c>
      <c r="C134" s="239">
        <v>9479690</v>
      </c>
      <c r="D134" s="239">
        <v>772819</v>
      </c>
      <c r="E134" s="239">
        <v>2640093</v>
      </c>
      <c r="F134" s="239">
        <v>332914</v>
      </c>
      <c r="G134" s="239">
        <v>60655</v>
      </c>
      <c r="H134" s="239">
        <v>69967</v>
      </c>
      <c r="K134" s="239">
        <v>380381</v>
      </c>
      <c r="L134" s="239">
        <v>2444497</v>
      </c>
      <c r="M134" s="239">
        <v>-543</v>
      </c>
      <c r="N134" s="239">
        <v>2443954</v>
      </c>
    </row>
    <row r="135" spans="1:14" ht="13.8">
      <c r="A135" s="193">
        <v>33209</v>
      </c>
      <c r="B135" s="194" t="s">
        <v>520</v>
      </c>
      <c r="C135" s="239">
        <v>0</v>
      </c>
      <c r="D135" s="239">
        <v>0</v>
      </c>
      <c r="E135" s="239">
        <v>0</v>
      </c>
      <c r="F135" s="239">
        <v>0</v>
      </c>
      <c r="G135" s="239">
        <v>0</v>
      </c>
      <c r="H135" s="239">
        <v>0</v>
      </c>
      <c r="K135" s="239">
        <v>0</v>
      </c>
      <c r="L135" s="239">
        <v>0</v>
      </c>
      <c r="M135" s="239">
        <v>-217498</v>
      </c>
      <c r="N135" s="239">
        <v>-217498</v>
      </c>
    </row>
    <row r="136" spans="1:14" ht="13.8">
      <c r="A136" s="236">
        <v>33300</v>
      </c>
      <c r="B136" s="237" t="s">
        <v>365</v>
      </c>
      <c r="C136" s="240">
        <v>37473616</v>
      </c>
      <c r="D136" s="240">
        <v>3054986</v>
      </c>
      <c r="E136" s="240">
        <v>10436399</v>
      </c>
      <c r="F136" s="240">
        <v>1316024</v>
      </c>
      <c r="G136" s="240">
        <v>506072</v>
      </c>
      <c r="H136" s="240">
        <v>276582</v>
      </c>
      <c r="K136" s="240">
        <v>527744</v>
      </c>
      <c r="L136" s="240">
        <v>9663202</v>
      </c>
      <c r="M136" s="240">
        <v>-205100</v>
      </c>
      <c r="N136" s="240">
        <v>9458102</v>
      </c>
    </row>
    <row r="137" spans="1:14" ht="13.8">
      <c r="A137" s="236">
        <v>33305</v>
      </c>
      <c r="B137" s="237" t="s">
        <v>217</v>
      </c>
      <c r="C137" s="240">
        <v>7770811</v>
      </c>
      <c r="D137" s="240">
        <v>633505</v>
      </c>
      <c r="E137" s="240">
        <v>2164170</v>
      </c>
      <c r="F137" s="240">
        <v>272901</v>
      </c>
      <c r="G137" s="240">
        <v>319850</v>
      </c>
      <c r="H137" s="240">
        <v>57354</v>
      </c>
      <c r="K137" s="240">
        <v>55586</v>
      </c>
      <c r="L137" s="240">
        <v>2003834</v>
      </c>
      <c r="M137" s="240">
        <v>-21703</v>
      </c>
      <c r="N137" s="240">
        <v>1982131</v>
      </c>
    </row>
    <row r="138" spans="1:14" ht="13.8">
      <c r="A138" s="236">
        <v>33400</v>
      </c>
      <c r="B138" s="237" t="s">
        <v>366</v>
      </c>
      <c r="C138" s="240">
        <v>357073863</v>
      </c>
      <c r="D138" s="240">
        <v>29109967</v>
      </c>
      <c r="E138" s="240">
        <v>99445044</v>
      </c>
      <c r="F138" s="240">
        <v>12539962</v>
      </c>
      <c r="G138" s="240">
        <v>6021065</v>
      </c>
      <c r="H138" s="240">
        <v>2635457</v>
      </c>
      <c r="K138" s="240">
        <v>912228</v>
      </c>
      <c r="L138" s="240">
        <v>92077496</v>
      </c>
      <c r="M138" s="240">
        <v>1208198</v>
      </c>
      <c r="N138" s="240">
        <v>93285694</v>
      </c>
    </row>
    <row r="139" spans="1:14" ht="13.8">
      <c r="A139" s="236">
        <v>33402</v>
      </c>
      <c r="B139" s="237" t="s">
        <v>367</v>
      </c>
      <c r="C139" s="240">
        <v>3397750</v>
      </c>
      <c r="D139" s="240">
        <v>276997</v>
      </c>
      <c r="E139" s="240">
        <v>946273</v>
      </c>
      <c r="F139" s="240">
        <v>119324</v>
      </c>
      <c r="G139" s="240">
        <v>11018</v>
      </c>
      <c r="H139" s="240">
        <v>25078</v>
      </c>
      <c r="K139" s="240">
        <v>27900</v>
      </c>
      <c r="L139" s="240">
        <v>876167</v>
      </c>
      <c r="M139" s="240">
        <v>-6597</v>
      </c>
      <c r="N139" s="240">
        <v>869570</v>
      </c>
    </row>
    <row r="140" spans="1:14" ht="13.8">
      <c r="A140" s="236">
        <v>33405</v>
      </c>
      <c r="B140" s="237" t="s">
        <v>219</v>
      </c>
      <c r="C140" s="240">
        <v>31244963</v>
      </c>
      <c r="D140" s="240">
        <v>2547204</v>
      </c>
      <c r="E140" s="240">
        <v>8701720</v>
      </c>
      <c r="F140" s="240">
        <v>1097282</v>
      </c>
      <c r="G140" s="240">
        <v>417026</v>
      </c>
      <c r="H140" s="240">
        <v>230610</v>
      </c>
      <c r="K140" s="240">
        <v>172644</v>
      </c>
      <c r="L140" s="240">
        <v>8057039</v>
      </c>
      <c r="M140" s="240">
        <v>231442</v>
      </c>
      <c r="N140" s="240">
        <v>8288481</v>
      </c>
    </row>
    <row r="141" spans="1:14" ht="13.8">
      <c r="A141" s="236">
        <v>33500</v>
      </c>
      <c r="B141" s="237" t="s">
        <v>369</v>
      </c>
      <c r="C141" s="240">
        <v>51741499</v>
      </c>
      <c r="D141" s="240">
        <v>4218156</v>
      </c>
      <c r="E141" s="240">
        <v>14410004</v>
      </c>
      <c r="F141" s="240">
        <v>1817093</v>
      </c>
      <c r="G141" s="240">
        <v>377087</v>
      </c>
      <c r="H141" s="240">
        <v>381889</v>
      </c>
      <c r="K141" s="240">
        <v>363744</v>
      </c>
      <c r="L141" s="240">
        <v>13342415</v>
      </c>
      <c r="M141" s="240">
        <v>-263306</v>
      </c>
      <c r="N141" s="240">
        <v>13079109</v>
      </c>
    </row>
    <row r="142" spans="1:14" ht="13.8">
      <c r="A142" s="193">
        <v>33501</v>
      </c>
      <c r="B142" s="194" t="s">
        <v>370</v>
      </c>
      <c r="C142" s="239">
        <v>2185697</v>
      </c>
      <c r="D142" s="239">
        <v>178186</v>
      </c>
      <c r="E142" s="239">
        <v>608716</v>
      </c>
      <c r="F142" s="239">
        <v>76759</v>
      </c>
      <c r="G142" s="239">
        <v>161094</v>
      </c>
      <c r="H142" s="239">
        <v>16132</v>
      </c>
      <c r="K142" s="239">
        <v>0</v>
      </c>
      <c r="L142" s="239">
        <v>563619</v>
      </c>
      <c r="M142" s="239">
        <v>107012</v>
      </c>
      <c r="N142" s="239">
        <v>670631</v>
      </c>
    </row>
    <row r="143" spans="1:14" ht="13.8">
      <c r="A143" s="193">
        <v>33600</v>
      </c>
      <c r="B143" s="194" t="s">
        <v>371</v>
      </c>
      <c r="C143" s="239">
        <v>172064868</v>
      </c>
      <c r="D143" s="239">
        <v>14027357</v>
      </c>
      <c r="E143" s="239">
        <v>47920053</v>
      </c>
      <c r="F143" s="239">
        <v>6042691</v>
      </c>
      <c r="G143" s="239">
        <v>0</v>
      </c>
      <c r="H143" s="239">
        <v>1269960</v>
      </c>
      <c r="K143" s="239">
        <v>8488314</v>
      </c>
      <c r="L143" s="239">
        <v>44369818</v>
      </c>
      <c r="M143" s="239">
        <v>-4444607</v>
      </c>
      <c r="N143" s="239">
        <v>39925211</v>
      </c>
    </row>
    <row r="144" spans="1:14" ht="13.8">
      <c r="A144" s="193">
        <v>33605</v>
      </c>
      <c r="B144" s="194" t="s">
        <v>220</v>
      </c>
      <c r="C144" s="239">
        <v>21810288</v>
      </c>
      <c r="D144" s="239">
        <v>1778054</v>
      </c>
      <c r="E144" s="239">
        <v>6074164</v>
      </c>
      <c r="F144" s="239">
        <v>765948</v>
      </c>
      <c r="G144" s="239">
        <v>1127820</v>
      </c>
      <c r="H144" s="239">
        <v>160975</v>
      </c>
      <c r="K144" s="239">
        <v>0</v>
      </c>
      <c r="L144" s="239">
        <v>5624149</v>
      </c>
      <c r="M144" s="239">
        <v>449585</v>
      </c>
      <c r="N144" s="239">
        <v>6073734</v>
      </c>
    </row>
    <row r="145" spans="1:14" ht="13.8">
      <c r="A145" s="193">
        <v>33700</v>
      </c>
      <c r="B145" s="194" t="s">
        <v>372</v>
      </c>
      <c r="C145" s="239">
        <v>12789078</v>
      </c>
      <c r="D145" s="239">
        <v>1042612</v>
      </c>
      <c r="E145" s="239">
        <v>3561757</v>
      </c>
      <c r="F145" s="239">
        <v>449136</v>
      </c>
      <c r="G145" s="239">
        <v>243459</v>
      </c>
      <c r="H145" s="239">
        <v>94392</v>
      </c>
      <c r="K145" s="239">
        <v>190063</v>
      </c>
      <c r="L145" s="239">
        <v>3297879</v>
      </c>
      <c r="M145" s="239">
        <v>44174</v>
      </c>
      <c r="N145" s="239">
        <v>3342053</v>
      </c>
    </row>
    <row r="146" spans="1:14" ht="13.8">
      <c r="A146" s="193">
        <v>33800</v>
      </c>
      <c r="B146" s="194" t="s">
        <v>373</v>
      </c>
      <c r="C146" s="239">
        <v>10079881</v>
      </c>
      <c r="D146" s="239">
        <v>821749</v>
      </c>
      <c r="E146" s="239">
        <v>2807246</v>
      </c>
      <c r="F146" s="239">
        <v>353992</v>
      </c>
      <c r="G146" s="239">
        <v>516706</v>
      </c>
      <c r="H146" s="239">
        <v>74397</v>
      </c>
      <c r="K146" s="239">
        <v>81713</v>
      </c>
      <c r="L146" s="239">
        <v>2599267</v>
      </c>
      <c r="M146" s="239">
        <v>166826</v>
      </c>
      <c r="N146" s="239">
        <v>2766093</v>
      </c>
    </row>
    <row r="147" spans="1:14" ht="13.8">
      <c r="A147" s="193">
        <v>33900</v>
      </c>
      <c r="B147" s="194" t="s">
        <v>573</v>
      </c>
      <c r="C147" s="239">
        <v>39714331</v>
      </c>
      <c r="D147" s="239">
        <v>3237657</v>
      </c>
      <c r="E147" s="239">
        <v>11060438</v>
      </c>
      <c r="F147" s="239">
        <v>1394715</v>
      </c>
      <c r="G147" s="239">
        <v>0</v>
      </c>
      <c r="H147" s="239">
        <v>293120</v>
      </c>
      <c r="K147" s="239">
        <v>602120</v>
      </c>
      <c r="L147" s="239">
        <v>10241008</v>
      </c>
      <c r="M147" s="239">
        <v>-682888</v>
      </c>
      <c r="N147" s="239">
        <v>9558120</v>
      </c>
    </row>
    <row r="148" spans="1:14" ht="13.8">
      <c r="A148" s="236">
        <v>34000</v>
      </c>
      <c r="B148" s="237" t="s">
        <v>375</v>
      </c>
      <c r="C148" s="240">
        <v>22283772</v>
      </c>
      <c r="D148" s="240">
        <v>1816655</v>
      </c>
      <c r="E148" s="240">
        <v>6206029</v>
      </c>
      <c r="F148" s="240">
        <v>782577</v>
      </c>
      <c r="G148" s="240">
        <v>917969</v>
      </c>
      <c r="H148" s="240">
        <v>164470</v>
      </c>
      <c r="K148" s="240">
        <v>99623</v>
      </c>
      <c r="L148" s="240">
        <v>5746245</v>
      </c>
      <c r="M148" s="240">
        <v>187713</v>
      </c>
      <c r="N148" s="240">
        <v>5933958</v>
      </c>
    </row>
    <row r="149" spans="1:14" ht="13.8">
      <c r="A149" s="236">
        <v>34100</v>
      </c>
      <c r="B149" s="237" t="s">
        <v>376</v>
      </c>
      <c r="C149" s="240">
        <v>468341010</v>
      </c>
      <c r="D149" s="240">
        <v>38180871</v>
      </c>
      <c r="E149" s="240">
        <v>130432936</v>
      </c>
      <c r="F149" s="240">
        <v>16447517</v>
      </c>
      <c r="G149" s="240">
        <v>0</v>
      </c>
      <c r="H149" s="240">
        <v>3456687</v>
      </c>
      <c r="K149" s="240">
        <v>6196025</v>
      </c>
      <c r="L149" s="240">
        <v>120769600</v>
      </c>
      <c r="M149" s="240">
        <v>-5747035</v>
      </c>
      <c r="N149" s="240">
        <v>115022565</v>
      </c>
    </row>
    <row r="150" spans="1:14" ht="13.8">
      <c r="A150" s="236">
        <v>34105</v>
      </c>
      <c r="B150" s="237" t="s">
        <v>221</v>
      </c>
      <c r="C150" s="240">
        <v>36259896</v>
      </c>
      <c r="D150" s="240">
        <v>2956039</v>
      </c>
      <c r="E150" s="240">
        <v>10098378</v>
      </c>
      <c r="F150" s="240">
        <v>1273400</v>
      </c>
      <c r="G150" s="240">
        <v>1045937</v>
      </c>
      <c r="H150" s="240">
        <v>267624</v>
      </c>
      <c r="K150" s="240">
        <v>130399</v>
      </c>
      <c r="L150" s="240">
        <v>9350224</v>
      </c>
      <c r="M150" s="240">
        <v>379575</v>
      </c>
      <c r="N150" s="240">
        <v>9729799</v>
      </c>
    </row>
    <row r="151" spans="1:14" ht="13.8">
      <c r="A151" s="236">
        <v>34200</v>
      </c>
      <c r="B151" s="237" t="s">
        <v>377</v>
      </c>
      <c r="C151" s="240">
        <v>13816072</v>
      </c>
      <c r="D151" s="240">
        <v>1126337</v>
      </c>
      <c r="E151" s="240">
        <v>3847775</v>
      </c>
      <c r="F151" s="240">
        <v>485202</v>
      </c>
      <c r="G151" s="240">
        <v>420025</v>
      </c>
      <c r="H151" s="240">
        <v>101972</v>
      </c>
      <c r="K151" s="240">
        <v>516963</v>
      </c>
      <c r="L151" s="240">
        <v>3562706</v>
      </c>
      <c r="M151" s="240">
        <v>-266680</v>
      </c>
      <c r="N151" s="240">
        <v>3296026</v>
      </c>
    </row>
    <row r="152" spans="1:14" ht="13.8">
      <c r="A152" s="236">
        <v>34205</v>
      </c>
      <c r="B152" s="237" t="s">
        <v>222</v>
      </c>
      <c r="C152" s="240">
        <v>5815188</v>
      </c>
      <c r="D152" s="240">
        <v>474075</v>
      </c>
      <c r="E152" s="240">
        <v>1619529</v>
      </c>
      <c r="F152" s="240">
        <v>204222</v>
      </c>
      <c r="G152" s="240">
        <v>93751</v>
      </c>
      <c r="H152" s="240">
        <v>42920</v>
      </c>
      <c r="K152" s="240">
        <v>223378</v>
      </c>
      <c r="L152" s="240">
        <v>1499544</v>
      </c>
      <c r="M152" s="240">
        <v>-40956</v>
      </c>
      <c r="N152" s="240">
        <v>1458588</v>
      </c>
    </row>
    <row r="153" spans="1:14" ht="13.8">
      <c r="A153" s="236">
        <v>34220</v>
      </c>
      <c r="B153" s="237" t="s">
        <v>378</v>
      </c>
      <c r="C153" s="240">
        <v>17042101</v>
      </c>
      <c r="D153" s="240">
        <v>1389334</v>
      </c>
      <c r="E153" s="240">
        <v>4746224</v>
      </c>
      <c r="F153" s="240">
        <v>598496</v>
      </c>
      <c r="G153" s="240">
        <v>152170</v>
      </c>
      <c r="H153" s="240">
        <v>125783</v>
      </c>
      <c r="K153" s="240">
        <v>155732</v>
      </c>
      <c r="L153" s="240">
        <v>4394592</v>
      </c>
      <c r="M153" s="240">
        <v>-115406</v>
      </c>
      <c r="N153" s="240">
        <v>4279186</v>
      </c>
    </row>
    <row r="154" spans="1:14" ht="13.8">
      <c r="A154" s="193">
        <v>34230</v>
      </c>
      <c r="B154" s="194" t="s">
        <v>379</v>
      </c>
      <c r="C154" s="239">
        <v>6230320</v>
      </c>
      <c r="D154" s="239">
        <v>507918</v>
      </c>
      <c r="E154" s="239">
        <v>1735144</v>
      </c>
      <c r="F154" s="239">
        <v>218801</v>
      </c>
      <c r="G154" s="239">
        <v>507918</v>
      </c>
      <c r="H154" s="239">
        <v>45984</v>
      </c>
      <c r="K154" s="239">
        <v>66846</v>
      </c>
      <c r="L154" s="239">
        <v>1606593</v>
      </c>
      <c r="M154" s="239">
        <v>106877</v>
      </c>
      <c r="N154" s="239">
        <v>1713470</v>
      </c>
    </row>
    <row r="155" spans="1:14" ht="13.8">
      <c r="A155" s="193">
        <v>34300</v>
      </c>
      <c r="B155" s="194" t="s">
        <v>380</v>
      </c>
      <c r="C155" s="239">
        <v>109893376</v>
      </c>
      <c r="D155" s="239">
        <v>8958910</v>
      </c>
      <c r="E155" s="239">
        <v>30605297</v>
      </c>
      <c r="F155" s="239">
        <v>3859310</v>
      </c>
      <c r="G155" s="239">
        <v>143440</v>
      </c>
      <c r="H155" s="239">
        <v>811091</v>
      </c>
      <c r="K155" s="239">
        <v>2996364</v>
      </c>
      <c r="L155" s="239">
        <v>28337854</v>
      </c>
      <c r="M155" s="239">
        <v>-2045715</v>
      </c>
      <c r="N155" s="239">
        <v>26292139</v>
      </c>
    </row>
    <row r="156" spans="1:14" ht="13.8">
      <c r="A156" s="193">
        <v>34400</v>
      </c>
      <c r="B156" s="194" t="s">
        <v>381</v>
      </c>
      <c r="C156" s="239">
        <v>45494507</v>
      </c>
      <c r="D156" s="239">
        <v>3708879</v>
      </c>
      <c r="E156" s="239">
        <v>12670217</v>
      </c>
      <c r="F156" s="239">
        <v>1597707</v>
      </c>
      <c r="G156" s="239">
        <v>105843</v>
      </c>
      <c r="H156" s="239">
        <v>335782</v>
      </c>
      <c r="K156" s="239">
        <v>1070411</v>
      </c>
      <c r="L156" s="239">
        <v>11731523</v>
      </c>
      <c r="M156" s="239">
        <v>-441112</v>
      </c>
      <c r="N156" s="239">
        <v>11290411</v>
      </c>
    </row>
    <row r="157" spans="1:14" ht="13.8">
      <c r="A157" s="193">
        <v>34405</v>
      </c>
      <c r="B157" s="194" t="s">
        <v>223</v>
      </c>
      <c r="C157" s="239">
        <v>8379339</v>
      </c>
      <c r="D157" s="239">
        <v>683114</v>
      </c>
      <c r="E157" s="239">
        <v>2333645</v>
      </c>
      <c r="F157" s="239">
        <v>294271</v>
      </c>
      <c r="G157" s="239">
        <v>36722</v>
      </c>
      <c r="H157" s="239">
        <v>61845</v>
      </c>
      <c r="K157" s="239">
        <v>164004</v>
      </c>
      <c r="L157" s="239">
        <v>2160753</v>
      </c>
      <c r="M157" s="239">
        <v>-167677</v>
      </c>
      <c r="N157" s="239">
        <v>1993076</v>
      </c>
    </row>
    <row r="158" spans="1:14" ht="13.8">
      <c r="A158" s="193">
        <v>34500</v>
      </c>
      <c r="B158" s="194" t="s">
        <v>382</v>
      </c>
      <c r="C158" s="239">
        <v>88416527</v>
      </c>
      <c r="D158" s="239">
        <v>7208039</v>
      </c>
      <c r="E158" s="239">
        <v>24623996</v>
      </c>
      <c r="F158" s="239">
        <v>3105072</v>
      </c>
      <c r="G158" s="239">
        <v>886081</v>
      </c>
      <c r="H158" s="239">
        <v>652576</v>
      </c>
      <c r="K158" s="239">
        <v>494957</v>
      </c>
      <c r="L158" s="239">
        <v>22799687</v>
      </c>
      <c r="M158" s="239">
        <v>-244554</v>
      </c>
      <c r="N158" s="239">
        <v>22555133</v>
      </c>
    </row>
    <row r="159" spans="1:14" ht="13.8">
      <c r="A159" s="193">
        <v>34501</v>
      </c>
      <c r="B159" s="194" t="s">
        <v>383</v>
      </c>
      <c r="C159" s="239">
        <v>1247064</v>
      </c>
      <c r="D159" s="239">
        <v>101665</v>
      </c>
      <c r="E159" s="239">
        <v>347307</v>
      </c>
      <c r="F159" s="239">
        <v>43795</v>
      </c>
      <c r="G159" s="239">
        <v>25160</v>
      </c>
      <c r="H159" s="239">
        <v>9204</v>
      </c>
      <c r="K159" s="239">
        <v>22703</v>
      </c>
      <c r="L159" s="239">
        <v>321576</v>
      </c>
      <c r="M159" s="239">
        <v>-11406</v>
      </c>
      <c r="N159" s="239">
        <v>310170</v>
      </c>
    </row>
    <row r="160" spans="1:14" ht="13.8">
      <c r="A160" s="193">
        <v>34505</v>
      </c>
      <c r="B160" s="194" t="s">
        <v>203</v>
      </c>
      <c r="C160" s="239">
        <v>12882441</v>
      </c>
      <c r="D160" s="239">
        <v>1050224</v>
      </c>
      <c r="E160" s="239">
        <v>3587759</v>
      </c>
      <c r="F160" s="239">
        <v>452414</v>
      </c>
      <c r="G160" s="239">
        <v>534112</v>
      </c>
      <c r="H160" s="239">
        <v>95082</v>
      </c>
      <c r="K160" s="239">
        <v>80096</v>
      </c>
      <c r="L160" s="239">
        <v>3321954</v>
      </c>
      <c r="M160" s="239">
        <v>226180</v>
      </c>
      <c r="N160" s="239">
        <v>3548134</v>
      </c>
    </row>
    <row r="161" spans="1:14" ht="13.8">
      <c r="A161" s="193">
        <v>34600</v>
      </c>
      <c r="B161" s="194" t="s">
        <v>384</v>
      </c>
      <c r="C161" s="239">
        <v>16021776</v>
      </c>
      <c r="D161" s="239">
        <v>1306154</v>
      </c>
      <c r="E161" s="239">
        <v>4462063</v>
      </c>
      <c r="F161" s="239">
        <v>562664</v>
      </c>
      <c r="G161" s="239">
        <v>187505</v>
      </c>
      <c r="H161" s="239">
        <v>118252</v>
      </c>
      <c r="K161" s="239">
        <v>491481</v>
      </c>
      <c r="L161" s="239">
        <v>4131484</v>
      </c>
      <c r="M161" s="239">
        <v>-236775</v>
      </c>
      <c r="N161" s="239">
        <v>3894709</v>
      </c>
    </row>
    <row r="162" spans="1:14" ht="13.8">
      <c r="A162" s="193">
        <v>34605</v>
      </c>
      <c r="B162" s="194" t="s">
        <v>239</v>
      </c>
      <c r="C162" s="239">
        <v>3247702</v>
      </c>
      <c r="D162" s="239">
        <v>264765</v>
      </c>
      <c r="E162" s="239">
        <v>904485</v>
      </c>
      <c r="F162" s="239">
        <v>114055</v>
      </c>
      <c r="G162" s="239">
        <v>190075</v>
      </c>
      <c r="H162" s="239">
        <v>23970</v>
      </c>
      <c r="K162" s="239">
        <v>24291</v>
      </c>
      <c r="L162" s="239">
        <v>837475</v>
      </c>
      <c r="M162" s="239">
        <v>12934</v>
      </c>
      <c r="N162" s="239">
        <v>850409</v>
      </c>
    </row>
    <row r="163" spans="1:14" ht="13.8">
      <c r="A163" s="193">
        <v>34700</v>
      </c>
      <c r="B163" s="194" t="s">
        <v>385</v>
      </c>
      <c r="C163" s="239">
        <v>57513340</v>
      </c>
      <c r="D163" s="239">
        <v>4688698</v>
      </c>
      <c r="E163" s="239">
        <v>16017461</v>
      </c>
      <c r="F163" s="239">
        <v>2019792</v>
      </c>
      <c r="G163" s="239">
        <v>574440</v>
      </c>
      <c r="H163" s="239">
        <v>424489</v>
      </c>
      <c r="K163" s="239">
        <v>1879935</v>
      </c>
      <c r="L163" s="239">
        <v>14830781</v>
      </c>
      <c r="M163" s="239">
        <v>-688960</v>
      </c>
      <c r="N163" s="239">
        <v>14141821</v>
      </c>
    </row>
    <row r="164" spans="1:14" ht="13.8">
      <c r="A164" s="193">
        <v>34800</v>
      </c>
      <c r="B164" s="194" t="s">
        <v>386</v>
      </c>
      <c r="C164" s="239">
        <v>5818522</v>
      </c>
      <c r="D164" s="239">
        <v>474347</v>
      </c>
      <c r="E164" s="239">
        <v>1620458</v>
      </c>
      <c r="F164" s="239">
        <v>204339</v>
      </c>
      <c r="G164" s="239">
        <v>185128</v>
      </c>
      <c r="H164" s="239">
        <v>42945</v>
      </c>
      <c r="K164" s="239">
        <v>20154</v>
      </c>
      <c r="L164" s="239">
        <v>1500404</v>
      </c>
      <c r="M164" s="239">
        <v>48089</v>
      </c>
      <c r="N164" s="239">
        <v>1548493</v>
      </c>
    </row>
    <row r="165" spans="1:14" ht="13.8">
      <c r="A165" s="193">
        <v>34900</v>
      </c>
      <c r="B165" s="194" t="s">
        <v>387</v>
      </c>
      <c r="C165" s="239">
        <v>122637440</v>
      </c>
      <c r="D165" s="239">
        <v>9997852</v>
      </c>
      <c r="E165" s="239">
        <v>34154518</v>
      </c>
      <c r="F165" s="239">
        <v>4306865</v>
      </c>
      <c r="G165" s="239">
        <v>546090</v>
      </c>
      <c r="H165" s="239">
        <v>905151</v>
      </c>
      <c r="K165" s="239">
        <v>136124</v>
      </c>
      <c r="L165" s="239">
        <v>31624125</v>
      </c>
      <c r="M165" s="239">
        <v>-3997</v>
      </c>
      <c r="N165" s="239">
        <v>31620128</v>
      </c>
    </row>
    <row r="166" spans="1:14" ht="13.8">
      <c r="A166" s="236">
        <v>34901</v>
      </c>
      <c r="B166" s="238" t="s">
        <v>521</v>
      </c>
      <c r="C166" s="240">
        <v>3484444</v>
      </c>
      <c r="D166" s="240">
        <v>284065</v>
      </c>
      <c r="E166" s="240">
        <v>970418</v>
      </c>
      <c r="F166" s="240">
        <v>122369</v>
      </c>
      <c r="G166" s="240">
        <v>57280</v>
      </c>
      <c r="H166" s="240">
        <v>25718</v>
      </c>
      <c r="K166" s="240">
        <v>128766</v>
      </c>
      <c r="L166" s="240">
        <v>898523</v>
      </c>
      <c r="M166" s="240">
        <v>-15035</v>
      </c>
      <c r="N166" s="240">
        <v>883488</v>
      </c>
    </row>
    <row r="167" spans="1:14" ht="13.8">
      <c r="A167" s="236">
        <v>34903</v>
      </c>
      <c r="B167" s="237" t="s">
        <v>389</v>
      </c>
      <c r="C167" s="240">
        <v>345110</v>
      </c>
      <c r="D167" s="240">
        <v>28135</v>
      </c>
      <c r="E167" s="240">
        <v>96113</v>
      </c>
      <c r="F167" s="240">
        <v>12120</v>
      </c>
      <c r="G167" s="240">
        <v>81420</v>
      </c>
      <c r="H167" s="240">
        <v>2547</v>
      </c>
      <c r="K167" s="240">
        <v>0</v>
      </c>
      <c r="L167" s="240">
        <v>88992</v>
      </c>
      <c r="M167" s="240">
        <v>44284</v>
      </c>
      <c r="N167" s="240">
        <v>133276</v>
      </c>
    </row>
    <row r="168" spans="1:14" ht="13.8">
      <c r="A168" s="236">
        <v>34905</v>
      </c>
      <c r="B168" s="237" t="s">
        <v>231</v>
      </c>
      <c r="C168" s="240">
        <v>10918482</v>
      </c>
      <c r="D168" s="240">
        <v>890115</v>
      </c>
      <c r="E168" s="240">
        <v>3040796</v>
      </c>
      <c r="F168" s="240">
        <v>383443</v>
      </c>
      <c r="G168" s="240">
        <v>177123</v>
      </c>
      <c r="H168" s="240">
        <v>80586</v>
      </c>
      <c r="K168" s="240">
        <v>166162</v>
      </c>
      <c r="L168" s="240">
        <v>2815514</v>
      </c>
      <c r="M168" s="240">
        <v>-25597</v>
      </c>
      <c r="N168" s="240">
        <v>2789917</v>
      </c>
    </row>
    <row r="169" spans="1:14" ht="13.8">
      <c r="A169" s="236">
        <v>34910</v>
      </c>
      <c r="B169" s="237" t="s">
        <v>390</v>
      </c>
      <c r="C169" s="240">
        <v>36633348</v>
      </c>
      <c r="D169" s="240">
        <v>2986484</v>
      </c>
      <c r="E169" s="240">
        <v>10202385</v>
      </c>
      <c r="F169" s="240">
        <v>1286515</v>
      </c>
      <c r="G169" s="240">
        <v>0</v>
      </c>
      <c r="H169" s="240">
        <v>270380</v>
      </c>
      <c r="K169" s="240">
        <v>968748</v>
      </c>
      <c r="L169" s="240">
        <v>9446524</v>
      </c>
      <c r="M169" s="240">
        <v>-471703</v>
      </c>
      <c r="N169" s="240">
        <v>8974821</v>
      </c>
    </row>
    <row r="170" spans="1:14" ht="13.8">
      <c r="A170" s="236">
        <v>35000</v>
      </c>
      <c r="B170" s="237" t="s">
        <v>391</v>
      </c>
      <c r="C170" s="240">
        <v>27193671</v>
      </c>
      <c r="D170" s="240">
        <v>2216928</v>
      </c>
      <c r="E170" s="240">
        <v>7573435</v>
      </c>
      <c r="F170" s="240">
        <v>955006</v>
      </c>
      <c r="G170" s="240">
        <v>393564</v>
      </c>
      <c r="H170" s="240">
        <v>200708</v>
      </c>
      <c r="K170" s="240">
        <v>54604</v>
      </c>
      <c r="L170" s="240">
        <v>7012345</v>
      </c>
      <c r="M170" s="240">
        <v>34083</v>
      </c>
      <c r="N170" s="240">
        <v>7046428</v>
      </c>
    </row>
    <row r="171" spans="1:14" ht="13.8">
      <c r="A171" s="236">
        <v>35005</v>
      </c>
      <c r="B171" s="237" t="s">
        <v>247</v>
      </c>
      <c r="C171" s="240">
        <v>9898156</v>
      </c>
      <c r="D171" s="240">
        <v>806934</v>
      </c>
      <c r="E171" s="240">
        <v>2756636</v>
      </c>
      <c r="F171" s="240">
        <v>347610</v>
      </c>
      <c r="G171" s="240">
        <v>10491</v>
      </c>
      <c r="H171" s="240">
        <v>73055</v>
      </c>
      <c r="K171" s="240">
        <v>144449</v>
      </c>
      <c r="L171" s="240">
        <v>2552406</v>
      </c>
      <c r="M171" s="240">
        <v>-134957</v>
      </c>
      <c r="N171" s="240">
        <v>2417449</v>
      </c>
    </row>
    <row r="172" spans="1:14" ht="13.8">
      <c r="A172" s="193">
        <v>35100</v>
      </c>
      <c r="B172" s="194" t="s">
        <v>392</v>
      </c>
      <c r="C172" s="239">
        <v>223402905</v>
      </c>
      <c r="D172" s="239">
        <v>18212621</v>
      </c>
      <c r="E172" s="239">
        <v>62217692</v>
      </c>
      <c r="F172" s="239">
        <v>7845615</v>
      </c>
      <c r="G172" s="239">
        <v>861919</v>
      </c>
      <c r="H172" s="239">
        <v>1648871</v>
      </c>
      <c r="K172" s="239">
        <v>4962897</v>
      </c>
      <c r="L172" s="239">
        <v>57608193</v>
      </c>
      <c r="M172" s="239">
        <v>-2864349</v>
      </c>
      <c r="N172" s="239">
        <v>54743844</v>
      </c>
    </row>
    <row r="173" spans="1:14" ht="13.8">
      <c r="A173" s="193">
        <v>35105</v>
      </c>
      <c r="B173" s="194" t="s">
        <v>226</v>
      </c>
      <c r="C173" s="239">
        <v>18089102</v>
      </c>
      <c r="D173" s="239">
        <v>1474690</v>
      </c>
      <c r="E173" s="239">
        <v>5037813</v>
      </c>
      <c r="F173" s="239">
        <v>635265</v>
      </c>
      <c r="G173" s="239">
        <v>0</v>
      </c>
      <c r="H173" s="239">
        <v>133510</v>
      </c>
      <c r="K173" s="239">
        <v>474550</v>
      </c>
      <c r="L173" s="239">
        <v>4664579</v>
      </c>
      <c r="M173" s="239">
        <v>-258483</v>
      </c>
      <c r="N173" s="239">
        <v>4406096</v>
      </c>
    </row>
    <row r="174" spans="1:14" ht="13.8">
      <c r="A174" s="193">
        <v>35106</v>
      </c>
      <c r="B174" s="194" t="s">
        <v>393</v>
      </c>
      <c r="C174" s="239">
        <v>3994607</v>
      </c>
      <c r="D174" s="239">
        <v>325655</v>
      </c>
      <c r="E174" s="239">
        <v>1112498</v>
      </c>
      <c r="F174" s="239">
        <v>140285</v>
      </c>
      <c r="G174" s="239">
        <v>0</v>
      </c>
      <c r="H174" s="239">
        <v>29483</v>
      </c>
      <c r="K174" s="239">
        <v>395854</v>
      </c>
      <c r="L174" s="239">
        <v>1030077</v>
      </c>
      <c r="M174" s="239">
        <v>-202246</v>
      </c>
      <c r="N174" s="239">
        <v>827831</v>
      </c>
    </row>
    <row r="175" spans="1:14" ht="13.8">
      <c r="A175" s="193">
        <v>35200</v>
      </c>
      <c r="B175" s="194" t="s">
        <v>394</v>
      </c>
      <c r="C175" s="239">
        <v>8506046</v>
      </c>
      <c r="D175" s="239">
        <v>693444</v>
      </c>
      <c r="E175" s="239">
        <v>2368933</v>
      </c>
      <c r="F175" s="239">
        <v>298721</v>
      </c>
      <c r="G175" s="239">
        <v>175084</v>
      </c>
      <c r="H175" s="239">
        <v>62781</v>
      </c>
      <c r="K175" s="239">
        <v>29760</v>
      </c>
      <c r="L175" s="239">
        <v>2193427</v>
      </c>
      <c r="M175" s="239">
        <v>32688</v>
      </c>
      <c r="N175" s="239">
        <v>2226115</v>
      </c>
    </row>
    <row r="176" spans="1:14" ht="13.8">
      <c r="A176" s="193">
        <v>35300</v>
      </c>
      <c r="B176" s="194" t="s">
        <v>548</v>
      </c>
      <c r="C176" s="239">
        <v>65779309</v>
      </c>
      <c r="D176" s="239">
        <v>5362570</v>
      </c>
      <c r="E176" s="239">
        <v>18319533</v>
      </c>
      <c r="F176" s="239">
        <v>2310082</v>
      </c>
      <c r="G176" s="239">
        <v>1563504</v>
      </c>
      <c r="H176" s="239">
        <v>485498</v>
      </c>
      <c r="K176" s="239">
        <v>2145123</v>
      </c>
      <c r="L176" s="239">
        <v>16962300</v>
      </c>
      <c r="M176" s="239">
        <v>-778689</v>
      </c>
      <c r="N176" s="239">
        <v>16183611</v>
      </c>
    </row>
    <row r="177" spans="1:14" ht="13.8">
      <c r="A177" s="193">
        <v>35305</v>
      </c>
      <c r="B177" s="194" t="s">
        <v>209</v>
      </c>
      <c r="C177" s="239">
        <v>24844589</v>
      </c>
      <c r="D177" s="239">
        <v>2025422</v>
      </c>
      <c r="E177" s="239">
        <v>6919216</v>
      </c>
      <c r="F177" s="239">
        <v>872509</v>
      </c>
      <c r="G177" s="239">
        <v>211346</v>
      </c>
      <c r="H177" s="239">
        <v>183371</v>
      </c>
      <c r="K177" s="239">
        <v>263772</v>
      </c>
      <c r="L177" s="239">
        <v>6406595</v>
      </c>
      <c r="M177" s="239">
        <v>92258</v>
      </c>
      <c r="N177" s="239">
        <v>6498853</v>
      </c>
    </row>
    <row r="178" spans="1:14" ht="13.8">
      <c r="A178" s="236">
        <v>35400</v>
      </c>
      <c r="B178" s="237" t="s">
        <v>396</v>
      </c>
      <c r="C178" s="240">
        <v>56009527</v>
      </c>
      <c r="D178" s="240">
        <v>4566101</v>
      </c>
      <c r="E178" s="240">
        <v>15598649</v>
      </c>
      <c r="F178" s="240">
        <v>1966981</v>
      </c>
      <c r="G178" s="240">
        <v>2369470</v>
      </c>
      <c r="H178" s="240">
        <v>413390</v>
      </c>
      <c r="K178" s="240">
        <v>261799</v>
      </c>
      <c r="L178" s="240">
        <v>14442998</v>
      </c>
      <c r="M178" s="240">
        <v>663144</v>
      </c>
      <c r="N178" s="240">
        <v>15106142</v>
      </c>
    </row>
    <row r="179" spans="1:14" ht="13.8">
      <c r="A179" s="236">
        <v>35401</v>
      </c>
      <c r="B179" s="237" t="s">
        <v>397</v>
      </c>
      <c r="C179" s="240">
        <v>578518</v>
      </c>
      <c r="D179" s="240">
        <v>47163</v>
      </c>
      <c r="E179" s="240">
        <v>161117</v>
      </c>
      <c r="F179" s="240">
        <v>20317</v>
      </c>
      <c r="G179" s="240">
        <v>32099</v>
      </c>
      <c r="H179" s="240">
        <v>4270</v>
      </c>
      <c r="K179" s="240">
        <v>74844</v>
      </c>
      <c r="L179" s="240">
        <v>149181</v>
      </c>
      <c r="M179" s="240">
        <v>5930</v>
      </c>
      <c r="N179" s="240">
        <v>155111</v>
      </c>
    </row>
    <row r="180" spans="1:14" ht="13.8">
      <c r="A180" s="236">
        <v>35405</v>
      </c>
      <c r="B180" s="237" t="s">
        <v>227</v>
      </c>
      <c r="C180" s="240">
        <v>14069486</v>
      </c>
      <c r="D180" s="240">
        <v>1146996</v>
      </c>
      <c r="E180" s="240">
        <v>3918351</v>
      </c>
      <c r="F180" s="240">
        <v>494102</v>
      </c>
      <c r="G180" s="240">
        <v>0</v>
      </c>
      <c r="H180" s="240">
        <v>103843</v>
      </c>
      <c r="K180" s="240">
        <v>565455</v>
      </c>
      <c r="L180" s="240">
        <v>3628054</v>
      </c>
      <c r="M180" s="240">
        <v>-338840</v>
      </c>
      <c r="N180" s="240">
        <v>3289214</v>
      </c>
    </row>
    <row r="181" spans="1:14" ht="13.8">
      <c r="A181" s="236">
        <v>35500</v>
      </c>
      <c r="B181" s="237" t="s">
        <v>398</v>
      </c>
      <c r="C181" s="240">
        <v>68711911</v>
      </c>
      <c r="D181" s="240">
        <v>5601646</v>
      </c>
      <c r="E181" s="240">
        <v>19136262</v>
      </c>
      <c r="F181" s="240">
        <v>2413071</v>
      </c>
      <c r="G181" s="240">
        <v>1142943</v>
      </c>
      <c r="H181" s="240">
        <v>507142</v>
      </c>
      <c r="K181" s="240">
        <v>749095</v>
      </c>
      <c r="L181" s="240">
        <v>17718521</v>
      </c>
      <c r="M181" s="240">
        <v>-71358</v>
      </c>
      <c r="N181" s="240">
        <v>17647163</v>
      </c>
    </row>
    <row r="182" spans="1:14" ht="13.8">
      <c r="A182" s="236">
        <v>35600</v>
      </c>
      <c r="B182" s="237" t="s">
        <v>399</v>
      </c>
      <c r="C182" s="240">
        <v>30798154</v>
      </c>
      <c r="D182" s="240">
        <v>2510778</v>
      </c>
      <c r="E182" s="240">
        <v>8577284</v>
      </c>
      <c r="F182" s="240">
        <v>1081590</v>
      </c>
      <c r="G182" s="240">
        <v>819893</v>
      </c>
      <c r="H182" s="240">
        <v>227312</v>
      </c>
      <c r="K182" s="240">
        <v>371791</v>
      </c>
      <c r="L182" s="240">
        <v>7941822</v>
      </c>
      <c r="M182" s="240">
        <v>289211</v>
      </c>
      <c r="N182" s="240">
        <v>8231033</v>
      </c>
    </row>
    <row r="183" spans="1:14" ht="13.8">
      <c r="A183" s="236">
        <v>35700</v>
      </c>
      <c r="B183" s="237" t="s">
        <v>400</v>
      </c>
      <c r="C183" s="240">
        <v>16580287</v>
      </c>
      <c r="D183" s="240">
        <v>1351686</v>
      </c>
      <c r="E183" s="240">
        <v>4617609</v>
      </c>
      <c r="F183" s="240">
        <v>582278</v>
      </c>
      <c r="G183" s="240">
        <v>709447</v>
      </c>
      <c r="H183" s="240">
        <v>122374</v>
      </c>
      <c r="K183" s="240">
        <v>81648</v>
      </c>
      <c r="L183" s="240">
        <v>4275506</v>
      </c>
      <c r="M183" s="240">
        <v>236379</v>
      </c>
      <c r="N183" s="240">
        <v>4511885</v>
      </c>
    </row>
    <row r="184" spans="1:14" ht="13.8">
      <c r="A184" s="193">
        <v>35800</v>
      </c>
      <c r="B184" s="194" t="s">
        <v>401</v>
      </c>
      <c r="C184" s="239">
        <v>18735974</v>
      </c>
      <c r="D184" s="239">
        <v>1527425</v>
      </c>
      <c r="E184" s="239">
        <v>5217967</v>
      </c>
      <c r="F184" s="239">
        <v>657983</v>
      </c>
      <c r="G184" s="239">
        <v>202035</v>
      </c>
      <c r="H184" s="239">
        <v>138285</v>
      </c>
      <c r="K184" s="239">
        <v>363313</v>
      </c>
      <c r="L184" s="239">
        <v>4831386</v>
      </c>
      <c r="M184" s="239">
        <v>-120226</v>
      </c>
      <c r="N184" s="239">
        <v>4711160</v>
      </c>
    </row>
    <row r="185" spans="1:14" ht="13.8">
      <c r="A185" s="193">
        <v>35805</v>
      </c>
      <c r="B185" s="194" t="s">
        <v>228</v>
      </c>
      <c r="C185" s="239">
        <v>3761199</v>
      </c>
      <c r="D185" s="239">
        <v>306627</v>
      </c>
      <c r="E185" s="239">
        <v>1047494</v>
      </c>
      <c r="F185" s="239">
        <v>132088</v>
      </c>
      <c r="G185" s="239">
        <v>43944</v>
      </c>
      <c r="H185" s="239">
        <v>27760</v>
      </c>
      <c r="K185" s="239">
        <v>3119</v>
      </c>
      <c r="L185" s="239">
        <v>969888</v>
      </c>
      <c r="M185" s="239">
        <v>5844</v>
      </c>
      <c r="N185" s="239">
        <v>975732</v>
      </c>
    </row>
    <row r="186" spans="1:14" ht="13.8">
      <c r="A186" s="193">
        <v>35900</v>
      </c>
      <c r="B186" s="194" t="s">
        <v>402</v>
      </c>
      <c r="C186" s="239">
        <v>37496957</v>
      </c>
      <c r="D186" s="239">
        <v>3056889</v>
      </c>
      <c r="E186" s="239">
        <v>10442900</v>
      </c>
      <c r="F186" s="239">
        <v>1316844</v>
      </c>
      <c r="G186" s="239">
        <v>233234</v>
      </c>
      <c r="H186" s="239">
        <v>276754</v>
      </c>
      <c r="K186" s="239">
        <v>594129</v>
      </c>
      <c r="L186" s="239">
        <v>9669221</v>
      </c>
      <c r="M186" s="239">
        <v>-375079</v>
      </c>
      <c r="N186" s="239">
        <v>9294142</v>
      </c>
    </row>
    <row r="187" spans="1:14" ht="13.8">
      <c r="A187" s="193">
        <v>35905</v>
      </c>
      <c r="B187" s="194" t="s">
        <v>230</v>
      </c>
      <c r="C187" s="239">
        <v>5681812</v>
      </c>
      <c r="D187" s="239">
        <v>463202</v>
      </c>
      <c r="E187" s="239">
        <v>1582384</v>
      </c>
      <c r="F187" s="239">
        <v>199538</v>
      </c>
      <c r="G187" s="239">
        <v>675391</v>
      </c>
      <c r="H187" s="239">
        <v>41936</v>
      </c>
      <c r="K187" s="239">
        <v>0</v>
      </c>
      <c r="L187" s="239">
        <v>1465151</v>
      </c>
      <c r="M187" s="239">
        <v>276868</v>
      </c>
      <c r="N187" s="239">
        <v>1742019</v>
      </c>
    </row>
    <row r="188" spans="1:14" ht="13.8">
      <c r="A188" s="193">
        <v>36000</v>
      </c>
      <c r="B188" s="194" t="s">
        <v>403</v>
      </c>
      <c r="C188" s="239">
        <v>973713830</v>
      </c>
      <c r="D188" s="239">
        <v>79380711</v>
      </c>
      <c r="E188" s="239">
        <v>271179228</v>
      </c>
      <c r="F188" s="239">
        <v>34195542</v>
      </c>
      <c r="G188" s="239">
        <v>0</v>
      </c>
      <c r="H188" s="239">
        <v>7186695</v>
      </c>
      <c r="K188" s="239">
        <v>38757974</v>
      </c>
      <c r="L188" s="239">
        <v>251088475</v>
      </c>
      <c r="M188" s="239">
        <v>-15514545</v>
      </c>
      <c r="N188" s="239">
        <v>235573930</v>
      </c>
    </row>
    <row r="189" spans="1:14" ht="13.8">
      <c r="A189" s="193">
        <v>36003</v>
      </c>
      <c r="B189" s="194" t="s">
        <v>404</v>
      </c>
      <c r="C189" s="239">
        <v>7235641</v>
      </c>
      <c r="D189" s="239">
        <v>589876</v>
      </c>
      <c r="E189" s="239">
        <v>2015125</v>
      </c>
      <c r="F189" s="239">
        <v>254106</v>
      </c>
      <c r="G189" s="239">
        <v>211674</v>
      </c>
      <c r="H189" s="239">
        <v>53404</v>
      </c>
      <c r="K189" s="239">
        <v>63368</v>
      </c>
      <c r="L189" s="239">
        <v>1865832</v>
      </c>
      <c r="M189" s="239">
        <v>-5937</v>
      </c>
      <c r="N189" s="239">
        <v>1859895</v>
      </c>
    </row>
    <row r="190" spans="1:14" ht="13.8">
      <c r="A190" s="236">
        <v>36004</v>
      </c>
      <c r="B190" s="238" t="s">
        <v>405</v>
      </c>
      <c r="C190" s="240">
        <v>6135290</v>
      </c>
      <c r="D190" s="240">
        <v>500171</v>
      </c>
      <c r="E190" s="240">
        <v>1708678</v>
      </c>
      <c r="F190" s="240">
        <v>215463</v>
      </c>
      <c r="G190" s="240">
        <v>87747</v>
      </c>
      <c r="H190" s="240">
        <v>45283</v>
      </c>
      <c r="K190" s="240">
        <v>21641</v>
      </c>
      <c r="L190" s="240">
        <v>1582088</v>
      </c>
      <c r="M190" s="240">
        <v>100884</v>
      </c>
      <c r="N190" s="240">
        <v>1682972</v>
      </c>
    </row>
    <row r="191" spans="1:14" ht="13.8">
      <c r="A191" s="236">
        <v>36005</v>
      </c>
      <c r="B191" s="237" t="s">
        <v>210</v>
      </c>
      <c r="C191" s="240">
        <v>68963658</v>
      </c>
      <c r="D191" s="240">
        <v>5622169</v>
      </c>
      <c r="E191" s="240">
        <v>19206373</v>
      </c>
      <c r="F191" s="240">
        <v>2421912</v>
      </c>
      <c r="G191" s="240">
        <v>0</v>
      </c>
      <c r="H191" s="240">
        <v>509000</v>
      </c>
      <c r="K191" s="240">
        <v>2130108</v>
      </c>
      <c r="L191" s="240">
        <v>17783438</v>
      </c>
      <c r="M191" s="240">
        <v>-1507979</v>
      </c>
      <c r="N191" s="240">
        <v>16275459</v>
      </c>
    </row>
    <row r="192" spans="1:14" ht="13.8">
      <c r="A192" s="236">
        <v>36006</v>
      </c>
      <c r="B192" s="237" t="s">
        <v>406</v>
      </c>
      <c r="C192" s="240">
        <v>11662052</v>
      </c>
      <c r="D192" s="240">
        <v>950733</v>
      </c>
      <c r="E192" s="240">
        <v>3247881</v>
      </c>
      <c r="F192" s="240">
        <v>409556</v>
      </c>
      <c r="G192" s="240">
        <v>0</v>
      </c>
      <c r="H192" s="240">
        <v>86074</v>
      </c>
      <c r="K192" s="240">
        <v>373651</v>
      </c>
      <c r="L192" s="240">
        <v>3007256</v>
      </c>
      <c r="M192" s="240">
        <v>-233652</v>
      </c>
      <c r="N192" s="240">
        <v>2773604</v>
      </c>
    </row>
    <row r="193" spans="1:14" ht="13.8">
      <c r="A193" s="236">
        <v>36007</v>
      </c>
      <c r="B193" s="237" t="s">
        <v>407</v>
      </c>
      <c r="C193" s="240">
        <v>4783192</v>
      </c>
      <c r="D193" s="240">
        <v>389943</v>
      </c>
      <c r="E193" s="240">
        <v>1332119</v>
      </c>
      <c r="F193" s="240">
        <v>167979</v>
      </c>
      <c r="G193" s="240">
        <v>172050</v>
      </c>
      <c r="H193" s="240">
        <v>35303</v>
      </c>
      <c r="K193" s="240">
        <v>51347</v>
      </c>
      <c r="L193" s="240">
        <v>1233426</v>
      </c>
      <c r="M193" s="240">
        <v>57583</v>
      </c>
      <c r="N193" s="240">
        <v>1291009</v>
      </c>
    </row>
    <row r="194" spans="1:14" ht="13.8">
      <c r="A194" s="236">
        <v>36008</v>
      </c>
      <c r="B194" s="237" t="s">
        <v>408</v>
      </c>
      <c r="C194" s="240">
        <v>10825119</v>
      </c>
      <c r="D194" s="240">
        <v>882503</v>
      </c>
      <c r="E194" s="240">
        <v>3014795</v>
      </c>
      <c r="F194" s="240">
        <v>380164</v>
      </c>
      <c r="G194" s="240">
        <v>0</v>
      </c>
      <c r="H194" s="240">
        <v>79897</v>
      </c>
      <c r="K194" s="240">
        <v>270338</v>
      </c>
      <c r="L194" s="240">
        <v>2791439</v>
      </c>
      <c r="M194" s="240">
        <v>-165337</v>
      </c>
      <c r="N194" s="240">
        <v>2626102</v>
      </c>
    </row>
    <row r="195" spans="1:14" ht="13.8">
      <c r="A195" s="236">
        <v>36009</v>
      </c>
      <c r="B195" s="237" t="s">
        <v>409</v>
      </c>
      <c r="C195" s="240">
        <v>1175375</v>
      </c>
      <c r="D195" s="240">
        <v>95821</v>
      </c>
      <c r="E195" s="240">
        <v>327342</v>
      </c>
      <c r="F195" s="240">
        <v>41278</v>
      </c>
      <c r="G195" s="240">
        <v>59603</v>
      </c>
      <c r="H195" s="240">
        <v>8675</v>
      </c>
      <c r="K195" s="240">
        <v>252397</v>
      </c>
      <c r="L195" s="240">
        <v>303090</v>
      </c>
      <c r="M195" s="240">
        <v>-115852</v>
      </c>
      <c r="N195" s="240">
        <v>187238</v>
      </c>
    </row>
    <row r="196" spans="1:14" ht="13.8">
      <c r="A196" s="193">
        <v>36100</v>
      </c>
      <c r="B196" s="194" t="s">
        <v>410</v>
      </c>
      <c r="C196" s="239">
        <v>11922135</v>
      </c>
      <c r="D196" s="239">
        <v>971936</v>
      </c>
      <c r="E196" s="239">
        <v>3320314</v>
      </c>
      <c r="F196" s="239">
        <v>418690</v>
      </c>
      <c r="G196" s="239">
        <v>420361</v>
      </c>
      <c r="H196" s="239">
        <v>87994</v>
      </c>
      <c r="K196" s="239">
        <v>87059</v>
      </c>
      <c r="L196" s="239">
        <v>3074323</v>
      </c>
      <c r="M196" s="239">
        <v>70977</v>
      </c>
      <c r="N196" s="239">
        <v>3145300</v>
      </c>
    </row>
    <row r="197" spans="1:14" ht="13.8">
      <c r="A197" s="193">
        <v>36102</v>
      </c>
      <c r="B197" s="194" t="s">
        <v>522</v>
      </c>
      <c r="C197" s="239">
        <v>0</v>
      </c>
      <c r="D197" s="239">
        <v>0</v>
      </c>
      <c r="E197" s="239">
        <v>0</v>
      </c>
      <c r="F197" s="239">
        <v>0</v>
      </c>
      <c r="G197" s="239">
        <v>0</v>
      </c>
      <c r="H197" s="239">
        <v>0</v>
      </c>
      <c r="K197" s="239">
        <v>332428</v>
      </c>
      <c r="L197" s="239">
        <v>0</v>
      </c>
      <c r="M197" s="239">
        <v>-295770</v>
      </c>
      <c r="N197" s="239">
        <v>-295770</v>
      </c>
    </row>
    <row r="198" spans="1:14" ht="13.8">
      <c r="A198" s="193">
        <v>36105</v>
      </c>
      <c r="B198" s="194" t="s">
        <v>229</v>
      </c>
      <c r="C198" s="239">
        <v>5398388</v>
      </c>
      <c r="D198" s="239">
        <v>440096</v>
      </c>
      <c r="E198" s="239">
        <v>1503451</v>
      </c>
      <c r="F198" s="239">
        <v>189584</v>
      </c>
      <c r="G198" s="239">
        <v>116126</v>
      </c>
      <c r="H198" s="239">
        <v>39844</v>
      </c>
      <c r="K198" s="239">
        <v>133107</v>
      </c>
      <c r="L198" s="239">
        <v>1392065</v>
      </c>
      <c r="M198" s="239">
        <v>-27225</v>
      </c>
      <c r="N198" s="239">
        <v>1364840</v>
      </c>
    </row>
    <row r="199" spans="1:14" ht="13.8">
      <c r="A199" s="193">
        <v>36200</v>
      </c>
      <c r="B199" s="194" t="s">
        <v>411</v>
      </c>
      <c r="C199" s="239">
        <v>22348793</v>
      </c>
      <c r="D199" s="239">
        <v>1821955</v>
      </c>
      <c r="E199" s="239">
        <v>6224137</v>
      </c>
      <c r="F199" s="239">
        <v>784860</v>
      </c>
      <c r="G199" s="239">
        <v>401573</v>
      </c>
      <c r="H199" s="239">
        <v>164950</v>
      </c>
      <c r="K199" s="239">
        <v>271660</v>
      </c>
      <c r="L199" s="239">
        <v>5763012</v>
      </c>
      <c r="M199" s="239">
        <v>-146177</v>
      </c>
      <c r="N199" s="239">
        <v>5616835</v>
      </c>
    </row>
    <row r="200" spans="1:14" ht="13.8">
      <c r="A200" s="193">
        <v>36205</v>
      </c>
      <c r="B200" s="194" t="s">
        <v>232</v>
      </c>
      <c r="C200" s="239">
        <v>4761518</v>
      </c>
      <c r="D200" s="239">
        <v>388176</v>
      </c>
      <c r="E200" s="239">
        <v>1326082</v>
      </c>
      <c r="F200" s="239">
        <v>167218</v>
      </c>
      <c r="G200" s="239">
        <v>0</v>
      </c>
      <c r="H200" s="239">
        <v>35143</v>
      </c>
      <c r="K200" s="239">
        <v>142949</v>
      </c>
      <c r="L200" s="239">
        <v>1227838</v>
      </c>
      <c r="M200" s="239">
        <v>-72623</v>
      </c>
      <c r="N200" s="239">
        <v>1155215</v>
      </c>
    </row>
    <row r="201" spans="1:14" ht="13.8">
      <c r="A201" s="193">
        <v>36300</v>
      </c>
      <c r="B201" s="194" t="s">
        <v>412</v>
      </c>
      <c r="C201" s="239">
        <v>81037508</v>
      </c>
      <c r="D201" s="239">
        <v>6606474</v>
      </c>
      <c r="E201" s="239">
        <v>22568940</v>
      </c>
      <c r="F201" s="239">
        <v>2845930</v>
      </c>
      <c r="G201" s="239">
        <v>396211</v>
      </c>
      <c r="H201" s="239">
        <v>598114</v>
      </c>
      <c r="K201" s="239">
        <v>659522</v>
      </c>
      <c r="L201" s="239">
        <v>20896883</v>
      </c>
      <c r="M201" s="239">
        <v>-664955</v>
      </c>
      <c r="N201" s="239">
        <v>20231928</v>
      </c>
    </row>
    <row r="202" spans="1:14" ht="13.8">
      <c r="A202" s="236">
        <v>36301</v>
      </c>
      <c r="B202" s="237" t="s">
        <v>413</v>
      </c>
      <c r="C202" s="240">
        <v>2033982</v>
      </c>
      <c r="D202" s="240">
        <v>165818</v>
      </c>
      <c r="E202" s="240">
        <v>566464</v>
      </c>
      <c r="F202" s="240">
        <v>71431</v>
      </c>
      <c r="G202" s="240">
        <v>51837</v>
      </c>
      <c r="H202" s="240">
        <v>15012</v>
      </c>
      <c r="K202" s="240">
        <v>68313</v>
      </c>
      <c r="L202" s="240">
        <v>524496</v>
      </c>
      <c r="M202" s="240">
        <v>35387</v>
      </c>
      <c r="N202" s="240">
        <v>559883</v>
      </c>
    </row>
    <row r="203" spans="1:14" ht="13.8">
      <c r="A203" s="236">
        <v>36302</v>
      </c>
      <c r="B203" s="237" t="s">
        <v>414</v>
      </c>
      <c r="C203" s="240">
        <v>3557801</v>
      </c>
      <c r="D203" s="240">
        <v>290045</v>
      </c>
      <c r="E203" s="240">
        <v>990847</v>
      </c>
      <c r="F203" s="240">
        <v>124945</v>
      </c>
      <c r="G203" s="240">
        <v>114176</v>
      </c>
      <c r="H203" s="240">
        <v>26259</v>
      </c>
      <c r="K203" s="240">
        <v>0</v>
      </c>
      <c r="L203" s="240">
        <v>917439</v>
      </c>
      <c r="M203" s="240">
        <v>72714</v>
      </c>
      <c r="N203" s="240">
        <v>990153</v>
      </c>
    </row>
    <row r="204" spans="1:14" ht="13.8">
      <c r="A204" s="236">
        <v>36303</v>
      </c>
      <c r="B204" s="237" t="s">
        <v>415</v>
      </c>
      <c r="C204" s="240">
        <v>4646482</v>
      </c>
      <c r="D204" s="240">
        <v>378798</v>
      </c>
      <c r="E204" s="240">
        <v>1294045</v>
      </c>
      <c r="F204" s="240">
        <v>163178</v>
      </c>
      <c r="G204" s="240">
        <v>42676</v>
      </c>
      <c r="H204" s="240">
        <v>34294</v>
      </c>
      <c r="K204" s="240">
        <v>84683</v>
      </c>
      <c r="L204" s="240">
        <v>1198173</v>
      </c>
      <c r="M204" s="240">
        <v>32934</v>
      </c>
      <c r="N204" s="240">
        <v>1231107</v>
      </c>
    </row>
    <row r="205" spans="1:14" ht="13.8">
      <c r="A205" s="236">
        <v>36305</v>
      </c>
      <c r="B205" s="237" t="s">
        <v>244</v>
      </c>
      <c r="C205" s="241">
        <v>17193816</v>
      </c>
      <c r="D205" s="241">
        <v>1401703</v>
      </c>
      <c r="E205" s="241">
        <v>4788476</v>
      </c>
      <c r="F205" s="241">
        <v>603824</v>
      </c>
      <c r="G205" s="240">
        <v>736835</v>
      </c>
      <c r="H205" s="241">
        <v>126902</v>
      </c>
      <c r="K205" s="240">
        <v>0</v>
      </c>
      <c r="L205" s="241">
        <v>4433714</v>
      </c>
      <c r="M205" s="240">
        <v>378294</v>
      </c>
      <c r="N205" s="240">
        <v>4812008</v>
      </c>
    </row>
    <row r="206" spans="1:14" ht="13.8">
      <c r="A206" s="236">
        <v>36400</v>
      </c>
      <c r="B206" s="237" t="s">
        <v>552</v>
      </c>
      <c r="C206" s="240">
        <v>82876427</v>
      </c>
      <c r="D206" s="240">
        <v>6756389</v>
      </c>
      <c r="E206" s="240">
        <v>23081079</v>
      </c>
      <c r="F206" s="240">
        <v>2910511</v>
      </c>
      <c r="G206" s="240">
        <v>1359801</v>
      </c>
      <c r="H206" s="240">
        <v>611687</v>
      </c>
      <c r="K206" s="240">
        <v>1254439</v>
      </c>
      <c r="L206" s="240">
        <v>21371080</v>
      </c>
      <c r="M206" s="240">
        <v>-244156</v>
      </c>
      <c r="N206" s="240">
        <v>21126924</v>
      </c>
    </row>
    <row r="207" spans="1:14" ht="13.8">
      <c r="A207" s="236">
        <v>36405</v>
      </c>
      <c r="B207" s="238" t="s">
        <v>417</v>
      </c>
      <c r="C207" s="240">
        <v>12137204</v>
      </c>
      <c r="D207" s="240">
        <v>989469</v>
      </c>
      <c r="E207" s="240">
        <v>3380210</v>
      </c>
      <c r="F207" s="240">
        <v>426243</v>
      </c>
      <c r="G207" s="240">
        <v>0</v>
      </c>
      <c r="H207" s="240">
        <v>89581</v>
      </c>
      <c r="K207" s="240">
        <v>430613</v>
      </c>
      <c r="L207" s="240">
        <v>3129782</v>
      </c>
      <c r="M207" s="240">
        <v>-278116</v>
      </c>
      <c r="N207" s="240">
        <v>2851666</v>
      </c>
    </row>
    <row r="208" spans="1:14" ht="13.8">
      <c r="A208" s="193">
        <v>36500</v>
      </c>
      <c r="B208" s="194" t="s">
        <v>418</v>
      </c>
      <c r="C208" s="239">
        <v>197217889</v>
      </c>
      <c r="D208" s="239">
        <v>16077923</v>
      </c>
      <c r="E208" s="239">
        <v>54925167</v>
      </c>
      <c r="F208" s="239">
        <v>6926031</v>
      </c>
      <c r="G208" s="239">
        <v>3601835</v>
      </c>
      <c r="H208" s="239">
        <v>1455607</v>
      </c>
      <c r="K208" s="239">
        <v>124460</v>
      </c>
      <c r="L208" s="239">
        <v>50855947</v>
      </c>
      <c r="M208" s="239">
        <v>646997</v>
      </c>
      <c r="N208" s="239">
        <v>51502944</v>
      </c>
    </row>
    <row r="209" spans="1:14" ht="13.8">
      <c r="A209" s="193">
        <v>36501</v>
      </c>
      <c r="B209" s="194" t="s">
        <v>523</v>
      </c>
      <c r="C209" s="239">
        <v>2494129</v>
      </c>
      <c r="D209" s="239">
        <v>203330</v>
      </c>
      <c r="E209" s="239">
        <v>694615</v>
      </c>
      <c r="F209" s="239">
        <v>87591</v>
      </c>
      <c r="G209" s="239">
        <v>17331</v>
      </c>
      <c r="H209" s="239">
        <v>18408</v>
      </c>
      <c r="K209" s="239">
        <v>129469</v>
      </c>
      <c r="L209" s="239">
        <v>643153</v>
      </c>
      <c r="M209" s="239">
        <v>-36684</v>
      </c>
      <c r="N209" s="239">
        <v>606469</v>
      </c>
    </row>
    <row r="210" spans="1:14" ht="13.8">
      <c r="A210" s="193">
        <v>36502</v>
      </c>
      <c r="B210" s="194" t="s">
        <v>420</v>
      </c>
      <c r="C210" s="239">
        <v>431804</v>
      </c>
      <c r="D210" s="239">
        <v>35202</v>
      </c>
      <c r="E210" s="239">
        <v>120257</v>
      </c>
      <c r="F210" s="239">
        <v>15164</v>
      </c>
      <c r="G210" s="239">
        <v>0</v>
      </c>
      <c r="H210" s="239">
        <v>3187</v>
      </c>
      <c r="K210" s="239">
        <v>106422</v>
      </c>
      <c r="L210" s="239">
        <v>111348</v>
      </c>
      <c r="M210" s="239">
        <v>-70103</v>
      </c>
      <c r="N210" s="239">
        <v>41245</v>
      </c>
    </row>
    <row r="211" spans="1:14" ht="13.8">
      <c r="A211" s="193">
        <v>36505</v>
      </c>
      <c r="B211" s="194" t="s">
        <v>206</v>
      </c>
      <c r="C211" s="239">
        <v>36123186</v>
      </c>
      <c r="D211" s="239">
        <v>2944894</v>
      </c>
      <c r="E211" s="239">
        <v>10060304</v>
      </c>
      <c r="F211" s="239">
        <v>1268599</v>
      </c>
      <c r="G211" s="239">
        <v>1296295</v>
      </c>
      <c r="H211" s="239">
        <v>266615</v>
      </c>
      <c r="K211" s="239">
        <v>146024</v>
      </c>
      <c r="L211" s="239">
        <v>9314970</v>
      </c>
      <c r="M211" s="239">
        <v>241372</v>
      </c>
      <c r="N211" s="239">
        <v>9556342</v>
      </c>
    </row>
    <row r="212" spans="1:14" ht="13.8">
      <c r="A212" s="193">
        <v>36600</v>
      </c>
      <c r="B212" s="194" t="s">
        <v>421</v>
      </c>
      <c r="C212" s="239">
        <v>8827815</v>
      </c>
      <c r="D212" s="239">
        <v>719676</v>
      </c>
      <c r="E212" s="239">
        <v>2458546</v>
      </c>
      <c r="F212" s="239">
        <v>310021</v>
      </c>
      <c r="G212" s="239">
        <v>36205</v>
      </c>
      <c r="H212" s="239">
        <v>65156</v>
      </c>
      <c r="K212" s="239">
        <v>626637</v>
      </c>
      <c r="L212" s="239">
        <v>2276400</v>
      </c>
      <c r="M212" s="239">
        <v>-338368</v>
      </c>
      <c r="N212" s="239">
        <v>1938032</v>
      </c>
    </row>
    <row r="213" spans="1:14" ht="13.8">
      <c r="A213" s="193">
        <v>36601</v>
      </c>
      <c r="B213" s="194" t="s">
        <v>524</v>
      </c>
      <c r="C213" s="239">
        <v>0</v>
      </c>
      <c r="D213" s="239">
        <v>0</v>
      </c>
      <c r="E213" s="239">
        <v>0</v>
      </c>
      <c r="F213" s="239">
        <v>0</v>
      </c>
      <c r="G213" s="239">
        <v>1175895</v>
      </c>
      <c r="H213" s="239">
        <v>0</v>
      </c>
      <c r="K213" s="239">
        <v>1078854</v>
      </c>
      <c r="L213" s="239">
        <v>0</v>
      </c>
      <c r="M213" s="239">
        <v>46680</v>
      </c>
      <c r="N213" s="239">
        <v>46680</v>
      </c>
    </row>
    <row r="214" spans="1:14" ht="13.8">
      <c r="A214" s="236">
        <v>36700</v>
      </c>
      <c r="B214" s="237" t="s">
        <v>422</v>
      </c>
      <c r="C214" s="240">
        <v>159971011</v>
      </c>
      <c r="D214" s="240">
        <v>13041422</v>
      </c>
      <c r="E214" s="240">
        <v>44551914</v>
      </c>
      <c r="F214" s="240">
        <v>5617970</v>
      </c>
      <c r="G214" s="240">
        <v>1779182</v>
      </c>
      <c r="H214" s="240">
        <v>1180699</v>
      </c>
      <c r="K214" s="240">
        <v>1808896</v>
      </c>
      <c r="L214" s="240">
        <v>41251214</v>
      </c>
      <c r="M214" s="240">
        <v>-1051029</v>
      </c>
      <c r="N214" s="240">
        <v>40200185</v>
      </c>
    </row>
    <row r="215" spans="1:14" ht="13.8">
      <c r="A215" s="236">
        <v>36701</v>
      </c>
      <c r="B215" s="237" t="s">
        <v>423</v>
      </c>
      <c r="C215" s="240">
        <v>430137</v>
      </c>
      <c r="D215" s="240">
        <v>35066</v>
      </c>
      <c r="E215" s="240">
        <v>119793</v>
      </c>
      <c r="F215" s="240">
        <v>15106</v>
      </c>
      <c r="G215" s="240">
        <v>0</v>
      </c>
      <c r="H215" s="240">
        <v>3175</v>
      </c>
      <c r="K215" s="240">
        <v>128774</v>
      </c>
      <c r="L215" s="240">
        <v>110918</v>
      </c>
      <c r="M215" s="240">
        <v>-66824</v>
      </c>
      <c r="N215" s="240">
        <v>44094</v>
      </c>
    </row>
    <row r="216" spans="1:14" ht="13.8">
      <c r="A216" s="236">
        <v>36705</v>
      </c>
      <c r="B216" s="237" t="s">
        <v>212</v>
      </c>
      <c r="C216" s="240">
        <v>15319885</v>
      </c>
      <c r="D216" s="240">
        <v>1248933</v>
      </c>
      <c r="E216" s="240">
        <v>4266587</v>
      </c>
      <c r="F216" s="240">
        <v>538014</v>
      </c>
      <c r="G216" s="240">
        <v>464500</v>
      </c>
      <c r="H216" s="240">
        <v>113072</v>
      </c>
      <c r="K216" s="240">
        <v>1287969</v>
      </c>
      <c r="L216" s="240">
        <v>3950490</v>
      </c>
      <c r="M216" s="240">
        <v>-407885</v>
      </c>
      <c r="N216" s="240">
        <v>3542605</v>
      </c>
    </row>
    <row r="217" spans="1:14" ht="13.8">
      <c r="A217" s="236">
        <v>36800</v>
      </c>
      <c r="B217" s="237" t="s">
        <v>424</v>
      </c>
      <c r="C217" s="240">
        <v>58086856</v>
      </c>
      <c r="D217" s="240">
        <v>4735453</v>
      </c>
      <c r="E217" s="240">
        <v>16177185</v>
      </c>
      <c r="F217" s="240">
        <v>2039934</v>
      </c>
      <c r="G217" s="240">
        <v>1027626</v>
      </c>
      <c r="H217" s="240">
        <v>428722</v>
      </c>
      <c r="K217" s="240">
        <v>198392</v>
      </c>
      <c r="L217" s="240">
        <v>14978672</v>
      </c>
      <c r="M217" s="240">
        <v>51783</v>
      </c>
      <c r="N217" s="240">
        <v>15030455</v>
      </c>
    </row>
    <row r="218" spans="1:14" ht="13.8">
      <c r="A218" s="236">
        <v>36802</v>
      </c>
      <c r="B218" s="237" t="s">
        <v>425</v>
      </c>
      <c r="C218" s="240">
        <v>4441416</v>
      </c>
      <c r="D218" s="240">
        <v>362080</v>
      </c>
      <c r="E218" s="240">
        <v>1236934</v>
      </c>
      <c r="F218" s="240">
        <v>155977</v>
      </c>
      <c r="G218" s="240">
        <v>0</v>
      </c>
      <c r="H218" s="240">
        <v>32781</v>
      </c>
      <c r="K218" s="240">
        <v>209383</v>
      </c>
      <c r="L218" s="240">
        <v>1145294</v>
      </c>
      <c r="M218" s="240">
        <v>-17339</v>
      </c>
      <c r="N218" s="240">
        <v>1127955</v>
      </c>
    </row>
    <row r="219" spans="1:14" ht="13.8">
      <c r="A219" s="236">
        <v>36810</v>
      </c>
      <c r="B219" s="238" t="s">
        <v>426</v>
      </c>
      <c r="C219" s="240">
        <v>112079073</v>
      </c>
      <c r="D219" s="240">
        <v>9137096</v>
      </c>
      <c r="E219" s="240">
        <v>31214013</v>
      </c>
      <c r="F219" s="240">
        <v>3936069</v>
      </c>
      <c r="G219" s="240">
        <v>336026</v>
      </c>
      <c r="H219" s="240">
        <v>827223</v>
      </c>
      <c r="K219" s="240">
        <v>1146830</v>
      </c>
      <c r="L219" s="240">
        <v>28901473</v>
      </c>
      <c r="M219" s="240">
        <v>-604675</v>
      </c>
      <c r="N219" s="240">
        <v>28296798</v>
      </c>
    </row>
    <row r="220" spans="1:14" ht="13.8">
      <c r="A220" s="193">
        <v>36900</v>
      </c>
      <c r="B220" s="194" t="s">
        <v>427</v>
      </c>
      <c r="C220" s="239">
        <v>12395619</v>
      </c>
      <c r="D220" s="239">
        <v>1010536</v>
      </c>
      <c r="E220" s="239">
        <v>3452179</v>
      </c>
      <c r="F220" s="239">
        <v>435318</v>
      </c>
      <c r="G220" s="239">
        <v>709023</v>
      </c>
      <c r="H220" s="239">
        <v>91488</v>
      </c>
      <c r="K220" s="239">
        <v>120746</v>
      </c>
      <c r="L220" s="239">
        <v>3196419</v>
      </c>
      <c r="M220" s="239">
        <v>195493</v>
      </c>
      <c r="N220" s="239">
        <v>3391912</v>
      </c>
    </row>
    <row r="221" spans="1:14" ht="13.8">
      <c r="A221" s="193">
        <v>36901</v>
      </c>
      <c r="B221" s="194" t="s">
        <v>428</v>
      </c>
      <c r="C221" s="239">
        <v>3924585</v>
      </c>
      <c r="D221" s="239">
        <v>319946</v>
      </c>
      <c r="E221" s="239">
        <v>1092997</v>
      </c>
      <c r="F221" s="239">
        <v>137826</v>
      </c>
      <c r="G221" s="239">
        <v>218556</v>
      </c>
      <c r="H221" s="239">
        <v>28966</v>
      </c>
      <c r="K221" s="239">
        <v>85407</v>
      </c>
      <c r="L221" s="239">
        <v>1012020</v>
      </c>
      <c r="M221" s="239">
        <v>-17532</v>
      </c>
      <c r="N221" s="239">
        <v>994488</v>
      </c>
    </row>
    <row r="222" spans="1:14" ht="13.8">
      <c r="A222" s="193">
        <v>36905</v>
      </c>
      <c r="B222" s="194" t="s">
        <v>234</v>
      </c>
      <c r="C222" s="239">
        <v>3332729</v>
      </c>
      <c r="D222" s="239">
        <v>271696</v>
      </c>
      <c r="E222" s="239">
        <v>928165</v>
      </c>
      <c r="F222" s="239">
        <v>117041</v>
      </c>
      <c r="G222" s="239">
        <v>0</v>
      </c>
      <c r="H222" s="239">
        <v>24598</v>
      </c>
      <c r="K222" s="239">
        <v>87754</v>
      </c>
      <c r="L222" s="239">
        <v>859400</v>
      </c>
      <c r="M222" s="239">
        <v>-40485</v>
      </c>
      <c r="N222" s="239">
        <v>818915</v>
      </c>
    </row>
    <row r="223" spans="1:14" ht="13.8">
      <c r="A223" s="193">
        <v>37000</v>
      </c>
      <c r="B223" s="194" t="s">
        <v>429</v>
      </c>
      <c r="C223" s="239">
        <v>31943519</v>
      </c>
      <c r="D223" s="239">
        <v>2604152</v>
      </c>
      <c r="E223" s="239">
        <v>8896268</v>
      </c>
      <c r="F223" s="239">
        <v>1121814</v>
      </c>
      <c r="G223" s="239">
        <v>0</v>
      </c>
      <c r="H223" s="239">
        <v>235766</v>
      </c>
      <c r="K223" s="239">
        <v>450230</v>
      </c>
      <c r="L223" s="239">
        <v>8237173</v>
      </c>
      <c r="M223" s="239">
        <v>-544498</v>
      </c>
      <c r="N223" s="239">
        <v>7692675</v>
      </c>
    </row>
    <row r="224" spans="1:14" ht="13.8">
      <c r="A224" s="193">
        <v>37001</v>
      </c>
      <c r="B224" s="194" t="s">
        <v>525</v>
      </c>
      <c r="C224" s="239">
        <v>3809548</v>
      </c>
      <c r="D224" s="239">
        <v>310568</v>
      </c>
      <c r="E224" s="239">
        <v>1060959</v>
      </c>
      <c r="F224" s="239">
        <v>133786</v>
      </c>
      <c r="G224" s="239">
        <v>162927</v>
      </c>
      <c r="H224" s="239">
        <v>28117</v>
      </c>
      <c r="K224" s="239">
        <v>0</v>
      </c>
      <c r="L224" s="239">
        <v>982356</v>
      </c>
      <c r="M224" s="239">
        <v>145023</v>
      </c>
      <c r="N224" s="239">
        <v>1127379</v>
      </c>
    </row>
    <row r="225" spans="1:14" ht="13.8">
      <c r="A225" s="193">
        <v>37005</v>
      </c>
      <c r="B225" s="194" t="s">
        <v>213</v>
      </c>
      <c r="C225" s="239">
        <v>10163241</v>
      </c>
      <c r="D225" s="239">
        <v>828545</v>
      </c>
      <c r="E225" s="239">
        <v>2830462</v>
      </c>
      <c r="F225" s="239">
        <v>356920</v>
      </c>
      <c r="G225" s="239">
        <v>464899</v>
      </c>
      <c r="H225" s="239">
        <v>75012</v>
      </c>
      <c r="K225" s="239">
        <v>0</v>
      </c>
      <c r="L225" s="239">
        <v>2620762</v>
      </c>
      <c r="M225" s="239">
        <v>282918</v>
      </c>
      <c r="N225" s="239">
        <v>2903680</v>
      </c>
    </row>
    <row r="226" spans="1:14" ht="13.8">
      <c r="A226" s="236">
        <v>37100</v>
      </c>
      <c r="B226" s="237" t="s">
        <v>431</v>
      </c>
      <c r="C226" s="240">
        <v>63797010</v>
      </c>
      <c r="D226" s="240">
        <v>5200965</v>
      </c>
      <c r="E226" s="240">
        <v>17767462</v>
      </c>
      <c r="F226" s="240">
        <v>2240467</v>
      </c>
      <c r="G226" s="240">
        <v>2047746</v>
      </c>
      <c r="H226" s="240">
        <v>470867</v>
      </c>
      <c r="K226" s="240">
        <v>246862</v>
      </c>
      <c r="L226" s="240">
        <v>16451131</v>
      </c>
      <c r="M226" s="240">
        <v>622102</v>
      </c>
      <c r="N226" s="240">
        <v>17073233</v>
      </c>
    </row>
    <row r="227" spans="1:14" ht="13.8">
      <c r="A227" s="236">
        <v>37200</v>
      </c>
      <c r="B227" s="237" t="s">
        <v>432</v>
      </c>
      <c r="C227" s="240">
        <v>11923802</v>
      </c>
      <c r="D227" s="240">
        <v>972072</v>
      </c>
      <c r="E227" s="240">
        <v>3320778</v>
      </c>
      <c r="F227" s="240">
        <v>418748</v>
      </c>
      <c r="G227" s="240">
        <v>544350</v>
      </c>
      <c r="H227" s="240">
        <v>88006</v>
      </c>
      <c r="K227" s="240">
        <v>136343</v>
      </c>
      <c r="L227" s="240">
        <v>3074753</v>
      </c>
      <c r="M227" s="240">
        <v>103521</v>
      </c>
      <c r="N227" s="240">
        <v>3178274</v>
      </c>
    </row>
    <row r="228" spans="1:14" ht="13.8">
      <c r="A228" s="236">
        <v>37300</v>
      </c>
      <c r="B228" s="237" t="s">
        <v>433</v>
      </c>
      <c r="C228" s="240">
        <v>30858173</v>
      </c>
      <c r="D228" s="240">
        <v>2515671</v>
      </c>
      <c r="E228" s="240">
        <v>8593999</v>
      </c>
      <c r="F228" s="240">
        <v>1083698</v>
      </c>
      <c r="G228" s="240">
        <v>644650</v>
      </c>
      <c r="H228" s="240">
        <v>227755</v>
      </c>
      <c r="K228" s="240">
        <v>632282</v>
      </c>
      <c r="L228" s="240">
        <v>7957299</v>
      </c>
      <c r="M228" s="240">
        <v>-270310</v>
      </c>
      <c r="N228" s="240">
        <v>7686989</v>
      </c>
    </row>
    <row r="229" spans="1:14" ht="13.8">
      <c r="A229" s="236">
        <v>37301</v>
      </c>
      <c r="B229" s="237" t="s">
        <v>434</v>
      </c>
      <c r="C229" s="240">
        <v>3085984</v>
      </c>
      <c r="D229" s="240">
        <v>251581</v>
      </c>
      <c r="E229" s="240">
        <v>859446</v>
      </c>
      <c r="F229" s="240">
        <v>108376</v>
      </c>
      <c r="G229" s="240">
        <v>0</v>
      </c>
      <c r="H229" s="240">
        <v>22777</v>
      </c>
      <c r="K229" s="240">
        <v>164953</v>
      </c>
      <c r="L229" s="240">
        <v>795773</v>
      </c>
      <c r="M229" s="240">
        <v>-79629</v>
      </c>
      <c r="N229" s="240">
        <v>716144</v>
      </c>
    </row>
    <row r="230" spans="1:14" ht="13.8">
      <c r="A230" s="236">
        <v>37305</v>
      </c>
      <c r="B230" s="237" t="s">
        <v>235</v>
      </c>
      <c r="C230" s="240">
        <v>7515730</v>
      </c>
      <c r="D230" s="240">
        <v>612710</v>
      </c>
      <c r="E230" s="240">
        <v>2093130</v>
      </c>
      <c r="F230" s="240">
        <v>263942</v>
      </c>
      <c r="G230" s="240">
        <v>246986</v>
      </c>
      <c r="H230" s="240">
        <v>55471</v>
      </c>
      <c r="K230" s="240">
        <v>0</v>
      </c>
      <c r="L230" s="240">
        <v>1938057</v>
      </c>
      <c r="M230" s="240">
        <v>62717</v>
      </c>
      <c r="N230" s="240">
        <v>2000774</v>
      </c>
    </row>
    <row r="231" spans="1:14" ht="13.8">
      <c r="A231" s="236">
        <v>37400</v>
      </c>
      <c r="B231" s="237" t="s">
        <v>435</v>
      </c>
      <c r="C231" s="240">
        <v>158217119</v>
      </c>
      <c r="D231" s="240">
        <v>12898438</v>
      </c>
      <c r="E231" s="240">
        <v>44063456</v>
      </c>
      <c r="F231" s="240">
        <v>5556376</v>
      </c>
      <c r="G231" s="240">
        <v>1866591</v>
      </c>
      <c r="H231" s="240">
        <v>1167754</v>
      </c>
      <c r="K231" s="240">
        <v>3193838</v>
      </c>
      <c r="L231" s="240">
        <v>40798943</v>
      </c>
      <c r="M231" s="240">
        <v>-1241732</v>
      </c>
      <c r="N231" s="240">
        <v>39557211</v>
      </c>
    </row>
    <row r="232" spans="1:14" ht="13.8">
      <c r="A232" s="193">
        <v>37405</v>
      </c>
      <c r="B232" s="194" t="s">
        <v>236</v>
      </c>
      <c r="C232" s="239">
        <v>28999247</v>
      </c>
      <c r="D232" s="239">
        <v>2364125</v>
      </c>
      <c r="E232" s="239">
        <v>8076288</v>
      </c>
      <c r="F232" s="239">
        <v>1018415</v>
      </c>
      <c r="G232" s="239">
        <v>0</v>
      </c>
      <c r="H232" s="239">
        <v>214035</v>
      </c>
      <c r="K232" s="239">
        <v>259888</v>
      </c>
      <c r="L232" s="239">
        <v>7477943</v>
      </c>
      <c r="M232" s="239">
        <v>-290181</v>
      </c>
      <c r="N232" s="239">
        <v>7187762</v>
      </c>
    </row>
    <row r="233" spans="1:14" ht="13.8">
      <c r="A233" s="193">
        <v>37500</v>
      </c>
      <c r="B233" s="194" t="s">
        <v>436</v>
      </c>
      <c r="C233" s="239">
        <v>16636972</v>
      </c>
      <c r="D233" s="239">
        <v>1356307</v>
      </c>
      <c r="E233" s="239">
        <v>4633395</v>
      </c>
      <c r="F233" s="239">
        <v>584268</v>
      </c>
      <c r="G233" s="239">
        <v>397559</v>
      </c>
      <c r="H233" s="239">
        <v>122793</v>
      </c>
      <c r="K233" s="239">
        <v>69847</v>
      </c>
      <c r="L233" s="239">
        <v>4290123</v>
      </c>
      <c r="M233" s="239">
        <v>71579</v>
      </c>
      <c r="N233" s="239">
        <v>4361702</v>
      </c>
    </row>
    <row r="234" spans="1:14" ht="13.8">
      <c r="A234" s="193">
        <v>37600</v>
      </c>
      <c r="B234" s="194" t="s">
        <v>437</v>
      </c>
      <c r="C234" s="239">
        <v>94523475</v>
      </c>
      <c r="D234" s="239">
        <v>7705899</v>
      </c>
      <c r="E234" s="239">
        <v>26324781</v>
      </c>
      <c r="F234" s="239">
        <v>3319539</v>
      </c>
      <c r="G234" s="239">
        <v>290459</v>
      </c>
      <c r="H234" s="239">
        <v>697650</v>
      </c>
      <c r="K234" s="239">
        <v>1289783</v>
      </c>
      <c r="L234" s="239">
        <v>24374467</v>
      </c>
      <c r="M234" s="239">
        <v>-1289399</v>
      </c>
      <c r="N234" s="239">
        <v>23085068</v>
      </c>
    </row>
    <row r="235" spans="1:14" ht="13.8">
      <c r="A235" s="193">
        <v>37601</v>
      </c>
      <c r="B235" s="194" t="s">
        <v>438</v>
      </c>
      <c r="C235" s="239">
        <v>9741440</v>
      </c>
      <c r="D235" s="239">
        <v>794158</v>
      </c>
      <c r="E235" s="239">
        <v>2712990</v>
      </c>
      <c r="F235" s="239">
        <v>342106</v>
      </c>
      <c r="G235" s="239">
        <v>31656</v>
      </c>
      <c r="H235" s="239">
        <v>71899</v>
      </c>
      <c r="K235" s="239">
        <v>292513</v>
      </c>
      <c r="L235" s="239">
        <v>2511994</v>
      </c>
      <c r="M235" s="239">
        <v>-63739</v>
      </c>
      <c r="N235" s="239">
        <v>2448255</v>
      </c>
    </row>
    <row r="236" spans="1:14" ht="13.8">
      <c r="A236" s="193">
        <v>37605</v>
      </c>
      <c r="B236" s="194" t="s">
        <v>237</v>
      </c>
      <c r="C236" s="239">
        <v>11358622</v>
      </c>
      <c r="D236" s="239">
        <v>925996</v>
      </c>
      <c r="E236" s="239">
        <v>3163375</v>
      </c>
      <c r="F236" s="239">
        <v>398900</v>
      </c>
      <c r="G236" s="239">
        <v>0</v>
      </c>
      <c r="H236" s="239">
        <v>83835</v>
      </c>
      <c r="K236" s="239">
        <v>199458</v>
      </c>
      <c r="L236" s="239">
        <v>2929012</v>
      </c>
      <c r="M236" s="239">
        <v>-133701</v>
      </c>
      <c r="N236" s="239">
        <v>2795311</v>
      </c>
    </row>
    <row r="237" spans="1:14" ht="13.8">
      <c r="A237" s="193">
        <v>37610</v>
      </c>
      <c r="B237" s="194" t="s">
        <v>439</v>
      </c>
      <c r="C237" s="239">
        <v>29039260</v>
      </c>
      <c r="D237" s="239">
        <v>2367387</v>
      </c>
      <c r="E237" s="239">
        <v>8087432</v>
      </c>
      <c r="F237" s="239">
        <v>1019820</v>
      </c>
      <c r="G237" s="239">
        <v>0</v>
      </c>
      <c r="H237" s="239">
        <v>214330</v>
      </c>
      <c r="K237" s="239">
        <v>966497</v>
      </c>
      <c r="L237" s="239">
        <v>7488261</v>
      </c>
      <c r="M237" s="239">
        <v>-683141</v>
      </c>
      <c r="N237" s="239">
        <v>6805120</v>
      </c>
    </row>
    <row r="238" spans="1:14" ht="13.8">
      <c r="A238" s="193">
        <v>37700</v>
      </c>
      <c r="B238" s="194" t="s">
        <v>440</v>
      </c>
      <c r="C238" s="239">
        <v>43822307</v>
      </c>
      <c r="D238" s="239">
        <v>3572555</v>
      </c>
      <c r="E238" s="239">
        <v>12204509</v>
      </c>
      <c r="F238" s="239">
        <v>1538981</v>
      </c>
      <c r="G238" s="239">
        <v>1271037</v>
      </c>
      <c r="H238" s="239">
        <v>323440</v>
      </c>
      <c r="K238" s="239">
        <v>234527</v>
      </c>
      <c r="L238" s="239">
        <v>11300318</v>
      </c>
      <c r="M238" s="239">
        <v>84635</v>
      </c>
      <c r="N238" s="239">
        <v>11384953</v>
      </c>
    </row>
    <row r="239" spans="1:14" ht="13.8">
      <c r="A239" s="193">
        <v>37705</v>
      </c>
      <c r="B239" s="194" t="s">
        <v>238</v>
      </c>
      <c r="C239" s="239">
        <v>12415626</v>
      </c>
      <c r="D239" s="239">
        <v>1012167</v>
      </c>
      <c r="E239" s="239">
        <v>3457751</v>
      </c>
      <c r="F239" s="239">
        <v>436020</v>
      </c>
      <c r="G239" s="239">
        <v>294988</v>
      </c>
      <c r="H239" s="239">
        <v>91636</v>
      </c>
      <c r="K239" s="239">
        <v>126858</v>
      </c>
      <c r="L239" s="239">
        <v>3201578</v>
      </c>
      <c r="M239" s="239">
        <v>-14127</v>
      </c>
      <c r="N239" s="239">
        <v>3187451</v>
      </c>
    </row>
    <row r="240" spans="1:14" ht="13.8">
      <c r="A240" s="193">
        <v>37800</v>
      </c>
      <c r="B240" s="194" t="s">
        <v>441</v>
      </c>
      <c r="C240" s="239">
        <v>138082365</v>
      </c>
      <c r="D240" s="239">
        <v>11256979</v>
      </c>
      <c r="E240" s="239">
        <v>38455928</v>
      </c>
      <c r="F240" s="239">
        <v>4849270</v>
      </c>
      <c r="G240" s="239">
        <v>4782963</v>
      </c>
      <c r="H240" s="239">
        <v>1019145</v>
      </c>
      <c r="K240" s="239">
        <v>854896</v>
      </c>
      <c r="L240" s="239">
        <v>35606858</v>
      </c>
      <c r="M240" s="239">
        <v>30739</v>
      </c>
      <c r="N240" s="239">
        <v>35637597</v>
      </c>
    </row>
    <row r="241" spans="1:14" ht="13.8">
      <c r="A241" s="193">
        <v>37801</v>
      </c>
      <c r="B241" s="194" t="s">
        <v>442</v>
      </c>
      <c r="C241" s="239">
        <v>1112021</v>
      </c>
      <c r="D241" s="239">
        <v>90656</v>
      </c>
      <c r="E241" s="239">
        <v>309698</v>
      </c>
      <c r="F241" s="239">
        <v>39053</v>
      </c>
      <c r="G241" s="239">
        <v>0</v>
      </c>
      <c r="H241" s="239">
        <v>8208</v>
      </c>
      <c r="K241" s="239">
        <v>77168</v>
      </c>
      <c r="L241" s="239">
        <v>286753</v>
      </c>
      <c r="M241" s="239">
        <v>-34564</v>
      </c>
      <c r="N241" s="239">
        <v>252189</v>
      </c>
    </row>
    <row r="242" spans="1:14" ht="13.8">
      <c r="A242" s="193">
        <v>37805</v>
      </c>
      <c r="B242" s="194" t="s">
        <v>240</v>
      </c>
      <c r="C242" s="239">
        <v>10508351</v>
      </c>
      <c r="D242" s="239">
        <v>856679</v>
      </c>
      <c r="E242" s="239">
        <v>2926575</v>
      </c>
      <c r="F242" s="239">
        <v>369039</v>
      </c>
      <c r="G242" s="239">
        <v>245859</v>
      </c>
      <c r="H242" s="239">
        <v>77559</v>
      </c>
      <c r="K242" s="239">
        <v>0</v>
      </c>
      <c r="L242" s="239">
        <v>2709755</v>
      </c>
      <c r="M242" s="239">
        <v>160149</v>
      </c>
      <c r="N242" s="239">
        <v>2869904</v>
      </c>
    </row>
    <row r="243" spans="1:14" ht="13.8">
      <c r="A243" s="193">
        <v>37900</v>
      </c>
      <c r="B243" s="194" t="s">
        <v>443</v>
      </c>
      <c r="C243" s="239">
        <v>67499858</v>
      </c>
      <c r="D243" s="239">
        <v>5502835</v>
      </c>
      <c r="E243" s="239">
        <v>18798705</v>
      </c>
      <c r="F243" s="239">
        <v>2370506</v>
      </c>
      <c r="G243" s="239">
        <v>314050</v>
      </c>
      <c r="H243" s="239">
        <v>498197</v>
      </c>
      <c r="K243" s="239">
        <v>229896</v>
      </c>
      <c r="L243" s="239">
        <v>17405973</v>
      </c>
      <c r="M243" s="239">
        <v>342298</v>
      </c>
      <c r="N243" s="239">
        <v>17748271</v>
      </c>
    </row>
    <row r="244" spans="1:14" ht="13.8">
      <c r="A244" s="236">
        <v>37901</v>
      </c>
      <c r="B244" s="237" t="s">
        <v>444</v>
      </c>
      <c r="C244" s="240">
        <v>2625837</v>
      </c>
      <c r="D244" s="240">
        <v>214068</v>
      </c>
      <c r="E244" s="240">
        <v>731295</v>
      </c>
      <c r="F244" s="240">
        <v>92216</v>
      </c>
      <c r="G244" s="240">
        <v>190797</v>
      </c>
      <c r="H244" s="240">
        <v>19381</v>
      </c>
      <c r="K244" s="240">
        <v>0</v>
      </c>
      <c r="L244" s="240">
        <v>677116</v>
      </c>
      <c r="M244" s="240">
        <v>101942</v>
      </c>
      <c r="N244" s="240">
        <v>779058</v>
      </c>
    </row>
    <row r="245" spans="1:14" ht="13.8">
      <c r="A245" s="236">
        <v>37905</v>
      </c>
      <c r="B245" s="237" t="s">
        <v>241</v>
      </c>
      <c r="C245" s="240">
        <v>7312332</v>
      </c>
      <c r="D245" s="240">
        <v>596128</v>
      </c>
      <c r="E245" s="240">
        <v>2036484</v>
      </c>
      <c r="F245" s="240">
        <v>256799</v>
      </c>
      <c r="G245" s="240">
        <v>67730</v>
      </c>
      <c r="H245" s="240">
        <v>53970</v>
      </c>
      <c r="K245" s="240">
        <v>13617</v>
      </c>
      <c r="L245" s="240">
        <v>1885608</v>
      </c>
      <c r="M245" s="240">
        <v>44952</v>
      </c>
      <c r="N245" s="240">
        <v>1930560</v>
      </c>
    </row>
    <row r="246" spans="1:14" ht="13.8">
      <c r="A246" s="236">
        <v>38000</v>
      </c>
      <c r="B246" s="237" t="s">
        <v>445</v>
      </c>
      <c r="C246" s="240">
        <v>106597325</v>
      </c>
      <c r="D246" s="240">
        <v>8690204</v>
      </c>
      <c r="E246" s="240">
        <v>29687347</v>
      </c>
      <c r="F246" s="240">
        <v>3743557</v>
      </c>
      <c r="G246" s="240">
        <v>0</v>
      </c>
      <c r="H246" s="240">
        <v>786763</v>
      </c>
      <c r="K246" s="240">
        <v>3858228</v>
      </c>
      <c r="L246" s="240">
        <v>27487912</v>
      </c>
      <c r="M246" s="240">
        <v>-2172856</v>
      </c>
      <c r="N246" s="240">
        <v>25315056</v>
      </c>
    </row>
    <row r="247" spans="1:14" ht="13.8">
      <c r="A247" s="236">
        <v>38005</v>
      </c>
      <c r="B247" s="237" t="s">
        <v>242</v>
      </c>
      <c r="C247" s="240">
        <v>24081012</v>
      </c>
      <c r="D247" s="240">
        <v>1963172</v>
      </c>
      <c r="E247" s="240">
        <v>6706560</v>
      </c>
      <c r="F247" s="240">
        <v>845693</v>
      </c>
      <c r="G247" s="240">
        <v>194936</v>
      </c>
      <c r="H247" s="240">
        <v>177735</v>
      </c>
      <c r="K247" s="240">
        <v>0</v>
      </c>
      <c r="L247" s="240">
        <v>6209694</v>
      </c>
      <c r="M247" s="240">
        <v>154429</v>
      </c>
      <c r="N247" s="240">
        <v>6364123</v>
      </c>
    </row>
    <row r="248" spans="1:14" ht="13.8">
      <c r="A248" s="236">
        <v>38100</v>
      </c>
      <c r="B248" s="237" t="s">
        <v>446</v>
      </c>
      <c r="C248" s="240">
        <v>55612734</v>
      </c>
      <c r="D248" s="240">
        <v>4533753</v>
      </c>
      <c r="E248" s="240">
        <v>15488142</v>
      </c>
      <c r="F248" s="240">
        <v>1953046</v>
      </c>
      <c r="G248" s="240">
        <v>2042414</v>
      </c>
      <c r="H248" s="240">
        <v>410461</v>
      </c>
      <c r="K248" s="240">
        <v>474109</v>
      </c>
      <c r="L248" s="240">
        <v>14340678</v>
      </c>
      <c r="M248" s="240">
        <v>84083</v>
      </c>
      <c r="N248" s="240">
        <v>14424761</v>
      </c>
    </row>
    <row r="249" spans="1:14" ht="13.8">
      <c r="A249" s="236">
        <v>38105</v>
      </c>
      <c r="B249" s="237" t="s">
        <v>224</v>
      </c>
      <c r="C249" s="240">
        <v>9961510</v>
      </c>
      <c r="D249" s="240">
        <v>812099</v>
      </c>
      <c r="E249" s="240">
        <v>2774280</v>
      </c>
      <c r="F249" s="240">
        <v>349835</v>
      </c>
      <c r="G249" s="240">
        <v>184954</v>
      </c>
      <c r="H249" s="240">
        <v>73523</v>
      </c>
      <c r="K249" s="240">
        <v>42398</v>
      </c>
      <c r="L249" s="240">
        <v>2568743</v>
      </c>
      <c r="M249" s="240">
        <v>-16627</v>
      </c>
      <c r="N249" s="240">
        <v>2552116</v>
      </c>
    </row>
    <row r="250" spans="1:14" ht="13.8">
      <c r="A250" s="193">
        <v>38200</v>
      </c>
      <c r="B250" s="194" t="s">
        <v>447</v>
      </c>
      <c r="C250" s="239">
        <v>48462120</v>
      </c>
      <c r="D250" s="239">
        <v>3950809</v>
      </c>
      <c r="E250" s="239">
        <v>13496697</v>
      </c>
      <c r="F250" s="239">
        <v>1701926</v>
      </c>
      <c r="G250" s="239">
        <v>1090254</v>
      </c>
      <c r="H250" s="239">
        <v>357685</v>
      </c>
      <c r="K250" s="239">
        <v>735754</v>
      </c>
      <c r="L250" s="239">
        <v>12496772</v>
      </c>
      <c r="M250" s="239">
        <v>-163371</v>
      </c>
      <c r="N250" s="239">
        <v>12333401</v>
      </c>
    </row>
    <row r="251" spans="1:14" ht="13.8">
      <c r="A251" s="193">
        <v>38205</v>
      </c>
      <c r="B251" s="194" t="s">
        <v>243</v>
      </c>
      <c r="C251" s="239">
        <v>7572415</v>
      </c>
      <c r="D251" s="239">
        <v>617331</v>
      </c>
      <c r="E251" s="239">
        <v>2108917</v>
      </c>
      <c r="F251" s="239">
        <v>265933</v>
      </c>
      <c r="G251" s="239">
        <v>181952</v>
      </c>
      <c r="H251" s="239">
        <v>55890</v>
      </c>
      <c r="K251" s="239">
        <v>50006</v>
      </c>
      <c r="L251" s="239">
        <v>1952674</v>
      </c>
      <c r="M251" s="239">
        <v>59685</v>
      </c>
      <c r="N251" s="239">
        <v>2012359</v>
      </c>
    </row>
    <row r="252" spans="1:14" ht="13.8">
      <c r="A252" s="193">
        <v>38210</v>
      </c>
      <c r="B252" s="194" t="s">
        <v>448</v>
      </c>
      <c r="C252" s="239">
        <v>18924368</v>
      </c>
      <c r="D252" s="239">
        <v>1542784</v>
      </c>
      <c r="E252" s="239">
        <v>5270435</v>
      </c>
      <c r="F252" s="239">
        <v>664599</v>
      </c>
      <c r="G252" s="239">
        <v>458019</v>
      </c>
      <c r="H252" s="239">
        <v>139675</v>
      </c>
      <c r="K252" s="239">
        <v>344058</v>
      </c>
      <c r="L252" s="239">
        <v>4879966</v>
      </c>
      <c r="M252" s="239">
        <v>-63896</v>
      </c>
      <c r="N252" s="239">
        <v>4816070</v>
      </c>
    </row>
    <row r="253" spans="1:14" ht="13.8">
      <c r="A253" s="193">
        <v>38300</v>
      </c>
      <c r="B253" s="194" t="s">
        <v>449</v>
      </c>
      <c r="C253" s="239">
        <v>37745370</v>
      </c>
      <c r="D253" s="239">
        <v>3077141</v>
      </c>
      <c r="E253" s="239">
        <v>10512083</v>
      </c>
      <c r="F253" s="239">
        <v>1325567</v>
      </c>
      <c r="G253" s="239">
        <v>846420</v>
      </c>
      <c r="H253" s="239">
        <v>278587</v>
      </c>
      <c r="K253" s="239">
        <v>1544043</v>
      </c>
      <c r="L253" s="239">
        <v>9733278</v>
      </c>
      <c r="M253" s="239">
        <v>-413596</v>
      </c>
      <c r="N253" s="239">
        <v>9319682</v>
      </c>
    </row>
    <row r="254" spans="1:14" ht="13.8">
      <c r="A254" s="193">
        <v>38400</v>
      </c>
      <c r="B254" s="194" t="s">
        <v>450</v>
      </c>
      <c r="C254" s="239">
        <v>49195687</v>
      </c>
      <c r="D254" s="239">
        <v>4010612</v>
      </c>
      <c r="E254" s="239">
        <v>13700995</v>
      </c>
      <c r="F254" s="239">
        <v>1727687</v>
      </c>
      <c r="G254" s="239">
        <v>724880</v>
      </c>
      <c r="H254" s="239">
        <v>363099</v>
      </c>
      <c r="K254" s="239">
        <v>392045</v>
      </c>
      <c r="L254" s="239">
        <v>12685935</v>
      </c>
      <c r="M254" s="239">
        <v>110556</v>
      </c>
      <c r="N254" s="239">
        <v>12796491</v>
      </c>
    </row>
    <row r="255" spans="1:14" ht="13.8">
      <c r="A255" s="193">
        <v>38402</v>
      </c>
      <c r="B255" s="194" t="s">
        <v>451</v>
      </c>
      <c r="C255" s="239">
        <v>3447766</v>
      </c>
      <c r="D255" s="239">
        <v>281074</v>
      </c>
      <c r="E255" s="239">
        <v>960203</v>
      </c>
      <c r="F255" s="239">
        <v>121081</v>
      </c>
      <c r="G255" s="239">
        <v>0</v>
      </c>
      <c r="H255" s="239">
        <v>25447</v>
      </c>
      <c r="K255" s="239">
        <v>111862</v>
      </c>
      <c r="L255" s="239">
        <v>889064</v>
      </c>
      <c r="M255" s="239">
        <v>-86029</v>
      </c>
      <c r="N255" s="239">
        <v>803035</v>
      </c>
    </row>
    <row r="256" spans="1:14" ht="13.8">
      <c r="A256" s="236">
        <v>38405</v>
      </c>
      <c r="B256" s="237" t="s">
        <v>248</v>
      </c>
      <c r="C256" s="240">
        <v>11912132</v>
      </c>
      <c r="D256" s="240">
        <v>971121</v>
      </c>
      <c r="E256" s="240">
        <v>3317528</v>
      </c>
      <c r="F256" s="240">
        <v>418338</v>
      </c>
      <c r="G256" s="240">
        <v>20411</v>
      </c>
      <c r="H256" s="240">
        <v>87920</v>
      </c>
      <c r="K256" s="240">
        <v>69022</v>
      </c>
      <c r="L256" s="240">
        <v>3071743</v>
      </c>
      <c r="M256" s="240">
        <v>-106789</v>
      </c>
      <c r="N256" s="240">
        <v>2964954</v>
      </c>
    </row>
    <row r="257" spans="1:14" ht="13.8">
      <c r="A257" s="236">
        <v>38500</v>
      </c>
      <c r="B257" s="237" t="s">
        <v>452</v>
      </c>
      <c r="C257" s="240">
        <v>36596670</v>
      </c>
      <c r="D257" s="240">
        <v>2983494</v>
      </c>
      <c r="E257" s="240">
        <v>10192170</v>
      </c>
      <c r="F257" s="240">
        <v>1285227</v>
      </c>
      <c r="G257" s="240">
        <v>673474</v>
      </c>
      <c r="H257" s="240">
        <v>270109</v>
      </c>
      <c r="K257" s="240">
        <v>658897</v>
      </c>
      <c r="L257" s="240">
        <v>9437066</v>
      </c>
      <c r="M257" s="240">
        <v>21573</v>
      </c>
      <c r="N257" s="240">
        <v>9458639</v>
      </c>
    </row>
    <row r="258" spans="1:14" ht="13.8">
      <c r="A258" s="236">
        <v>38600</v>
      </c>
      <c r="B258" s="237" t="s">
        <v>453</v>
      </c>
      <c r="C258" s="241">
        <v>46594858</v>
      </c>
      <c r="D258" s="241">
        <v>3798583</v>
      </c>
      <c r="E258" s="241">
        <v>12976664</v>
      </c>
      <c r="F258" s="241">
        <v>1636350</v>
      </c>
      <c r="G258" s="240">
        <v>1023206</v>
      </c>
      <c r="H258" s="241">
        <v>343903</v>
      </c>
      <c r="K258" s="240">
        <v>956810</v>
      </c>
      <c r="L258" s="241">
        <v>12015267</v>
      </c>
      <c r="M258" s="240">
        <v>-255248</v>
      </c>
      <c r="N258" s="240">
        <v>11760019</v>
      </c>
    </row>
    <row r="259" spans="1:14" ht="13.8">
      <c r="A259" s="236">
        <v>38601</v>
      </c>
      <c r="B259" s="237" t="s">
        <v>526</v>
      </c>
      <c r="C259" s="241">
        <v>0</v>
      </c>
      <c r="D259" s="241">
        <v>0</v>
      </c>
      <c r="E259" s="241">
        <v>0</v>
      </c>
      <c r="F259" s="241">
        <v>0</v>
      </c>
      <c r="G259" s="240">
        <v>0</v>
      </c>
      <c r="H259" s="241">
        <v>0</v>
      </c>
      <c r="K259" s="240">
        <v>174163</v>
      </c>
      <c r="L259" s="241">
        <v>0</v>
      </c>
      <c r="M259" s="240">
        <v>-96495</v>
      </c>
      <c r="N259" s="240">
        <v>-96495</v>
      </c>
    </row>
    <row r="260" spans="1:14" ht="13.8">
      <c r="A260" s="236">
        <v>38602</v>
      </c>
      <c r="B260" s="237" t="s">
        <v>454</v>
      </c>
      <c r="C260" s="240">
        <v>3574473</v>
      </c>
      <c r="D260" s="240">
        <v>291404</v>
      </c>
      <c r="E260" s="240">
        <v>995491</v>
      </c>
      <c r="F260" s="240">
        <v>125531</v>
      </c>
      <c r="G260" s="240">
        <v>0</v>
      </c>
      <c r="H260" s="240">
        <v>26382</v>
      </c>
      <c r="K260" s="240">
        <v>222096</v>
      </c>
      <c r="L260" s="240">
        <v>921738</v>
      </c>
      <c r="M260" s="240">
        <v>-88119</v>
      </c>
      <c r="N260" s="240">
        <v>833619</v>
      </c>
    </row>
    <row r="261" spans="1:14" ht="13.8">
      <c r="A261" s="236">
        <v>38605</v>
      </c>
      <c r="B261" s="237" t="s">
        <v>249</v>
      </c>
      <c r="C261" s="240">
        <v>11888791</v>
      </c>
      <c r="D261" s="240">
        <v>969218</v>
      </c>
      <c r="E261" s="240">
        <v>3311027</v>
      </c>
      <c r="F261" s="240">
        <v>417519</v>
      </c>
      <c r="G261" s="240">
        <v>102511</v>
      </c>
      <c r="H261" s="240">
        <v>87748</v>
      </c>
      <c r="K261" s="240">
        <v>285016</v>
      </c>
      <c r="L261" s="240">
        <v>3065725</v>
      </c>
      <c r="M261" s="240">
        <v>-77942</v>
      </c>
      <c r="N261" s="240">
        <v>2987783</v>
      </c>
    </row>
    <row r="262" spans="1:14" ht="13.8">
      <c r="A262" s="193">
        <v>38610</v>
      </c>
      <c r="B262" s="194" t="s">
        <v>455</v>
      </c>
      <c r="C262" s="239">
        <v>12245572</v>
      </c>
      <c r="D262" s="239">
        <v>998304</v>
      </c>
      <c r="E262" s="239">
        <v>3410391</v>
      </c>
      <c r="F262" s="239">
        <v>430048</v>
      </c>
      <c r="G262" s="239">
        <v>378876</v>
      </c>
      <c r="H262" s="239">
        <v>90381</v>
      </c>
      <c r="K262" s="239">
        <v>52803</v>
      </c>
      <c r="L262" s="239">
        <v>3157726</v>
      </c>
      <c r="M262" s="239">
        <v>145683</v>
      </c>
      <c r="N262" s="239">
        <v>3303409</v>
      </c>
    </row>
    <row r="263" spans="1:14" ht="13.8">
      <c r="A263" s="193">
        <v>38620</v>
      </c>
      <c r="B263" s="194" t="s">
        <v>456</v>
      </c>
      <c r="C263" s="239">
        <v>8644423</v>
      </c>
      <c r="D263" s="239">
        <v>704725</v>
      </c>
      <c r="E263" s="239">
        <v>2407471</v>
      </c>
      <c r="F263" s="239">
        <v>303581</v>
      </c>
      <c r="G263" s="239">
        <v>473662</v>
      </c>
      <c r="H263" s="239">
        <v>63802</v>
      </c>
      <c r="K263" s="239">
        <v>3792</v>
      </c>
      <c r="L263" s="239">
        <v>2229110</v>
      </c>
      <c r="M263" s="239">
        <v>248919</v>
      </c>
      <c r="N263" s="239">
        <v>2478029</v>
      </c>
    </row>
    <row r="264" spans="1:14" ht="13.8">
      <c r="A264" s="193">
        <v>38700</v>
      </c>
      <c r="B264" s="194" t="s">
        <v>457</v>
      </c>
      <c r="C264" s="239">
        <v>15388240</v>
      </c>
      <c r="D264" s="239">
        <v>1254506</v>
      </c>
      <c r="E264" s="239">
        <v>4285624</v>
      </c>
      <c r="F264" s="239">
        <v>540415</v>
      </c>
      <c r="G264" s="239">
        <v>333524</v>
      </c>
      <c r="H264" s="239">
        <v>113576</v>
      </c>
      <c r="K264" s="239">
        <v>94839</v>
      </c>
      <c r="L264" s="239">
        <v>3968116</v>
      </c>
      <c r="M264" s="239">
        <v>-15234</v>
      </c>
      <c r="N264" s="239">
        <v>3952882</v>
      </c>
    </row>
    <row r="265" spans="1:14" ht="13.8">
      <c r="A265" s="193">
        <v>38701</v>
      </c>
      <c r="B265" s="194" t="s">
        <v>527</v>
      </c>
      <c r="C265" s="239">
        <v>1205384</v>
      </c>
      <c r="D265" s="239">
        <v>98267</v>
      </c>
      <c r="E265" s="239">
        <v>335699</v>
      </c>
      <c r="F265" s="239">
        <v>42332</v>
      </c>
      <c r="G265" s="239">
        <v>61380</v>
      </c>
      <c r="H265" s="239">
        <v>8897</v>
      </c>
      <c r="K265" s="239">
        <v>19867</v>
      </c>
      <c r="L265" s="239">
        <v>310829</v>
      </c>
      <c r="M265" s="239">
        <v>24859</v>
      </c>
      <c r="N265" s="239">
        <v>335688</v>
      </c>
    </row>
    <row r="266" spans="1:14" ht="13.8">
      <c r="A266" s="193">
        <v>38800</v>
      </c>
      <c r="B266" s="194" t="s">
        <v>459</v>
      </c>
      <c r="C266" s="239">
        <v>26226696</v>
      </c>
      <c r="D266" s="239">
        <v>2138096</v>
      </c>
      <c r="E266" s="239">
        <v>7304133</v>
      </c>
      <c r="F266" s="239">
        <v>921047</v>
      </c>
      <c r="G266" s="239">
        <v>535078</v>
      </c>
      <c r="H266" s="239">
        <v>193572</v>
      </c>
      <c r="K266" s="239">
        <v>484790</v>
      </c>
      <c r="L266" s="239">
        <v>6762994</v>
      </c>
      <c r="M266" s="239">
        <v>45535</v>
      </c>
      <c r="N266" s="239">
        <v>6808529</v>
      </c>
    </row>
    <row r="267" spans="1:14" ht="13.8">
      <c r="A267" s="193">
        <v>38801</v>
      </c>
      <c r="B267" s="194" t="s">
        <v>460</v>
      </c>
      <c r="C267" s="239">
        <v>2449114</v>
      </c>
      <c r="D267" s="239">
        <v>199661</v>
      </c>
      <c r="E267" s="239">
        <v>682078</v>
      </c>
      <c r="F267" s="239">
        <v>86010</v>
      </c>
      <c r="G267" s="239">
        <v>118270</v>
      </c>
      <c r="H267" s="239">
        <v>18076</v>
      </c>
      <c r="K267" s="239">
        <v>267736</v>
      </c>
      <c r="L267" s="239">
        <v>631545</v>
      </c>
      <c r="M267" s="239">
        <v>4896</v>
      </c>
      <c r="N267" s="239">
        <v>636441</v>
      </c>
    </row>
    <row r="268" spans="1:14" ht="13.8">
      <c r="A268" s="236">
        <v>38900</v>
      </c>
      <c r="B268" s="237" t="s">
        <v>461</v>
      </c>
      <c r="C268" s="240">
        <v>5420062</v>
      </c>
      <c r="D268" s="240">
        <v>441863</v>
      </c>
      <c r="E268" s="240">
        <v>1509487</v>
      </c>
      <c r="F268" s="240">
        <v>190345</v>
      </c>
      <c r="G268" s="240">
        <v>41503</v>
      </c>
      <c r="H268" s="240">
        <v>40004</v>
      </c>
      <c r="K268" s="240">
        <v>179136</v>
      </c>
      <c r="L268" s="240">
        <v>1397654</v>
      </c>
      <c r="M268" s="240">
        <v>-27129</v>
      </c>
      <c r="N268" s="240">
        <v>1370525</v>
      </c>
    </row>
    <row r="269" spans="1:14" ht="13.8">
      <c r="A269" s="236">
        <v>39000</v>
      </c>
      <c r="B269" s="237" t="s">
        <v>462</v>
      </c>
      <c r="C269" s="240">
        <v>255596504</v>
      </c>
      <c r="D269" s="240">
        <v>20837161</v>
      </c>
      <c r="E269" s="240">
        <v>71183607</v>
      </c>
      <c r="F269" s="240">
        <v>8976211</v>
      </c>
      <c r="G269" s="240">
        <v>2342534</v>
      </c>
      <c r="H269" s="240">
        <v>1886483</v>
      </c>
      <c r="K269" s="240">
        <v>5510770</v>
      </c>
      <c r="L269" s="240">
        <v>65909854</v>
      </c>
      <c r="M269" s="240">
        <v>-3434809</v>
      </c>
      <c r="N269" s="240">
        <v>62475045</v>
      </c>
    </row>
    <row r="270" spans="1:14" ht="13.8">
      <c r="A270" s="236">
        <v>39100</v>
      </c>
      <c r="B270" s="237" t="s">
        <v>463</v>
      </c>
      <c r="C270" s="240">
        <v>30202964</v>
      </c>
      <c r="D270" s="240">
        <v>2462256</v>
      </c>
      <c r="E270" s="240">
        <v>8411523</v>
      </c>
      <c r="F270" s="240">
        <v>1060688</v>
      </c>
      <c r="G270" s="240">
        <v>983586</v>
      </c>
      <c r="H270" s="240">
        <v>222919</v>
      </c>
      <c r="K270" s="240">
        <v>391613</v>
      </c>
      <c r="L270" s="240">
        <v>7788342</v>
      </c>
      <c r="M270" s="240">
        <v>-306132</v>
      </c>
      <c r="N270" s="240">
        <v>7482210</v>
      </c>
    </row>
    <row r="271" spans="1:14" ht="13.8">
      <c r="A271" s="236">
        <v>39101</v>
      </c>
      <c r="B271" s="237" t="s">
        <v>464</v>
      </c>
      <c r="C271" s="240">
        <v>4713170</v>
      </c>
      <c r="D271" s="240">
        <v>384235</v>
      </c>
      <c r="E271" s="240">
        <v>1312617</v>
      </c>
      <c r="F271" s="240">
        <v>165520</v>
      </c>
      <c r="G271" s="240">
        <v>29876</v>
      </c>
      <c r="H271" s="240">
        <v>34787</v>
      </c>
      <c r="K271" s="240">
        <v>32495</v>
      </c>
      <c r="L271" s="240">
        <v>1215370</v>
      </c>
      <c r="M271" s="240">
        <v>40835</v>
      </c>
      <c r="N271" s="240">
        <v>1256205</v>
      </c>
    </row>
    <row r="272" spans="1:14" ht="13.8">
      <c r="A272" s="236">
        <v>39105</v>
      </c>
      <c r="B272" s="237" t="s">
        <v>251</v>
      </c>
      <c r="C272" s="240">
        <v>11135217</v>
      </c>
      <c r="D272" s="240">
        <v>907784</v>
      </c>
      <c r="E272" s="240">
        <v>3101157</v>
      </c>
      <c r="F272" s="240">
        <v>391054</v>
      </c>
      <c r="G272" s="240">
        <v>221781</v>
      </c>
      <c r="H272" s="240">
        <v>82186</v>
      </c>
      <c r="K272" s="240">
        <v>302498</v>
      </c>
      <c r="L272" s="240">
        <v>2871403</v>
      </c>
      <c r="M272" s="240">
        <v>-69131</v>
      </c>
      <c r="N272" s="240">
        <v>2802272</v>
      </c>
    </row>
    <row r="273" spans="1:14" ht="13.8">
      <c r="A273" s="236">
        <v>39200</v>
      </c>
      <c r="B273" s="238" t="s">
        <v>465</v>
      </c>
      <c r="C273" s="240">
        <v>1125939038</v>
      </c>
      <c r="D273" s="240">
        <v>91790666</v>
      </c>
      <c r="E273" s="240">
        <v>313573936</v>
      </c>
      <c r="F273" s="240">
        <v>39541490</v>
      </c>
      <c r="G273" s="240">
        <v>0</v>
      </c>
      <c r="H273" s="240">
        <v>8310225</v>
      </c>
      <c r="K273" s="240">
        <v>10214926</v>
      </c>
      <c r="L273" s="240">
        <v>290342303</v>
      </c>
      <c r="M273" s="240">
        <v>-8363038</v>
      </c>
      <c r="N273" s="240">
        <v>281979265</v>
      </c>
    </row>
    <row r="274" spans="1:14" ht="13.8">
      <c r="A274" s="193">
        <v>39201</v>
      </c>
      <c r="B274" s="194" t="s">
        <v>466</v>
      </c>
      <c r="C274" s="239">
        <v>4973253</v>
      </c>
      <c r="D274" s="239">
        <v>405438</v>
      </c>
      <c r="E274" s="239">
        <v>1385050</v>
      </c>
      <c r="F274" s="239">
        <v>174654</v>
      </c>
      <c r="G274" s="239">
        <v>356527</v>
      </c>
      <c r="H274" s="239">
        <v>36706</v>
      </c>
      <c r="K274" s="239">
        <v>6630</v>
      </c>
      <c r="L274" s="239">
        <v>1282437</v>
      </c>
      <c r="M274" s="239">
        <v>125557</v>
      </c>
      <c r="N274" s="239">
        <v>1407994</v>
      </c>
    </row>
    <row r="275" spans="1:14" ht="13.8">
      <c r="A275" s="193">
        <v>39204</v>
      </c>
      <c r="B275" s="194" t="s">
        <v>467</v>
      </c>
      <c r="C275" s="239">
        <v>4684827</v>
      </c>
      <c r="D275" s="239">
        <v>381924</v>
      </c>
      <c r="E275" s="239">
        <v>1304724</v>
      </c>
      <c r="F275" s="239">
        <v>164525</v>
      </c>
      <c r="G275" s="239">
        <v>156048</v>
      </c>
      <c r="H275" s="239">
        <v>34577</v>
      </c>
      <c r="K275" s="239">
        <v>467902</v>
      </c>
      <c r="L275" s="239">
        <v>1208061</v>
      </c>
      <c r="M275" s="239">
        <v>-134712</v>
      </c>
      <c r="N275" s="239">
        <v>1073349</v>
      </c>
    </row>
    <row r="276" spans="1:14" ht="13.8">
      <c r="A276" s="193">
        <v>39205</v>
      </c>
      <c r="B276" s="194" t="s">
        <v>252</v>
      </c>
      <c r="C276" s="239">
        <v>98076274</v>
      </c>
      <c r="D276" s="239">
        <v>7995536</v>
      </c>
      <c r="E276" s="239">
        <v>27314235</v>
      </c>
      <c r="F276" s="239">
        <v>3444309</v>
      </c>
      <c r="G276" s="239">
        <v>2132061</v>
      </c>
      <c r="H276" s="239">
        <v>723872</v>
      </c>
      <c r="K276" s="239">
        <v>593557</v>
      </c>
      <c r="L276" s="239">
        <v>25290616</v>
      </c>
      <c r="M276" s="239">
        <v>413864</v>
      </c>
      <c r="N276" s="239">
        <v>25704480</v>
      </c>
    </row>
    <row r="277" spans="1:14" ht="13.8">
      <c r="A277" s="193">
        <v>39208</v>
      </c>
      <c r="B277" s="194" t="s">
        <v>468</v>
      </c>
      <c r="C277" s="239">
        <v>6917206</v>
      </c>
      <c r="D277" s="239">
        <v>563916</v>
      </c>
      <c r="E277" s="239">
        <v>1926441</v>
      </c>
      <c r="F277" s="239">
        <v>242923</v>
      </c>
      <c r="G277" s="239">
        <v>0</v>
      </c>
      <c r="H277" s="239">
        <v>51054</v>
      </c>
      <c r="K277" s="239">
        <v>194046</v>
      </c>
      <c r="L277" s="239">
        <v>1783718</v>
      </c>
      <c r="M277" s="239">
        <v>-131914</v>
      </c>
      <c r="N277" s="239">
        <v>1651804</v>
      </c>
    </row>
    <row r="278" spans="1:14" ht="13.8">
      <c r="A278" s="193">
        <v>39209</v>
      </c>
      <c r="B278" s="194" t="s">
        <v>469</v>
      </c>
      <c r="C278" s="239">
        <v>0</v>
      </c>
      <c r="D278" s="239">
        <v>0</v>
      </c>
      <c r="E278" s="239">
        <v>0</v>
      </c>
      <c r="F278" s="239">
        <v>0</v>
      </c>
      <c r="G278" s="239">
        <v>639225</v>
      </c>
      <c r="H278" s="239">
        <v>0</v>
      </c>
      <c r="K278" s="239">
        <v>0</v>
      </c>
      <c r="L278" s="239">
        <v>0</v>
      </c>
      <c r="M278" s="239">
        <v>271147</v>
      </c>
      <c r="N278" s="239">
        <v>271147</v>
      </c>
    </row>
    <row r="279" spans="1:14" ht="13.8">
      <c r="A279" s="193">
        <v>39220</v>
      </c>
      <c r="B279" s="194" t="s">
        <v>470</v>
      </c>
      <c r="C279" s="239">
        <v>0</v>
      </c>
      <c r="D279" s="239">
        <v>0</v>
      </c>
      <c r="E279" s="239">
        <v>0</v>
      </c>
      <c r="F279" s="239">
        <v>0</v>
      </c>
      <c r="G279" s="239">
        <v>48384</v>
      </c>
      <c r="H279" s="239">
        <v>0</v>
      </c>
      <c r="K279" s="239">
        <v>545778</v>
      </c>
      <c r="L279" s="239">
        <v>0</v>
      </c>
      <c r="M279" s="239">
        <v>-159358</v>
      </c>
      <c r="N279" s="239">
        <v>-159358</v>
      </c>
    </row>
    <row r="280" spans="1:14" ht="13.8">
      <c r="A280" s="236">
        <v>39300</v>
      </c>
      <c r="B280" s="237" t="s">
        <v>471</v>
      </c>
      <c r="C280" s="240">
        <v>12890777</v>
      </c>
      <c r="D280" s="240">
        <v>1050903</v>
      </c>
      <c r="E280" s="240">
        <v>3590080</v>
      </c>
      <c r="F280" s="240">
        <v>452707</v>
      </c>
      <c r="G280" s="240">
        <v>985174</v>
      </c>
      <c r="H280" s="240">
        <v>95143</v>
      </c>
      <c r="K280" s="240">
        <v>55212</v>
      </c>
      <c r="L280" s="240">
        <v>3324104</v>
      </c>
      <c r="M280" s="240">
        <v>131642</v>
      </c>
      <c r="N280" s="240">
        <v>3455746</v>
      </c>
    </row>
    <row r="281" spans="1:14" ht="13.8">
      <c r="A281" s="236">
        <v>39301</v>
      </c>
      <c r="B281" s="237" t="s">
        <v>472</v>
      </c>
      <c r="C281" s="240">
        <v>1050335</v>
      </c>
      <c r="D281" s="240">
        <v>85627</v>
      </c>
      <c r="E281" s="240">
        <v>292518</v>
      </c>
      <c r="F281" s="240">
        <v>36886</v>
      </c>
      <c r="G281" s="240">
        <v>156822</v>
      </c>
      <c r="H281" s="240">
        <v>7752</v>
      </c>
      <c r="K281" s="240">
        <v>0</v>
      </c>
      <c r="L281" s="240">
        <v>270847</v>
      </c>
      <c r="M281" s="240">
        <v>67224</v>
      </c>
      <c r="N281" s="240">
        <v>338071</v>
      </c>
    </row>
    <row r="282" spans="1:14" ht="13.8">
      <c r="A282" s="236">
        <v>39400</v>
      </c>
      <c r="B282" s="237" t="s">
        <v>473</v>
      </c>
      <c r="C282" s="240">
        <v>7387356</v>
      </c>
      <c r="D282" s="240">
        <v>602244</v>
      </c>
      <c r="E282" s="240">
        <v>2057378</v>
      </c>
      <c r="F282" s="240">
        <v>259434</v>
      </c>
      <c r="G282" s="240">
        <v>273341</v>
      </c>
      <c r="H282" s="240">
        <v>54524</v>
      </c>
      <c r="K282" s="240">
        <v>96400</v>
      </c>
      <c r="L282" s="240">
        <v>1904954</v>
      </c>
      <c r="M282" s="240">
        <v>-109372</v>
      </c>
      <c r="N282" s="240">
        <v>1795582</v>
      </c>
    </row>
    <row r="283" spans="1:14" ht="13.8">
      <c r="A283" s="236">
        <v>39401</v>
      </c>
      <c r="B283" s="237" t="s">
        <v>474</v>
      </c>
      <c r="C283" s="240">
        <v>8482705</v>
      </c>
      <c r="D283" s="240">
        <v>691541</v>
      </c>
      <c r="E283" s="240">
        <v>2362433</v>
      </c>
      <c r="F283" s="240">
        <v>297901</v>
      </c>
      <c r="G283" s="240">
        <v>0</v>
      </c>
      <c r="H283" s="240">
        <v>62608</v>
      </c>
      <c r="K283" s="240">
        <v>361518</v>
      </c>
      <c r="L283" s="240">
        <v>2187408</v>
      </c>
      <c r="M283" s="240">
        <v>-103986</v>
      </c>
      <c r="N283" s="240">
        <v>2083422</v>
      </c>
    </row>
    <row r="284" spans="1:14" ht="13.8">
      <c r="A284" s="236">
        <v>39500</v>
      </c>
      <c r="B284" s="237" t="s">
        <v>475</v>
      </c>
      <c r="C284" s="240">
        <v>36871758</v>
      </c>
      <c r="D284" s="240">
        <v>3005920</v>
      </c>
      <c r="E284" s="240">
        <v>10268782</v>
      </c>
      <c r="F284" s="240">
        <v>1294887</v>
      </c>
      <c r="G284" s="240">
        <v>1063339</v>
      </c>
      <c r="H284" s="240">
        <v>272140</v>
      </c>
      <c r="K284" s="240">
        <v>1323896</v>
      </c>
      <c r="L284" s="240">
        <v>9508002</v>
      </c>
      <c r="M284" s="240">
        <v>-50839</v>
      </c>
      <c r="N284" s="240">
        <v>9457163</v>
      </c>
    </row>
    <row r="285" spans="1:14" ht="13.8">
      <c r="A285" s="236">
        <v>39501</v>
      </c>
      <c r="B285" s="238" t="s">
        <v>528</v>
      </c>
      <c r="C285" s="240">
        <v>928629</v>
      </c>
      <c r="D285" s="240">
        <v>75705</v>
      </c>
      <c r="E285" s="240">
        <v>258623</v>
      </c>
      <c r="F285" s="240">
        <v>32612</v>
      </c>
      <c r="G285" s="240">
        <v>19017</v>
      </c>
      <c r="H285" s="240">
        <v>6854</v>
      </c>
      <c r="K285" s="240">
        <v>52874</v>
      </c>
      <c r="L285" s="240">
        <v>239463</v>
      </c>
      <c r="M285" s="240">
        <v>-13026</v>
      </c>
      <c r="N285" s="240">
        <v>226437</v>
      </c>
    </row>
    <row r="286" spans="1:14" ht="13.8">
      <c r="A286" s="193">
        <v>39600</v>
      </c>
      <c r="B286" s="194" t="s">
        <v>477</v>
      </c>
      <c r="C286" s="239">
        <v>98299679</v>
      </c>
      <c r="D286" s="239">
        <v>8013749</v>
      </c>
      <c r="E286" s="239">
        <v>27376453</v>
      </c>
      <c r="F286" s="239">
        <v>3452155</v>
      </c>
      <c r="G286" s="239">
        <v>943629</v>
      </c>
      <c r="H286" s="239">
        <v>725521</v>
      </c>
      <c r="K286" s="239">
        <v>1459955</v>
      </c>
      <c r="L286" s="239">
        <v>25348224</v>
      </c>
      <c r="M286" s="239">
        <v>-1029201</v>
      </c>
      <c r="N286" s="239">
        <v>24319023</v>
      </c>
    </row>
    <row r="287" spans="1:14" ht="13.8">
      <c r="A287" s="193">
        <v>39605</v>
      </c>
      <c r="B287" s="194" t="s">
        <v>253</v>
      </c>
      <c r="C287" s="239">
        <v>14429601</v>
      </c>
      <c r="D287" s="239">
        <v>1176354</v>
      </c>
      <c r="E287" s="239">
        <v>4018643</v>
      </c>
      <c r="F287" s="239">
        <v>506749</v>
      </c>
      <c r="G287" s="239">
        <v>22728</v>
      </c>
      <c r="H287" s="239">
        <v>106501</v>
      </c>
      <c r="K287" s="239">
        <v>583533</v>
      </c>
      <c r="L287" s="239">
        <v>3720915</v>
      </c>
      <c r="M287" s="239">
        <v>-204413</v>
      </c>
      <c r="N287" s="239">
        <v>3516502</v>
      </c>
    </row>
    <row r="288" spans="1:14" ht="13.8">
      <c r="A288" s="193">
        <v>39700</v>
      </c>
      <c r="B288" s="194" t="s">
        <v>478</v>
      </c>
      <c r="C288" s="239">
        <v>55187598</v>
      </c>
      <c r="D288" s="239">
        <v>4499095</v>
      </c>
      <c r="E288" s="239">
        <v>15369742</v>
      </c>
      <c r="F288" s="239">
        <v>1938115</v>
      </c>
      <c r="G288" s="239">
        <v>127863</v>
      </c>
      <c r="H288" s="239">
        <v>407323</v>
      </c>
      <c r="K288" s="239">
        <v>1348424</v>
      </c>
      <c r="L288" s="239">
        <v>14231050</v>
      </c>
      <c r="M288" s="239">
        <v>-827686</v>
      </c>
      <c r="N288" s="239">
        <v>13403364</v>
      </c>
    </row>
    <row r="289" spans="1:14" ht="13.8">
      <c r="A289" s="193">
        <v>39703</v>
      </c>
      <c r="B289" s="194" t="s">
        <v>479</v>
      </c>
      <c r="C289" s="239">
        <v>4152991</v>
      </c>
      <c r="D289" s="239">
        <v>338567</v>
      </c>
      <c r="E289" s="239">
        <v>1156608</v>
      </c>
      <c r="F289" s="239">
        <v>145848</v>
      </c>
      <c r="G289" s="239">
        <v>0</v>
      </c>
      <c r="H289" s="239">
        <v>30652</v>
      </c>
      <c r="K289" s="239">
        <v>183252</v>
      </c>
      <c r="L289" s="239">
        <v>1070919</v>
      </c>
      <c r="M289" s="239">
        <v>-110027</v>
      </c>
      <c r="N289" s="239">
        <v>960892</v>
      </c>
    </row>
    <row r="290" spans="1:14" ht="13.8">
      <c r="A290" s="193">
        <v>39705</v>
      </c>
      <c r="B290" s="194" t="s">
        <v>255</v>
      </c>
      <c r="C290" s="239">
        <v>14696353</v>
      </c>
      <c r="D290" s="239">
        <v>1198100</v>
      </c>
      <c r="E290" s="239">
        <v>4092933</v>
      </c>
      <c r="F290" s="239">
        <v>516116</v>
      </c>
      <c r="G290" s="239">
        <v>117550</v>
      </c>
      <c r="H290" s="239">
        <v>108469</v>
      </c>
      <c r="K290" s="239">
        <v>73652</v>
      </c>
      <c r="L290" s="239">
        <v>3789702</v>
      </c>
      <c r="M290" s="239">
        <v>-9097</v>
      </c>
      <c r="N290" s="239">
        <v>3780605</v>
      </c>
    </row>
    <row r="291" spans="1:14" ht="13.8">
      <c r="A291" s="193">
        <v>39800</v>
      </c>
      <c r="B291" s="194" t="s">
        <v>480</v>
      </c>
      <c r="C291" s="239">
        <v>61811377</v>
      </c>
      <c r="D291" s="239">
        <v>5039089</v>
      </c>
      <c r="E291" s="239">
        <v>17214464</v>
      </c>
      <c r="F291" s="239">
        <v>2170734</v>
      </c>
      <c r="G291" s="239">
        <v>211458</v>
      </c>
      <c r="H291" s="239">
        <v>456212</v>
      </c>
      <c r="K291" s="239">
        <v>556093</v>
      </c>
      <c r="L291" s="239">
        <v>15939102</v>
      </c>
      <c r="M291" s="239">
        <v>-533763</v>
      </c>
      <c r="N291" s="239">
        <v>15405339</v>
      </c>
    </row>
    <row r="292" spans="1:14" ht="13.8">
      <c r="A292" s="236">
        <v>39805</v>
      </c>
      <c r="B292" s="237" t="s">
        <v>256</v>
      </c>
      <c r="C292" s="240">
        <v>7128940</v>
      </c>
      <c r="D292" s="240">
        <v>581177</v>
      </c>
      <c r="E292" s="240">
        <v>1985409</v>
      </c>
      <c r="F292" s="240">
        <v>250359</v>
      </c>
      <c r="G292" s="240">
        <v>0</v>
      </c>
      <c r="H292" s="240">
        <v>52617</v>
      </c>
      <c r="K292" s="240">
        <v>27620</v>
      </c>
      <c r="L292" s="240">
        <v>1838317</v>
      </c>
      <c r="M292" s="240">
        <v>-65385</v>
      </c>
      <c r="N292" s="240">
        <v>1772932</v>
      </c>
    </row>
    <row r="293" spans="1:14" ht="13.8">
      <c r="A293" s="236">
        <v>39900</v>
      </c>
      <c r="B293" s="237" t="s">
        <v>481</v>
      </c>
      <c r="C293" s="240">
        <v>33605716</v>
      </c>
      <c r="D293" s="240">
        <v>2739661</v>
      </c>
      <c r="E293" s="240">
        <v>9359189</v>
      </c>
      <c r="F293" s="240">
        <v>1180188</v>
      </c>
      <c r="G293" s="240">
        <v>921406</v>
      </c>
      <c r="H293" s="240">
        <v>248034</v>
      </c>
      <c r="K293" s="240">
        <v>256705</v>
      </c>
      <c r="L293" s="240">
        <v>8665799</v>
      </c>
      <c r="M293" s="240">
        <v>121210</v>
      </c>
      <c r="N293" s="240">
        <v>8787009</v>
      </c>
    </row>
    <row r="294" spans="1:14" ht="13.8">
      <c r="A294" s="236">
        <v>51000</v>
      </c>
      <c r="B294" s="237" t="s">
        <v>556</v>
      </c>
      <c r="C294" s="240">
        <v>470006542</v>
      </c>
      <c r="D294" s="240">
        <v>38316651</v>
      </c>
      <c r="E294" s="240">
        <v>130896786</v>
      </c>
      <c r="F294" s="240">
        <v>16506008</v>
      </c>
      <c r="G294" s="240">
        <v>16688813</v>
      </c>
      <c r="H294" s="240">
        <v>3468980</v>
      </c>
      <c r="K294" s="240">
        <v>2080204</v>
      </c>
      <c r="L294" s="240">
        <v>121199086</v>
      </c>
      <c r="M294" s="240">
        <v>11577561</v>
      </c>
      <c r="N294" s="240">
        <v>132776647</v>
      </c>
    </row>
    <row r="295" spans="1:14" ht="13.8">
      <c r="A295" s="236">
        <v>51000.2</v>
      </c>
      <c r="B295" s="237" t="s">
        <v>557</v>
      </c>
      <c r="C295" s="240">
        <v>578518</v>
      </c>
      <c r="D295" s="240">
        <v>47163</v>
      </c>
      <c r="E295" s="240">
        <v>161117</v>
      </c>
      <c r="F295" s="240">
        <v>20317</v>
      </c>
      <c r="G295" s="240">
        <v>124879</v>
      </c>
      <c r="H295" s="240">
        <v>4270</v>
      </c>
      <c r="K295" s="240">
        <v>0</v>
      </c>
      <c r="L295" s="240">
        <v>149181</v>
      </c>
      <c r="M295" s="240">
        <v>64869</v>
      </c>
      <c r="N295" s="240">
        <v>214050</v>
      </c>
    </row>
    <row r="296" spans="1:14" ht="13.8">
      <c r="A296" s="236">
        <v>51000.3</v>
      </c>
      <c r="B296" s="237" t="s">
        <v>558</v>
      </c>
      <c r="C296" s="242">
        <v>16395228</v>
      </c>
      <c r="D296" s="242">
        <v>1336599</v>
      </c>
      <c r="E296" s="242">
        <v>4566070</v>
      </c>
      <c r="F296" s="242">
        <v>575779</v>
      </c>
      <c r="G296" s="242">
        <v>896513</v>
      </c>
      <c r="H296" s="242">
        <v>121008</v>
      </c>
      <c r="I296" s="171"/>
      <c r="J296" s="158"/>
      <c r="K296" s="242">
        <v>0</v>
      </c>
      <c r="L296" s="242">
        <v>4227785</v>
      </c>
      <c r="M296" s="242">
        <v>526197</v>
      </c>
      <c r="N296" s="242">
        <v>4753982</v>
      </c>
    </row>
    <row r="297" spans="1:14" ht="14.4">
      <c r="A297" s="203"/>
      <c r="B297" s="159"/>
      <c r="C297" s="172"/>
      <c r="D297" s="172"/>
      <c r="E297" s="172"/>
      <c r="F297" s="172"/>
      <c r="G297" s="172"/>
      <c r="H297" s="172"/>
      <c r="I297" s="172"/>
      <c r="J297" s="158"/>
      <c r="K297" s="172"/>
      <c r="L297" s="172"/>
      <c r="M297" s="172"/>
      <c r="N297" s="163">
        <f t="shared" ref="N297:N304" si="0">SUM(L297+M297)</f>
        <v>0</v>
      </c>
    </row>
    <row r="298" spans="1:14" ht="14.4">
      <c r="A298" s="182"/>
      <c r="B298" s="183"/>
      <c r="C298" s="184"/>
      <c r="D298" s="184"/>
      <c r="E298" s="184"/>
      <c r="F298" s="184"/>
      <c r="G298" s="184"/>
      <c r="H298" s="184"/>
      <c r="I298" s="160"/>
      <c r="J298" s="161"/>
      <c r="K298" s="184"/>
      <c r="L298" s="184"/>
      <c r="M298" s="184"/>
      <c r="N298" s="164">
        <f t="shared" si="0"/>
        <v>0</v>
      </c>
    </row>
    <row r="299" spans="1:14" ht="14.4">
      <c r="A299" s="182"/>
      <c r="B299" s="183"/>
      <c r="C299" s="184"/>
      <c r="D299" s="184"/>
      <c r="E299" s="184"/>
      <c r="F299" s="184"/>
      <c r="G299" s="184"/>
      <c r="H299" s="184"/>
      <c r="I299" s="160"/>
      <c r="J299" s="161"/>
      <c r="K299" s="184"/>
      <c r="L299" s="184"/>
      <c r="M299" s="184"/>
      <c r="N299" s="164">
        <f t="shared" si="0"/>
        <v>0</v>
      </c>
    </row>
    <row r="300" spans="1:14" ht="14.4">
      <c r="A300" s="182"/>
      <c r="B300" s="183"/>
      <c r="C300" s="184"/>
      <c r="D300" s="184"/>
      <c r="E300" s="184"/>
      <c r="F300" s="184"/>
      <c r="G300" s="184"/>
      <c r="H300" s="184"/>
      <c r="I300" s="160"/>
      <c r="J300" s="161"/>
      <c r="K300" s="184"/>
      <c r="L300" s="184"/>
      <c r="M300" s="184"/>
      <c r="N300" s="164">
        <f t="shared" si="0"/>
        <v>0</v>
      </c>
    </row>
    <row r="301" spans="1:14" ht="14.4">
      <c r="A301" s="182"/>
      <c r="B301" s="183"/>
      <c r="C301" s="185"/>
      <c r="D301" s="185"/>
      <c r="E301" s="185"/>
      <c r="F301" s="185"/>
      <c r="G301" s="185"/>
      <c r="H301" s="184"/>
      <c r="I301" s="161"/>
      <c r="J301" s="161"/>
      <c r="K301" s="185"/>
      <c r="L301" s="185"/>
      <c r="M301" s="185"/>
      <c r="N301" s="164">
        <f t="shared" si="0"/>
        <v>0</v>
      </c>
    </row>
    <row r="302" spans="1:14" ht="14.4">
      <c r="A302" s="182"/>
      <c r="B302" s="183"/>
      <c r="C302" s="185"/>
      <c r="D302" s="185"/>
      <c r="E302" s="185"/>
      <c r="F302" s="185"/>
      <c r="G302" s="185"/>
      <c r="H302" s="185"/>
      <c r="I302" s="174"/>
      <c r="J302" s="161"/>
      <c r="K302" s="185"/>
      <c r="L302" s="185"/>
      <c r="M302" s="185"/>
      <c r="N302" s="164">
        <f t="shared" si="0"/>
        <v>0</v>
      </c>
    </row>
    <row r="303" spans="1:14" ht="14.4">
      <c r="A303" s="203"/>
      <c r="B303" s="159"/>
      <c r="C303" s="171"/>
      <c r="D303" s="171"/>
      <c r="E303" s="171"/>
      <c r="F303" s="171"/>
      <c r="G303" s="171"/>
      <c r="H303" s="171"/>
      <c r="I303" s="174"/>
      <c r="J303" s="161">
        <v>0</v>
      </c>
      <c r="K303" s="171"/>
      <c r="L303" s="171"/>
      <c r="M303" s="171"/>
      <c r="N303" s="164">
        <f t="shared" si="0"/>
        <v>0</v>
      </c>
    </row>
    <row r="304" spans="1:14" ht="14.4">
      <c r="A304" s="203"/>
      <c r="B304" s="159"/>
      <c r="C304" s="171"/>
      <c r="D304" s="172"/>
      <c r="E304" s="172"/>
      <c r="F304" s="172"/>
      <c r="G304" s="172"/>
      <c r="H304" s="172"/>
      <c r="I304" s="175"/>
      <c r="J304" s="173">
        <v>0</v>
      </c>
      <c r="K304" s="172"/>
      <c r="L304" s="172"/>
      <c r="M304" s="172"/>
      <c r="N304" s="164">
        <f t="shared" si="0"/>
        <v>0</v>
      </c>
    </row>
    <row r="305" spans="3:14" ht="13.8" thickBot="1">
      <c r="C305" s="162">
        <f>SUM(C4:C304)</f>
        <v>16671982997</v>
      </c>
      <c r="D305" s="162">
        <f>SUM(D4:D304)</f>
        <v>1359160993</v>
      </c>
      <c r="E305" s="162">
        <f t="shared" ref="E305:N305" si="1">SUM(E4:E304)</f>
        <v>4643146001</v>
      </c>
      <c r="F305" s="162">
        <f t="shared" si="1"/>
        <v>585497999</v>
      </c>
      <c r="G305" s="162">
        <f t="shared" si="1"/>
        <v>579876558</v>
      </c>
      <c r="H305" s="162">
        <f t="shared" si="1"/>
        <v>123050999</v>
      </c>
      <c r="I305" s="162">
        <f t="shared" si="1"/>
        <v>0</v>
      </c>
      <c r="J305" s="162">
        <f t="shared" si="1"/>
        <v>0</v>
      </c>
      <c r="K305" s="162">
        <f t="shared" si="1"/>
        <v>579876527</v>
      </c>
      <c r="L305" s="162">
        <f t="shared" si="1"/>
        <v>4299151003</v>
      </c>
      <c r="M305" s="162">
        <f t="shared" si="1"/>
        <v>39</v>
      </c>
      <c r="N305" s="162">
        <f t="shared" si="1"/>
        <v>4299151042</v>
      </c>
    </row>
    <row r="306" spans="3:14" ht="13.8" thickTop="1"/>
  </sheetData>
  <sheetProtection algorithmName="SHA-512" hashValue="R+957R7m3HCvq5frUI5jFC9klNvXya2IetYKmvV8mqDAiIQ8frUEg//Kr9PCRPL4C0cJTMm7nLI5oApXuJ6EPw==" saltValue="Io9Jm2kbrAX/S4MB+rXjXA==" spinCount="100000" sheet="1" objects="1" scenario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5"/>
  <sheetViews>
    <sheetView workbookViewId="0">
      <pane ySplit="3" topLeftCell="A275" activePane="bottomLeft" state="frozen"/>
      <selection pane="bottomLeft" activeCell="D296" sqref="D296"/>
    </sheetView>
  </sheetViews>
  <sheetFormatPr defaultRowHeight="13.2"/>
  <cols>
    <col min="1" max="1" width="9" bestFit="1" customWidth="1"/>
    <col min="2" max="2" width="61.44140625" bestFit="1" customWidth="1"/>
    <col min="3" max="4" width="19.33203125" bestFit="1" customWidth="1"/>
    <col min="5" max="7" width="19.33203125" customWidth="1"/>
    <col min="11" max="11" width="13" customWidth="1"/>
    <col min="12" max="12" width="12.44140625" bestFit="1" customWidth="1"/>
    <col min="13" max="13" width="11.44140625" bestFit="1" customWidth="1"/>
    <col min="14" max="14" width="12.44140625" bestFit="1" customWidth="1"/>
  </cols>
  <sheetData>
    <row r="1" spans="1:7">
      <c r="A1" s="202">
        <v>1</v>
      </c>
      <c r="B1" s="202">
        <v>2</v>
      </c>
      <c r="C1" s="202">
        <v>3</v>
      </c>
      <c r="D1" s="202">
        <v>4</v>
      </c>
      <c r="E1" s="202">
        <v>5</v>
      </c>
      <c r="F1" s="202">
        <v>6</v>
      </c>
      <c r="G1" s="202">
        <v>7</v>
      </c>
    </row>
    <row r="2" spans="1:7" ht="14.4">
      <c r="C2" s="46" t="s">
        <v>529</v>
      </c>
      <c r="D2" s="46" t="s">
        <v>530</v>
      </c>
      <c r="E2" s="46" t="s">
        <v>531</v>
      </c>
      <c r="F2" s="46" t="s">
        <v>532</v>
      </c>
      <c r="G2" s="46"/>
    </row>
    <row r="3" spans="1:7" ht="43.2">
      <c r="A3" s="46" t="s">
        <v>266</v>
      </c>
      <c r="B3" s="46" t="s">
        <v>488</v>
      </c>
      <c r="C3" s="46" t="s">
        <v>533</v>
      </c>
      <c r="D3" s="46" t="s">
        <v>533</v>
      </c>
      <c r="E3" s="46" t="s">
        <v>533</v>
      </c>
      <c r="F3" s="46" t="s">
        <v>533</v>
      </c>
      <c r="G3" s="46" t="s">
        <v>533</v>
      </c>
    </row>
    <row r="4" spans="1:7">
      <c r="A4" s="215">
        <v>10200</v>
      </c>
      <c r="B4" t="s">
        <v>270</v>
      </c>
      <c r="C4" s="231">
        <v>2719196.05179379</v>
      </c>
      <c r="D4" s="231">
        <v>1424708.0549937901</v>
      </c>
      <c r="E4" s="231">
        <v>3534017.7766698673</v>
      </c>
      <c r="F4" s="231">
        <v>240865.31040000002</v>
      </c>
      <c r="G4" s="231">
        <v>0</v>
      </c>
    </row>
    <row r="5" spans="1:7">
      <c r="A5" s="215">
        <v>10400</v>
      </c>
      <c r="B5" t="s">
        <v>271</v>
      </c>
      <c r="C5" s="231">
        <v>7349441.9773383858</v>
      </c>
      <c r="D5" s="231">
        <v>3673169.896638385</v>
      </c>
      <c r="E5" s="231">
        <v>9924894.4173210002</v>
      </c>
      <c r="F5" s="231">
        <v>663073.79709999997</v>
      </c>
      <c r="G5" s="231">
        <v>0</v>
      </c>
    </row>
    <row r="6" spans="1:7">
      <c r="A6" s="215">
        <v>10500</v>
      </c>
      <c r="B6" t="s">
        <v>272</v>
      </c>
      <c r="C6" s="231">
        <v>1632619.3409902439</v>
      </c>
      <c r="D6" s="231">
        <v>808035.72169024404</v>
      </c>
      <c r="E6" s="231">
        <v>2125262.7290862496</v>
      </c>
      <c r="F6" s="231">
        <v>150124.30290000001</v>
      </c>
      <c r="G6" s="231">
        <v>0</v>
      </c>
    </row>
    <row r="7" spans="1:7">
      <c r="A7" s="215">
        <v>10700</v>
      </c>
      <c r="B7" t="s">
        <v>534</v>
      </c>
      <c r="C7" s="231">
        <v>11252569.236914966</v>
      </c>
      <c r="D7" s="231">
        <v>5956493.339614965</v>
      </c>
      <c r="E7" s="231">
        <v>15396893.994695405</v>
      </c>
      <c r="F7" s="231">
        <v>1017667.8369</v>
      </c>
      <c r="G7" s="231">
        <v>0</v>
      </c>
    </row>
    <row r="8" spans="1:7">
      <c r="A8" s="215">
        <v>10800</v>
      </c>
      <c r="B8" t="s">
        <v>274</v>
      </c>
      <c r="C8" s="231">
        <v>53733179.898504063</v>
      </c>
      <c r="D8" s="231">
        <v>29942917.165204059</v>
      </c>
      <c r="E8" s="231">
        <v>69691487.341065526</v>
      </c>
      <c r="F8" s="231">
        <v>4387084.7449000003</v>
      </c>
      <c r="G8" s="231">
        <v>0</v>
      </c>
    </row>
    <row r="9" spans="1:7">
      <c r="A9" s="215">
        <v>10850</v>
      </c>
      <c r="B9" t="s">
        <v>275</v>
      </c>
      <c r="C9" s="231">
        <v>536110.24322183873</v>
      </c>
      <c r="D9" s="231">
        <v>310586.54072183877</v>
      </c>
      <c r="E9" s="231">
        <v>644931.06879718136</v>
      </c>
      <c r="F9" s="231">
        <v>36197.232499999998</v>
      </c>
      <c r="G9" s="231">
        <v>0</v>
      </c>
    </row>
    <row r="10" spans="1:7">
      <c r="A10" s="215">
        <v>10900</v>
      </c>
      <c r="B10" t="s">
        <v>276</v>
      </c>
      <c r="C10" s="231">
        <v>4746630.3675862653</v>
      </c>
      <c r="D10" s="231">
        <v>2487250.543186265</v>
      </c>
      <c r="E10" s="231">
        <v>5563917.9015135691</v>
      </c>
      <c r="F10" s="231">
        <v>350111.53320000001</v>
      </c>
      <c r="G10" s="231">
        <v>0</v>
      </c>
    </row>
    <row r="11" spans="1:7">
      <c r="A11" s="215">
        <v>10910</v>
      </c>
      <c r="B11" t="s">
        <v>277</v>
      </c>
      <c r="C11" s="231">
        <v>1854508.4883148028</v>
      </c>
      <c r="D11" s="231">
        <v>1050524.0310148029</v>
      </c>
      <c r="E11" s="231">
        <v>1994696.1606365046</v>
      </c>
      <c r="F11" s="231">
        <v>121166.51690000002</v>
      </c>
      <c r="G11" s="231">
        <v>0</v>
      </c>
    </row>
    <row r="12" spans="1:7">
      <c r="A12" s="215">
        <v>10930</v>
      </c>
      <c r="B12" t="s">
        <v>278</v>
      </c>
      <c r="C12" s="231">
        <v>15244568.089672877</v>
      </c>
      <c r="D12" s="231">
        <v>8103192.1949728774</v>
      </c>
      <c r="E12" s="231">
        <v>18525642.400256015</v>
      </c>
      <c r="F12" s="231">
        <v>1151389.3391</v>
      </c>
      <c r="G12" s="231">
        <v>0</v>
      </c>
    </row>
    <row r="13" spans="1:7">
      <c r="A13" s="215">
        <v>10940</v>
      </c>
      <c r="B13" t="s">
        <v>279</v>
      </c>
      <c r="C13" s="231">
        <v>2151108.5022878936</v>
      </c>
      <c r="D13" s="231">
        <v>1270849.3050878937</v>
      </c>
      <c r="E13" s="231">
        <v>2538586.5747201964</v>
      </c>
      <c r="F13" s="231">
        <v>156213.37159999998</v>
      </c>
      <c r="G13" s="231">
        <v>0</v>
      </c>
    </row>
    <row r="14" spans="1:7">
      <c r="A14" s="215">
        <v>10950</v>
      </c>
      <c r="B14" t="s">
        <v>186</v>
      </c>
      <c r="C14" s="231">
        <v>2489326.075815687</v>
      </c>
      <c r="D14" s="231">
        <v>1602899.2349156872</v>
      </c>
      <c r="E14" s="231">
        <v>3140193.978554016</v>
      </c>
      <c r="F14" s="231">
        <v>180430.8077</v>
      </c>
      <c r="G14" s="231">
        <v>0</v>
      </c>
    </row>
    <row r="15" spans="1:7">
      <c r="A15" s="215">
        <v>11050</v>
      </c>
      <c r="B15" t="s">
        <v>280</v>
      </c>
      <c r="C15" s="231">
        <v>640640.03468951862</v>
      </c>
      <c r="D15" s="231">
        <v>320492.72508951847</v>
      </c>
      <c r="E15" s="231">
        <v>817020.81534714624</v>
      </c>
      <c r="F15" s="231">
        <v>50933.968800000002</v>
      </c>
      <c r="G15" s="231">
        <v>0</v>
      </c>
    </row>
    <row r="16" spans="1:7">
      <c r="A16" s="215">
        <v>11300</v>
      </c>
      <c r="B16" t="s">
        <v>535</v>
      </c>
      <c r="C16" s="231">
        <v>11376105.690811716</v>
      </c>
      <c r="D16" s="231">
        <v>6091093.7283117147</v>
      </c>
      <c r="E16" s="231">
        <v>14557290.884596035</v>
      </c>
      <c r="F16" s="231">
        <v>944599.01250000007</v>
      </c>
      <c r="G16" s="231">
        <v>0</v>
      </c>
    </row>
    <row r="17" spans="1:7">
      <c r="A17" s="215">
        <v>11310</v>
      </c>
      <c r="B17" t="s">
        <v>257</v>
      </c>
      <c r="C17" s="231">
        <v>1375160.815962747</v>
      </c>
      <c r="D17" s="231">
        <v>746405.4141627471</v>
      </c>
      <c r="E17" s="231">
        <v>1782016.0110197307</v>
      </c>
      <c r="F17" s="231">
        <v>114918.7754</v>
      </c>
      <c r="G17" s="231">
        <v>0</v>
      </c>
    </row>
    <row r="18" spans="1:7">
      <c r="A18" s="215">
        <v>11600</v>
      </c>
      <c r="B18" t="s">
        <v>282</v>
      </c>
      <c r="C18" s="231">
        <v>5227043.015605825</v>
      </c>
      <c r="D18" s="231">
        <v>2883339.3734058253</v>
      </c>
      <c r="E18" s="231">
        <v>7368990.6482934607</v>
      </c>
      <c r="F18" s="231">
        <v>490417.95660000003</v>
      </c>
      <c r="G18" s="231">
        <v>0</v>
      </c>
    </row>
    <row r="19" spans="1:7">
      <c r="A19" s="215">
        <v>11900</v>
      </c>
      <c r="B19" t="s">
        <v>283</v>
      </c>
      <c r="C19" s="231">
        <v>893791.78676605108</v>
      </c>
      <c r="D19" s="231">
        <v>231257.82936605118</v>
      </c>
      <c r="E19" s="231">
        <v>822512.39795021177</v>
      </c>
      <c r="F19" s="231">
        <v>70252.382199999993</v>
      </c>
      <c r="G19" s="231">
        <v>0</v>
      </c>
    </row>
    <row r="20" spans="1:7">
      <c r="A20" s="215">
        <v>12100</v>
      </c>
      <c r="B20" t="s">
        <v>284</v>
      </c>
      <c r="C20" s="231">
        <v>832996.03422319819</v>
      </c>
      <c r="D20" s="231">
        <v>456696.84132319828</v>
      </c>
      <c r="E20" s="231">
        <v>1045163.9259790353</v>
      </c>
      <c r="F20" s="231">
        <v>64599.663699999997</v>
      </c>
      <c r="G20" s="231">
        <v>0</v>
      </c>
    </row>
    <row r="21" spans="1:7">
      <c r="A21" s="215">
        <v>12150</v>
      </c>
      <c r="B21" t="s">
        <v>285</v>
      </c>
      <c r="C21" s="231">
        <v>130688.25475963898</v>
      </c>
      <c r="D21" s="231">
        <v>81884.024159638982</v>
      </c>
      <c r="E21" s="231">
        <v>165597.3083969185</v>
      </c>
      <c r="F21" s="231">
        <v>9877.3817999999992</v>
      </c>
      <c r="G21" s="231">
        <v>0</v>
      </c>
    </row>
    <row r="22" spans="1:7">
      <c r="A22" s="215">
        <v>12160</v>
      </c>
      <c r="B22" t="s">
        <v>286</v>
      </c>
      <c r="C22" s="231">
        <v>4802004.0825684182</v>
      </c>
      <c r="D22" s="231">
        <v>2603366.3102684179</v>
      </c>
      <c r="E22" s="231">
        <v>6058471.767919343</v>
      </c>
      <c r="F22" s="231">
        <v>397852.21190000005</v>
      </c>
      <c r="G22" s="231">
        <v>0</v>
      </c>
    </row>
    <row r="23" spans="1:7">
      <c r="A23" s="215">
        <v>12220</v>
      </c>
      <c r="B23" t="s">
        <v>536</v>
      </c>
      <c r="C23" s="231">
        <v>96313031.206499904</v>
      </c>
      <c r="D23" s="231">
        <v>39024407.948699906</v>
      </c>
      <c r="E23" s="231">
        <v>130970890.30815077</v>
      </c>
      <c r="F23" s="231">
        <v>8970447.7433999982</v>
      </c>
      <c r="G23" s="231">
        <v>0</v>
      </c>
    </row>
    <row r="24" spans="1:7">
      <c r="A24" s="215">
        <v>12510</v>
      </c>
      <c r="B24" t="s">
        <v>288</v>
      </c>
      <c r="C24" s="231">
        <v>11262148.302219167</v>
      </c>
      <c r="D24" s="231">
        <v>4905004.1931191664</v>
      </c>
      <c r="E24" s="231">
        <v>12085927.437358864</v>
      </c>
      <c r="F24" s="231">
        <v>880693.54230000009</v>
      </c>
      <c r="G24" s="231">
        <v>0</v>
      </c>
    </row>
    <row r="25" spans="1:7">
      <c r="A25" s="215">
        <v>12600</v>
      </c>
      <c r="B25" t="s">
        <v>289</v>
      </c>
      <c r="C25" s="231">
        <v>4593310.2997524152</v>
      </c>
      <c r="D25" s="231">
        <v>2531012.2056524153</v>
      </c>
      <c r="E25" s="231">
        <v>6013431.5880862735</v>
      </c>
      <c r="F25" s="231">
        <v>385832.74729999999</v>
      </c>
      <c r="G25" s="231">
        <v>0</v>
      </c>
    </row>
    <row r="26" spans="1:7">
      <c r="A26" s="215">
        <v>12700</v>
      </c>
      <c r="B26" t="s">
        <v>290</v>
      </c>
      <c r="C26" s="231">
        <v>2851578.1325507471</v>
      </c>
      <c r="D26" s="231">
        <v>1662915.8024507472</v>
      </c>
      <c r="E26" s="231">
        <v>3576013.5061938833</v>
      </c>
      <c r="F26" s="231">
        <v>224779.85530000002</v>
      </c>
      <c r="G26" s="231">
        <v>0</v>
      </c>
    </row>
    <row r="27" spans="1:7">
      <c r="A27" s="215">
        <v>13500</v>
      </c>
      <c r="B27" t="s">
        <v>291</v>
      </c>
      <c r="C27" s="231">
        <v>10010964.415762424</v>
      </c>
      <c r="D27" s="231">
        <v>5315174.1755624237</v>
      </c>
      <c r="E27" s="231">
        <v>13302669.712807316</v>
      </c>
      <c r="F27" s="231">
        <v>874009.45059999998</v>
      </c>
      <c r="G27" s="231">
        <v>0</v>
      </c>
    </row>
    <row r="28" spans="1:7">
      <c r="A28" s="215">
        <v>13700</v>
      </c>
      <c r="B28" t="s">
        <v>292</v>
      </c>
      <c r="C28" s="231">
        <v>1170657.4874189617</v>
      </c>
      <c r="D28" s="231">
        <v>638521.30431896169</v>
      </c>
      <c r="E28" s="231">
        <v>1556741.1993752248</v>
      </c>
      <c r="F28" s="231">
        <v>95659.864300000001</v>
      </c>
      <c r="G28" s="231">
        <v>0</v>
      </c>
    </row>
    <row r="29" spans="1:7">
      <c r="A29" s="215">
        <v>14300</v>
      </c>
      <c r="B29" t="s">
        <v>537</v>
      </c>
      <c r="C29" s="231">
        <v>3511414.7771613649</v>
      </c>
      <c r="D29" s="231">
        <v>1749334.9754613647</v>
      </c>
      <c r="E29" s="231">
        <v>4576839.8367027733</v>
      </c>
      <c r="F29" s="231">
        <v>304671.61009999999</v>
      </c>
      <c r="G29" s="231">
        <v>0</v>
      </c>
    </row>
    <row r="30" spans="1:7">
      <c r="A30" s="215">
        <v>14300.2</v>
      </c>
      <c r="B30" t="s">
        <v>538</v>
      </c>
      <c r="C30" s="231">
        <v>385947.57842316676</v>
      </c>
      <c r="D30" s="231">
        <v>233268.64492316684</v>
      </c>
      <c r="E30" s="231">
        <v>599994.09814942873</v>
      </c>
      <c r="F30" s="231">
        <v>40759.075499999999</v>
      </c>
      <c r="G30" s="231">
        <v>0</v>
      </c>
    </row>
    <row r="31" spans="1:7">
      <c r="A31" s="215">
        <v>18400</v>
      </c>
      <c r="B31" t="s">
        <v>539</v>
      </c>
      <c r="C31" s="231">
        <v>11540157.554147322</v>
      </c>
      <c r="D31" s="231">
        <v>6342661.5248473203</v>
      </c>
      <c r="E31" s="231">
        <v>15769478.676462473</v>
      </c>
      <c r="F31" s="231">
        <v>1048609.0329</v>
      </c>
      <c r="G31" s="231">
        <v>0</v>
      </c>
    </row>
    <row r="32" spans="1:7">
      <c r="A32" s="215">
        <v>18600</v>
      </c>
      <c r="B32" t="s">
        <v>296</v>
      </c>
      <c r="C32" s="231">
        <v>31299.078742130747</v>
      </c>
      <c r="D32" s="231">
        <v>13139.388642130747</v>
      </c>
      <c r="E32" s="231">
        <v>34716.770321482254</v>
      </c>
      <c r="F32" s="231">
        <v>2637.9353000000001</v>
      </c>
      <c r="G32" s="231">
        <v>0</v>
      </c>
    </row>
    <row r="33" spans="1:7">
      <c r="A33" s="215">
        <v>18640</v>
      </c>
      <c r="B33" t="s">
        <v>297</v>
      </c>
      <c r="C33" s="231">
        <v>6143.8749288770005</v>
      </c>
      <c r="D33" s="231">
        <v>2919.0615288770009</v>
      </c>
      <c r="E33" s="231">
        <v>6475.7463587715001</v>
      </c>
      <c r="F33" s="231">
        <v>436.35020000000003</v>
      </c>
      <c r="G33" s="231">
        <v>0</v>
      </c>
    </row>
    <row r="34" spans="1:7">
      <c r="A34" s="215">
        <v>18740</v>
      </c>
      <c r="B34" t="s">
        <v>298</v>
      </c>
      <c r="C34" s="231">
        <v>15313.170902842996</v>
      </c>
      <c r="D34" s="231">
        <v>8322.9695028429978</v>
      </c>
      <c r="E34" s="231">
        <v>19349.758464901501</v>
      </c>
      <c r="F34" s="231">
        <v>1229.7141999999999</v>
      </c>
      <c r="G34" s="231">
        <v>0</v>
      </c>
    </row>
    <row r="35" spans="1:7">
      <c r="A35" s="215">
        <v>18780</v>
      </c>
      <c r="B35" t="s">
        <v>540</v>
      </c>
      <c r="C35" s="231">
        <v>60321.683896306771</v>
      </c>
      <c r="D35" s="231">
        <v>33891.777596306754</v>
      </c>
      <c r="E35" s="231">
        <v>85413.693146056758</v>
      </c>
      <c r="F35" s="231">
        <v>5533.7138999999997</v>
      </c>
      <c r="G35" s="231">
        <v>0</v>
      </c>
    </row>
    <row r="36" spans="1:7">
      <c r="A36" s="215">
        <v>19005</v>
      </c>
      <c r="B36" t="s">
        <v>300</v>
      </c>
      <c r="C36" s="231">
        <v>2582149.117522358</v>
      </c>
      <c r="D36" s="231">
        <v>1601178.0452223578</v>
      </c>
      <c r="E36" s="231">
        <v>3074463.4711495917</v>
      </c>
      <c r="F36" s="231">
        <v>179677.11189999999</v>
      </c>
      <c r="G36" s="231">
        <v>0</v>
      </c>
    </row>
    <row r="37" spans="1:7">
      <c r="A37" s="215">
        <v>19100</v>
      </c>
      <c r="B37" t="s">
        <v>301</v>
      </c>
      <c r="C37" s="231">
        <v>-61975098.911090687</v>
      </c>
      <c r="D37" s="231">
        <v>-94889431.495390683</v>
      </c>
      <c r="E37" s="231">
        <v>-46547757.426298819</v>
      </c>
      <c r="F37" s="231">
        <v>3887860.4478999996</v>
      </c>
      <c r="G37" s="231">
        <v>0</v>
      </c>
    </row>
    <row r="38" spans="1:7">
      <c r="A38" s="215">
        <v>19120</v>
      </c>
      <c r="B38" s="216" t="s">
        <v>559</v>
      </c>
      <c r="C38" s="231">
        <v>210524027.48656911</v>
      </c>
      <c r="D38" s="231">
        <v>162488029.31366912</v>
      </c>
      <c r="E38" s="231">
        <v>254861226.89666909</v>
      </c>
      <c r="F38" s="231">
        <v>10049085.603699999</v>
      </c>
      <c r="G38" s="231">
        <v>0</v>
      </c>
    </row>
    <row r="39" spans="1:7">
      <c r="A39" s="215">
        <v>20100</v>
      </c>
      <c r="B39" t="s">
        <v>182</v>
      </c>
      <c r="C39" s="231">
        <v>16796207.394820284</v>
      </c>
      <c r="D39" s="231">
        <v>9931730.9154202845</v>
      </c>
      <c r="E39" s="231">
        <v>23576200.872895557</v>
      </c>
      <c r="F39" s="231">
        <v>1463796.2482</v>
      </c>
      <c r="G39" s="231">
        <v>0</v>
      </c>
    </row>
    <row r="40" spans="1:7">
      <c r="A40" s="215">
        <v>20200</v>
      </c>
      <c r="B40" t="s">
        <v>187</v>
      </c>
      <c r="C40" s="231">
        <v>2325046.4035833627</v>
      </c>
      <c r="D40" s="231">
        <v>1326761.1869833628</v>
      </c>
      <c r="E40" s="231">
        <v>3051989.0536324037</v>
      </c>
      <c r="F40" s="231">
        <v>195921.23980000001</v>
      </c>
      <c r="G40" s="231">
        <v>0</v>
      </c>
    </row>
    <row r="41" spans="1:7">
      <c r="A41" s="215">
        <v>20300</v>
      </c>
      <c r="B41" t="s">
        <v>183</v>
      </c>
      <c r="C41" s="231">
        <v>26896545.362276141</v>
      </c>
      <c r="D41" s="231">
        <v>15489345.582076143</v>
      </c>
      <c r="E41" s="231">
        <v>41227429.006823972</v>
      </c>
      <c r="F41" s="231">
        <v>2623377.0705999997</v>
      </c>
      <c r="G41" s="231">
        <v>0</v>
      </c>
    </row>
    <row r="42" spans="1:7">
      <c r="A42" s="215">
        <v>20400</v>
      </c>
      <c r="B42" t="s">
        <v>184</v>
      </c>
      <c r="C42" s="231">
        <v>2625200.878071527</v>
      </c>
      <c r="D42" s="231">
        <v>1504931.8981715275</v>
      </c>
      <c r="E42" s="231">
        <v>3461185.9911615923</v>
      </c>
      <c r="F42" s="231">
        <v>217520.5747</v>
      </c>
      <c r="G42" s="231">
        <v>0</v>
      </c>
    </row>
    <row r="43" spans="1:7">
      <c r="A43" s="215">
        <v>20600</v>
      </c>
      <c r="B43" t="s">
        <v>4</v>
      </c>
      <c r="C43" s="231">
        <v>5454675.1119054463</v>
      </c>
      <c r="D43" s="231">
        <v>3458833.0103054466</v>
      </c>
      <c r="E43" s="231">
        <v>7324677.2406900674</v>
      </c>
      <c r="F43" s="231">
        <v>434922.14480000001</v>
      </c>
      <c r="G43" s="231">
        <v>0</v>
      </c>
    </row>
    <row r="44" spans="1:7">
      <c r="A44" s="215">
        <v>20700</v>
      </c>
      <c r="B44" t="s">
        <v>189</v>
      </c>
      <c r="C44" s="231">
        <v>8675521.9206590094</v>
      </c>
      <c r="D44" s="231">
        <v>4575329.6119590122</v>
      </c>
      <c r="E44" s="231">
        <v>12325882.617446532</v>
      </c>
      <c r="F44" s="231">
        <v>806672.68109999993</v>
      </c>
      <c r="G44" s="231">
        <v>0</v>
      </c>
    </row>
    <row r="45" spans="1:7">
      <c r="A45" s="215">
        <v>20800</v>
      </c>
      <c r="B45" t="s">
        <v>185</v>
      </c>
      <c r="C45" s="231">
        <v>6614436.0645222152</v>
      </c>
      <c r="D45" s="231">
        <v>3583085.988422215</v>
      </c>
      <c r="E45" s="231">
        <v>9261273.3099404704</v>
      </c>
      <c r="F45" s="231">
        <v>625031.99329999997</v>
      </c>
      <c r="G45" s="231">
        <v>0</v>
      </c>
    </row>
    <row r="46" spans="1:7">
      <c r="A46" s="215">
        <v>20900</v>
      </c>
      <c r="B46" t="s">
        <v>195</v>
      </c>
      <c r="C46" s="231">
        <v>10572216.454601059</v>
      </c>
      <c r="D46" s="231">
        <v>5386312.6683010589</v>
      </c>
      <c r="E46" s="231">
        <v>14914765.777901856</v>
      </c>
      <c r="F46" s="231">
        <v>1005172.3539</v>
      </c>
      <c r="G46" s="231">
        <v>0</v>
      </c>
    </row>
    <row r="47" spans="1:7">
      <c r="A47" s="215">
        <v>21200</v>
      </c>
      <c r="B47" t="s">
        <v>190</v>
      </c>
      <c r="C47" s="231">
        <v>4481268.0402939487</v>
      </c>
      <c r="D47" s="231">
        <v>2521821.2309939493</v>
      </c>
      <c r="E47" s="231">
        <v>6413205.6712825233</v>
      </c>
      <c r="F47" s="231">
        <v>402017.37289999996</v>
      </c>
      <c r="G47" s="231">
        <v>0</v>
      </c>
    </row>
    <row r="48" spans="1:7">
      <c r="A48" s="215">
        <v>21300</v>
      </c>
      <c r="B48" t="s">
        <v>188</v>
      </c>
      <c r="C48" s="231">
        <v>45594775.173287168</v>
      </c>
      <c r="D48" s="231">
        <v>26498180.419487163</v>
      </c>
      <c r="E48" s="231">
        <v>68561889.090807751</v>
      </c>
      <c r="F48" s="231">
        <v>4362589.6313999994</v>
      </c>
      <c r="G48" s="231">
        <v>0</v>
      </c>
    </row>
    <row r="49" spans="1:7">
      <c r="A49" s="215">
        <v>21520</v>
      </c>
      <c r="B49" t="s">
        <v>192</v>
      </c>
      <c r="C49" s="231">
        <v>74381024.60450837</v>
      </c>
      <c r="D49" s="231">
        <v>40170137.034808375</v>
      </c>
      <c r="E49" s="231">
        <v>103715994.10717195</v>
      </c>
      <c r="F49" s="231">
        <v>6561140.1140999999</v>
      </c>
      <c r="G49" s="231">
        <v>0</v>
      </c>
    </row>
    <row r="50" spans="1:7">
      <c r="A50" s="215">
        <v>21525</v>
      </c>
      <c r="B50" t="s">
        <v>541</v>
      </c>
      <c r="C50" s="231">
        <v>3177713.0307153864</v>
      </c>
      <c r="D50" s="231">
        <v>1672457.0742153865</v>
      </c>
      <c r="E50" s="231">
        <v>3562928.6472920962</v>
      </c>
      <c r="F50" s="231">
        <v>230968.09449999998</v>
      </c>
      <c r="G50" s="231">
        <v>0</v>
      </c>
    </row>
    <row r="51" spans="1:7">
      <c r="A51" s="215">
        <v>21525.200000000001</v>
      </c>
      <c r="B51" t="s">
        <v>542</v>
      </c>
      <c r="C51" s="231">
        <v>557508.9416508812</v>
      </c>
      <c r="D51" s="231">
        <v>329286.68675088126</v>
      </c>
      <c r="E51" s="231">
        <v>574936.02752103028</v>
      </c>
      <c r="F51" s="231">
        <v>34055.149700000002</v>
      </c>
      <c r="G51" s="231">
        <v>0</v>
      </c>
    </row>
    <row r="52" spans="1:7">
      <c r="A52" s="215">
        <v>21550</v>
      </c>
      <c r="B52" t="s">
        <v>191</v>
      </c>
      <c r="C52" s="231">
        <v>87254586.674346372</v>
      </c>
      <c r="D52" s="231">
        <v>47914260.338546365</v>
      </c>
      <c r="E52" s="231">
        <v>119712400.66971597</v>
      </c>
      <c r="F52" s="231">
        <v>7933917.6773999995</v>
      </c>
      <c r="G52" s="231">
        <v>0</v>
      </c>
    </row>
    <row r="53" spans="1:7">
      <c r="A53" s="215">
        <v>21570</v>
      </c>
      <c r="B53" t="s">
        <v>305</v>
      </c>
      <c r="C53" s="231">
        <v>445061.95174035511</v>
      </c>
      <c r="D53" s="231">
        <v>247284.15964035518</v>
      </c>
      <c r="E53" s="231">
        <v>543937.91588187718</v>
      </c>
      <c r="F53" s="231">
        <v>35562.541299999997</v>
      </c>
      <c r="G53" s="231">
        <v>0</v>
      </c>
    </row>
    <row r="54" spans="1:7">
      <c r="A54" s="215">
        <v>21800</v>
      </c>
      <c r="B54" t="s">
        <v>197</v>
      </c>
      <c r="C54" s="231">
        <v>8159798.3516139677</v>
      </c>
      <c r="D54" s="231">
        <v>4573446.7743139686</v>
      </c>
      <c r="E54" s="231">
        <v>11142077.594624704</v>
      </c>
      <c r="F54" s="231">
        <v>708255.87690000003</v>
      </c>
      <c r="G54" s="231">
        <v>0</v>
      </c>
    </row>
    <row r="55" spans="1:7">
      <c r="A55" s="215">
        <v>21900</v>
      </c>
      <c r="B55" t="s">
        <v>198</v>
      </c>
      <c r="C55" s="231">
        <v>3832621.8332235999</v>
      </c>
      <c r="D55" s="231">
        <v>2153288.3557235999</v>
      </c>
      <c r="E55" s="231">
        <v>5556580.3145198701</v>
      </c>
      <c r="F55" s="231">
        <v>348584.3075</v>
      </c>
      <c r="G55" s="231">
        <v>0</v>
      </c>
    </row>
    <row r="56" spans="1:7">
      <c r="A56" s="215">
        <v>22000</v>
      </c>
      <c r="B56" t="s">
        <v>306</v>
      </c>
      <c r="C56" s="231">
        <v>10398282.349309444</v>
      </c>
      <c r="D56" s="231">
        <v>6037473.2466094457</v>
      </c>
      <c r="E56" s="231">
        <v>12135330.088309096</v>
      </c>
      <c r="F56" s="231">
        <v>767401.16310000001</v>
      </c>
      <c r="G56" s="231">
        <v>0</v>
      </c>
    </row>
    <row r="57" spans="1:7">
      <c r="A57" s="215">
        <v>23000</v>
      </c>
      <c r="B57" t="s">
        <v>193</v>
      </c>
      <c r="C57" s="231">
        <v>2420514.628765746</v>
      </c>
      <c r="D57" s="231">
        <v>1351246.5596657461</v>
      </c>
      <c r="E57" s="231">
        <v>3540935.0793069606</v>
      </c>
      <c r="F57" s="231">
        <v>222201.42230000001</v>
      </c>
      <c r="G57" s="231">
        <v>0</v>
      </c>
    </row>
    <row r="58" spans="1:7">
      <c r="A58" s="215">
        <v>23100</v>
      </c>
      <c r="B58" t="s">
        <v>194</v>
      </c>
      <c r="C58" s="231">
        <v>16040862.289381173</v>
      </c>
      <c r="D58" s="231">
        <v>8908910.5604811721</v>
      </c>
      <c r="E58" s="231">
        <v>23315703.467997391</v>
      </c>
      <c r="F58" s="231">
        <v>1470440.6716999998</v>
      </c>
      <c r="G58" s="231">
        <v>0</v>
      </c>
    </row>
    <row r="59" spans="1:7">
      <c r="A59" s="215">
        <v>23200</v>
      </c>
      <c r="B59" t="s">
        <v>196</v>
      </c>
      <c r="C59" s="231">
        <v>10715526.788735982</v>
      </c>
      <c r="D59" s="231">
        <v>5818830.3754359819</v>
      </c>
      <c r="E59" s="231">
        <v>13993270.888742818</v>
      </c>
      <c r="F59" s="231">
        <v>904216.78490000009</v>
      </c>
      <c r="G59" s="231">
        <v>0</v>
      </c>
    </row>
    <row r="60" spans="1:7">
      <c r="A60" s="215">
        <v>30000</v>
      </c>
      <c r="B60" t="s">
        <v>307</v>
      </c>
      <c r="C60" s="231">
        <v>1590578.1172235466</v>
      </c>
      <c r="D60" s="231">
        <v>961589.76752354647</v>
      </c>
      <c r="E60" s="231">
        <v>2481697.2390455035</v>
      </c>
      <c r="F60" s="231">
        <v>162659.4541</v>
      </c>
      <c r="G60" s="231">
        <v>0</v>
      </c>
    </row>
    <row r="61" spans="1:7">
      <c r="A61" s="215">
        <v>30100</v>
      </c>
      <c r="B61" t="s">
        <v>308</v>
      </c>
      <c r="C61" s="231">
        <v>17130881.934932854</v>
      </c>
      <c r="D61" s="231">
        <v>9692969.5426328555</v>
      </c>
      <c r="E61" s="231">
        <v>24230732.163967296</v>
      </c>
      <c r="F61" s="231">
        <v>1679135.0719000001</v>
      </c>
      <c r="G61" s="231">
        <v>0</v>
      </c>
    </row>
    <row r="62" spans="1:7">
      <c r="A62" s="215">
        <v>30102</v>
      </c>
      <c r="B62" t="s">
        <v>309</v>
      </c>
      <c r="C62" s="231">
        <v>490956.19918472518</v>
      </c>
      <c r="D62" s="231">
        <v>292243.58298472513</v>
      </c>
      <c r="E62" s="231">
        <v>675085.24775907467</v>
      </c>
      <c r="F62" s="231">
        <v>42563.978600000002</v>
      </c>
      <c r="G62" s="231">
        <v>0</v>
      </c>
    </row>
    <row r="63" spans="1:7">
      <c r="A63" s="215">
        <v>30103</v>
      </c>
      <c r="B63" t="s">
        <v>310</v>
      </c>
      <c r="C63" s="231">
        <v>429158.25228442671</v>
      </c>
      <c r="D63" s="231">
        <v>245145.27438442665</v>
      </c>
      <c r="E63" s="231">
        <v>679460.62982044765</v>
      </c>
      <c r="F63" s="231">
        <v>45757.268700000001</v>
      </c>
      <c r="G63" s="231">
        <v>0</v>
      </c>
    </row>
    <row r="64" spans="1:7">
      <c r="A64" s="215">
        <v>30104</v>
      </c>
      <c r="B64" t="s">
        <v>311</v>
      </c>
      <c r="C64" s="231">
        <v>480710.47540295334</v>
      </c>
      <c r="D64" s="231">
        <v>303738.57890295336</v>
      </c>
      <c r="E64" s="231">
        <v>530818.80401824636</v>
      </c>
      <c r="F64" s="231">
        <v>36593.914499999999</v>
      </c>
      <c r="G64" s="231">
        <v>0</v>
      </c>
    </row>
    <row r="65" spans="1:7">
      <c r="A65" s="215">
        <v>30105</v>
      </c>
      <c r="B65" t="s">
        <v>199</v>
      </c>
      <c r="C65" s="231">
        <v>1701315.1997949821</v>
      </c>
      <c r="D65" s="231">
        <v>966870.0662949821</v>
      </c>
      <c r="E65" s="231">
        <v>2401892.2284489293</v>
      </c>
      <c r="F65" s="231">
        <v>159763.67550000001</v>
      </c>
      <c r="G65" s="231">
        <v>0</v>
      </c>
    </row>
    <row r="66" spans="1:7">
      <c r="A66" s="215">
        <v>30200</v>
      </c>
      <c r="B66" t="s">
        <v>312</v>
      </c>
      <c r="C66" s="231">
        <v>3953618.0706710555</v>
      </c>
      <c r="D66" s="231">
        <v>2334864.8935710555</v>
      </c>
      <c r="E66" s="231">
        <v>5477404.1052937899</v>
      </c>
      <c r="F66" s="231">
        <v>373733.94630000001</v>
      </c>
      <c r="G66" s="231">
        <v>0</v>
      </c>
    </row>
    <row r="67" spans="1:7">
      <c r="A67" s="215">
        <v>30300</v>
      </c>
      <c r="B67" t="s">
        <v>313</v>
      </c>
      <c r="C67" s="231">
        <v>1483938.2290020999</v>
      </c>
      <c r="D67" s="231">
        <v>909581.35080210003</v>
      </c>
      <c r="E67" s="231">
        <v>2071644.17890857</v>
      </c>
      <c r="F67" s="231">
        <v>131024.0646</v>
      </c>
      <c r="G67" s="231">
        <v>0</v>
      </c>
    </row>
    <row r="68" spans="1:7">
      <c r="A68" s="215">
        <v>30400</v>
      </c>
      <c r="B68" t="s">
        <v>314</v>
      </c>
      <c r="C68" s="231">
        <v>2955184.6620521136</v>
      </c>
      <c r="D68" s="231">
        <v>1828733.4383521136</v>
      </c>
      <c r="E68" s="231">
        <v>3999026.7237368678</v>
      </c>
      <c r="F68" s="231">
        <v>250326.17609999998</v>
      </c>
      <c r="G68" s="231">
        <v>0</v>
      </c>
    </row>
    <row r="69" spans="1:7">
      <c r="A69" s="215">
        <v>30405</v>
      </c>
      <c r="B69" t="s">
        <v>245</v>
      </c>
      <c r="C69" s="231">
        <v>1641813.4716669791</v>
      </c>
      <c r="D69" s="231">
        <v>902123.09816697915</v>
      </c>
      <c r="E69" s="231">
        <v>2141306.0937503292</v>
      </c>
      <c r="F69" s="231">
        <v>143896.39550000001</v>
      </c>
      <c r="G69" s="231">
        <v>0</v>
      </c>
    </row>
    <row r="70" spans="1:7">
      <c r="A70" s="215">
        <v>30500</v>
      </c>
      <c r="B70" t="s">
        <v>315</v>
      </c>
      <c r="C70" s="231">
        <v>2613246.8479717779</v>
      </c>
      <c r="D70" s="231">
        <v>1608205.7167717782</v>
      </c>
      <c r="E70" s="231">
        <v>3800971.9770649122</v>
      </c>
      <c r="F70" s="231">
        <v>239913.27359999999</v>
      </c>
      <c r="G70" s="231">
        <v>0</v>
      </c>
    </row>
    <row r="71" spans="1:7">
      <c r="A71" s="215">
        <v>30600</v>
      </c>
      <c r="B71" t="s">
        <v>316</v>
      </c>
      <c r="C71" s="231">
        <v>2168792.4571540221</v>
      </c>
      <c r="D71" s="231">
        <v>1288336.9528540222</v>
      </c>
      <c r="E71" s="231">
        <v>2938867.3811514117</v>
      </c>
      <c r="F71" s="231">
        <v>190784.20790000001</v>
      </c>
      <c r="G71" s="231">
        <v>0</v>
      </c>
    </row>
    <row r="72" spans="1:7">
      <c r="A72" s="215">
        <v>30601</v>
      </c>
      <c r="B72" t="s">
        <v>514</v>
      </c>
      <c r="C72" s="231">
        <v>-9725</v>
      </c>
      <c r="D72" s="231">
        <v>0</v>
      </c>
      <c r="E72" s="231">
        <v>0</v>
      </c>
      <c r="F72" s="231">
        <v>0</v>
      </c>
      <c r="G72" s="231">
        <v>0</v>
      </c>
    </row>
    <row r="73" spans="1:7">
      <c r="A73" s="215">
        <v>30700</v>
      </c>
      <c r="B73" t="s">
        <v>317</v>
      </c>
      <c r="C73" s="231">
        <v>5419526.8831039434</v>
      </c>
      <c r="D73" s="231">
        <v>3309725.9092039438</v>
      </c>
      <c r="E73" s="231">
        <v>7091951.2073001582</v>
      </c>
      <c r="F73" s="231">
        <v>495594.65669999999</v>
      </c>
      <c r="G73" s="231">
        <v>0</v>
      </c>
    </row>
    <row r="74" spans="1:7">
      <c r="A74" s="215">
        <v>30705</v>
      </c>
      <c r="B74" t="s">
        <v>201</v>
      </c>
      <c r="C74" s="231">
        <v>1167685.917845923</v>
      </c>
      <c r="D74" s="231">
        <v>657281.95544592279</v>
      </c>
      <c r="E74" s="231">
        <v>1614599.7205060741</v>
      </c>
      <c r="F74" s="231">
        <v>102978.64720000001</v>
      </c>
      <c r="G74" s="231">
        <v>0</v>
      </c>
    </row>
    <row r="75" spans="1:7">
      <c r="A75" s="215">
        <v>30800</v>
      </c>
      <c r="B75" t="s">
        <v>318</v>
      </c>
      <c r="C75" s="231">
        <v>1572513.6467500986</v>
      </c>
      <c r="D75" s="231">
        <v>981467.48205009848</v>
      </c>
      <c r="E75" s="231">
        <v>2234545.5840935907</v>
      </c>
      <c r="F75" s="231">
        <v>141833.64910000001</v>
      </c>
      <c r="G75" s="231">
        <v>0</v>
      </c>
    </row>
    <row r="76" spans="1:7">
      <c r="A76" s="215">
        <v>30900</v>
      </c>
      <c r="B76" t="s">
        <v>319</v>
      </c>
      <c r="C76" s="231">
        <v>4283759.952735927</v>
      </c>
      <c r="D76" s="231">
        <v>2643435.6762359273</v>
      </c>
      <c r="E76" s="231">
        <v>5827065.896686296</v>
      </c>
      <c r="F76" s="231">
        <v>342039.05449999997</v>
      </c>
      <c r="G76" s="231">
        <v>0</v>
      </c>
    </row>
    <row r="77" spans="1:7">
      <c r="A77" s="215">
        <v>30905</v>
      </c>
      <c r="B77" t="s">
        <v>202</v>
      </c>
      <c r="C77" s="231">
        <v>743841.23195701011</v>
      </c>
      <c r="D77" s="231">
        <v>458121.4081570101</v>
      </c>
      <c r="E77" s="231">
        <v>973824.13069782557</v>
      </c>
      <c r="F77" s="231">
        <v>60573.341399999998</v>
      </c>
      <c r="G77" s="231">
        <v>0</v>
      </c>
    </row>
    <row r="78" spans="1:7">
      <c r="A78" s="215">
        <v>31000</v>
      </c>
      <c r="B78" t="s">
        <v>320</v>
      </c>
      <c r="C78" s="231">
        <v>10997590.041827848</v>
      </c>
      <c r="D78" s="231">
        <v>6337395.8408278488</v>
      </c>
      <c r="E78" s="231">
        <v>15248941.62171207</v>
      </c>
      <c r="F78" s="231">
        <v>998250.25300000003</v>
      </c>
      <c r="G78" s="231">
        <v>0</v>
      </c>
    </row>
    <row r="79" spans="1:7">
      <c r="A79" s="215">
        <v>31005</v>
      </c>
      <c r="B79" t="s">
        <v>204</v>
      </c>
      <c r="C79" s="231">
        <v>1179307.7434922047</v>
      </c>
      <c r="D79" s="231">
        <v>664865.17239220464</v>
      </c>
      <c r="E79" s="231">
        <v>1527340.6500253547</v>
      </c>
      <c r="F79" s="231">
        <v>96453.228300000002</v>
      </c>
      <c r="G79" s="231">
        <v>0</v>
      </c>
    </row>
    <row r="80" spans="1:7">
      <c r="A80" s="215">
        <v>31100</v>
      </c>
      <c r="B80" t="s">
        <v>321</v>
      </c>
      <c r="C80" s="231">
        <v>20040847.122961067</v>
      </c>
      <c r="D80" s="231">
        <v>11576874.772861065</v>
      </c>
      <c r="E80" s="231">
        <v>29505131.135373335</v>
      </c>
      <c r="F80" s="231">
        <v>1942412.9153</v>
      </c>
      <c r="G80" s="231">
        <v>0</v>
      </c>
    </row>
    <row r="81" spans="1:7">
      <c r="A81" s="215">
        <v>31101</v>
      </c>
      <c r="B81" t="s">
        <v>322</v>
      </c>
      <c r="C81" s="231">
        <v>160146.04245576647</v>
      </c>
      <c r="D81" s="231">
        <v>103953.7374557665</v>
      </c>
      <c r="E81" s="231">
        <v>206048.00564261249</v>
      </c>
      <c r="F81" s="231">
        <v>12892.164999999999</v>
      </c>
      <c r="G81" s="231">
        <v>0</v>
      </c>
    </row>
    <row r="82" spans="1:7">
      <c r="A82" s="215">
        <v>31102</v>
      </c>
      <c r="B82" t="s">
        <v>323</v>
      </c>
      <c r="C82" s="231">
        <v>357491.94666524854</v>
      </c>
      <c r="D82" s="231">
        <v>186002.44186524858</v>
      </c>
      <c r="E82" s="231">
        <v>515517.89222619811</v>
      </c>
      <c r="F82" s="231">
        <v>35384.034399999997</v>
      </c>
      <c r="G82" s="231">
        <v>0</v>
      </c>
    </row>
    <row r="83" spans="1:7">
      <c r="A83" s="215">
        <v>31105</v>
      </c>
      <c r="B83" t="s">
        <v>200</v>
      </c>
      <c r="C83" s="231">
        <v>3274017.3362551043</v>
      </c>
      <c r="D83" s="231">
        <v>1772390.2094551045</v>
      </c>
      <c r="E83" s="231">
        <v>4553885.7111522937</v>
      </c>
      <c r="F83" s="231">
        <v>298384.20039999997</v>
      </c>
      <c r="G83" s="231">
        <v>0</v>
      </c>
    </row>
    <row r="84" spans="1:7">
      <c r="A84" s="215">
        <v>31110</v>
      </c>
      <c r="B84" t="s">
        <v>324</v>
      </c>
      <c r="C84" s="231">
        <v>4148729.7366854264</v>
      </c>
      <c r="D84" s="231">
        <v>2306051.4044854264</v>
      </c>
      <c r="E84" s="231">
        <v>6586765.2309389859</v>
      </c>
      <c r="F84" s="231">
        <v>444799.52659999998</v>
      </c>
      <c r="G84" s="231">
        <v>0</v>
      </c>
    </row>
    <row r="85" spans="1:7">
      <c r="A85" s="215">
        <v>31200</v>
      </c>
      <c r="B85" t="s">
        <v>325</v>
      </c>
      <c r="C85" s="231">
        <v>8801151.8041737154</v>
      </c>
      <c r="D85" s="231">
        <v>5629045.717773716</v>
      </c>
      <c r="E85" s="231">
        <v>12597218.068128066</v>
      </c>
      <c r="F85" s="231">
        <v>835253.61919999996</v>
      </c>
      <c r="G85" s="231">
        <v>0</v>
      </c>
    </row>
    <row r="86" spans="1:7">
      <c r="A86" s="215">
        <v>31205</v>
      </c>
      <c r="B86" t="s">
        <v>254</v>
      </c>
      <c r="C86" s="231">
        <v>1057867.342987064</v>
      </c>
      <c r="D86" s="231">
        <v>557904.29388706421</v>
      </c>
      <c r="E86" s="231">
        <v>1386401.1191075097</v>
      </c>
      <c r="F86" s="231">
        <v>91296.362300000008</v>
      </c>
      <c r="G86" s="231">
        <v>0</v>
      </c>
    </row>
    <row r="87" spans="1:7">
      <c r="A87" s="215">
        <v>31300</v>
      </c>
      <c r="B87" t="s">
        <v>326</v>
      </c>
      <c r="C87" s="231">
        <v>25913845.030683767</v>
      </c>
      <c r="D87" s="231">
        <v>13465316.173383765</v>
      </c>
      <c r="E87" s="231">
        <v>37835259.918853007</v>
      </c>
      <c r="F87" s="231">
        <v>2540926.7168999999</v>
      </c>
      <c r="G87" s="231">
        <v>0</v>
      </c>
    </row>
    <row r="88" spans="1:7">
      <c r="A88" s="215">
        <v>31301</v>
      </c>
      <c r="B88" t="s">
        <v>327</v>
      </c>
      <c r="C88" s="231">
        <v>353206.1185164316</v>
      </c>
      <c r="D88" s="231">
        <v>201937.77111643163</v>
      </c>
      <c r="E88" s="231">
        <v>645011.55523698661</v>
      </c>
      <c r="F88" s="231">
        <v>44468.052199999998</v>
      </c>
      <c r="G88" s="231">
        <v>0</v>
      </c>
    </row>
    <row r="89" spans="1:7">
      <c r="A89" s="215">
        <v>31320</v>
      </c>
      <c r="B89" t="s">
        <v>328</v>
      </c>
      <c r="C89" s="231">
        <v>4414408.6886528432</v>
      </c>
      <c r="D89" s="231">
        <v>2562140.9857528433</v>
      </c>
      <c r="E89" s="231">
        <v>6545176.8448695084</v>
      </c>
      <c r="F89" s="231">
        <v>427563.6937</v>
      </c>
      <c r="G89" s="231">
        <v>0</v>
      </c>
    </row>
    <row r="90" spans="1:7">
      <c r="A90" s="215">
        <v>31400</v>
      </c>
      <c r="B90" t="s">
        <v>329</v>
      </c>
      <c r="C90" s="231">
        <v>8102935.5092456965</v>
      </c>
      <c r="D90" s="231">
        <v>5085493.7850456974</v>
      </c>
      <c r="E90" s="231">
        <v>11811580.462543404</v>
      </c>
      <c r="F90" s="231">
        <v>789119.50259999989</v>
      </c>
      <c r="G90" s="231">
        <v>0</v>
      </c>
    </row>
    <row r="91" spans="1:7">
      <c r="A91" s="215">
        <v>31405</v>
      </c>
      <c r="B91" t="s">
        <v>205</v>
      </c>
      <c r="C91" s="231">
        <v>2444778.5221446841</v>
      </c>
      <c r="D91" s="231">
        <v>1418930.5961446841</v>
      </c>
      <c r="E91" s="231">
        <v>3044483.153062135</v>
      </c>
      <c r="F91" s="231">
        <v>190010.67799999999</v>
      </c>
      <c r="G91" s="231">
        <v>0</v>
      </c>
    </row>
    <row r="92" spans="1:7">
      <c r="A92" s="215">
        <v>31500</v>
      </c>
      <c r="B92" t="s">
        <v>330</v>
      </c>
      <c r="C92" s="231">
        <v>1818898.9179506148</v>
      </c>
      <c r="D92" s="231">
        <v>1146602.5563506149</v>
      </c>
      <c r="E92" s="231">
        <v>2347129.0063419165</v>
      </c>
      <c r="F92" s="231">
        <v>153277.92480000001</v>
      </c>
      <c r="G92" s="231">
        <v>0</v>
      </c>
    </row>
    <row r="93" spans="1:7">
      <c r="A93" s="215">
        <v>31600</v>
      </c>
      <c r="B93" t="s">
        <v>331</v>
      </c>
      <c r="C93" s="231">
        <v>6825386.1916044857</v>
      </c>
      <c r="D93" s="231">
        <v>4113606.475104487</v>
      </c>
      <c r="E93" s="231">
        <v>9326716.1030756962</v>
      </c>
      <c r="F93" s="231">
        <v>643517.37450000003</v>
      </c>
      <c r="G93" s="231">
        <v>0</v>
      </c>
    </row>
    <row r="94" spans="1:7">
      <c r="A94" s="215">
        <v>31605</v>
      </c>
      <c r="B94" t="s">
        <v>207</v>
      </c>
      <c r="C94" s="231">
        <v>1233089.0170527073</v>
      </c>
      <c r="D94" s="231">
        <v>731542.96135270735</v>
      </c>
      <c r="E94" s="231">
        <v>1623476.5755006885</v>
      </c>
      <c r="F94" s="231">
        <v>102760.4721</v>
      </c>
      <c r="G94" s="231">
        <v>0</v>
      </c>
    </row>
    <row r="95" spans="1:7">
      <c r="A95" s="215">
        <v>31700</v>
      </c>
      <c r="B95" t="s">
        <v>332</v>
      </c>
      <c r="C95" s="231">
        <v>1928723.4242458893</v>
      </c>
      <c r="D95" s="231">
        <v>1194654.2919458891</v>
      </c>
      <c r="E95" s="231">
        <v>2761676.4079109426</v>
      </c>
      <c r="F95" s="231">
        <v>175710.29190000001</v>
      </c>
      <c r="G95" s="231">
        <v>0</v>
      </c>
    </row>
    <row r="96" spans="1:7">
      <c r="A96" s="215">
        <v>31800</v>
      </c>
      <c r="B96" t="s">
        <v>333</v>
      </c>
      <c r="C96" s="231">
        <v>12255898.907112798</v>
      </c>
      <c r="D96" s="231">
        <v>7550292.4214127967</v>
      </c>
      <c r="E96" s="231">
        <v>17047331.573516361</v>
      </c>
      <c r="F96" s="231">
        <v>1132150.2620999999</v>
      </c>
      <c r="G96" s="231">
        <v>0</v>
      </c>
    </row>
    <row r="97" spans="1:7">
      <c r="A97" s="215">
        <v>31805</v>
      </c>
      <c r="B97" t="s">
        <v>208</v>
      </c>
      <c r="C97" s="231">
        <v>3087530.1583975884</v>
      </c>
      <c r="D97" s="231">
        <v>1800190.2893975885</v>
      </c>
      <c r="E97" s="231">
        <v>3889775.2879280015</v>
      </c>
      <c r="F97" s="231">
        <v>253281.45699999999</v>
      </c>
      <c r="G97" s="231">
        <v>0</v>
      </c>
    </row>
    <row r="98" spans="1:7">
      <c r="A98" s="215">
        <v>31810</v>
      </c>
      <c r="B98" t="s">
        <v>334</v>
      </c>
      <c r="C98" s="231">
        <v>2754698.9041641941</v>
      </c>
      <c r="D98" s="231">
        <v>1594331.1592641943</v>
      </c>
      <c r="E98" s="231">
        <v>3904336.2680400549</v>
      </c>
      <c r="F98" s="231">
        <v>266114.11969999998</v>
      </c>
      <c r="G98" s="231">
        <v>0</v>
      </c>
    </row>
    <row r="99" spans="1:7">
      <c r="A99" s="215">
        <v>31820</v>
      </c>
      <c r="B99" t="s">
        <v>335</v>
      </c>
      <c r="C99" s="231">
        <v>2226082.008027344</v>
      </c>
      <c r="D99" s="231">
        <v>1210162.3906273439</v>
      </c>
      <c r="E99" s="231">
        <v>3278052.989629562</v>
      </c>
      <c r="F99" s="231">
        <v>224958.36219999997</v>
      </c>
      <c r="G99" s="231">
        <v>0</v>
      </c>
    </row>
    <row r="100" spans="1:7">
      <c r="A100" s="215">
        <v>31900</v>
      </c>
      <c r="B100" t="s">
        <v>336</v>
      </c>
      <c r="C100" s="231">
        <v>7673540.2555556912</v>
      </c>
      <c r="D100" s="231">
        <v>4418607.4011556897</v>
      </c>
      <c r="E100" s="231">
        <v>11071639.943793247</v>
      </c>
      <c r="F100" s="231">
        <v>744810.12320000003</v>
      </c>
      <c r="G100" s="231">
        <v>0</v>
      </c>
    </row>
    <row r="101" spans="1:7">
      <c r="A101" s="215">
        <v>32000</v>
      </c>
      <c r="B101" t="s">
        <v>337</v>
      </c>
      <c r="C101" s="231">
        <v>2865737.3294322733</v>
      </c>
      <c r="D101" s="231">
        <v>1767943.2573322733</v>
      </c>
      <c r="E101" s="231">
        <v>4281674.7021581773</v>
      </c>
      <c r="F101" s="231">
        <v>281505.38130000001</v>
      </c>
      <c r="G101" s="231">
        <v>0</v>
      </c>
    </row>
    <row r="102" spans="1:7">
      <c r="A102" s="215">
        <v>32005</v>
      </c>
      <c r="B102" t="s">
        <v>250</v>
      </c>
      <c r="C102" s="231">
        <v>874607.17443002667</v>
      </c>
      <c r="D102" s="231">
        <v>452791.7731300267</v>
      </c>
      <c r="E102" s="231">
        <v>1080476.8786444443</v>
      </c>
      <c r="F102" s="231">
        <v>71977.948900000003</v>
      </c>
      <c r="G102" s="231">
        <v>0</v>
      </c>
    </row>
    <row r="103" spans="1:7">
      <c r="A103" s="215">
        <v>32100</v>
      </c>
      <c r="B103" t="s">
        <v>338</v>
      </c>
      <c r="C103" s="231">
        <v>1767726.8668046165</v>
      </c>
      <c r="D103" s="231">
        <v>1165831.2520046167</v>
      </c>
      <c r="E103" s="231">
        <v>2498451.3604616737</v>
      </c>
      <c r="F103" s="231">
        <v>160338.86439999999</v>
      </c>
      <c r="G103" s="231">
        <v>0</v>
      </c>
    </row>
    <row r="104" spans="1:7">
      <c r="A104" s="215">
        <v>32200</v>
      </c>
      <c r="B104" t="s">
        <v>339</v>
      </c>
      <c r="C104" s="231">
        <v>1411790.8643311409</v>
      </c>
      <c r="D104" s="231">
        <v>882822.78023114079</v>
      </c>
      <c r="E104" s="231">
        <v>1921788.8461020477</v>
      </c>
      <c r="F104" s="231">
        <v>122039.2173</v>
      </c>
      <c r="G104" s="231">
        <v>0</v>
      </c>
    </row>
    <row r="105" spans="1:7">
      <c r="A105" s="215">
        <v>32300</v>
      </c>
      <c r="B105" t="s">
        <v>340</v>
      </c>
      <c r="C105" s="231">
        <v>11864062.112111814</v>
      </c>
      <c r="D105" s="231">
        <v>7078964.6507118121</v>
      </c>
      <c r="E105" s="231">
        <v>16613912.529072255</v>
      </c>
      <c r="F105" s="231">
        <v>1107972.4942000001</v>
      </c>
      <c r="G105" s="231">
        <v>0</v>
      </c>
    </row>
    <row r="106" spans="1:7">
      <c r="A106" s="215">
        <v>32305</v>
      </c>
      <c r="B106" t="s">
        <v>211</v>
      </c>
      <c r="C106" s="231">
        <v>1700927.8146684598</v>
      </c>
      <c r="D106" s="231">
        <v>1027860.73916846</v>
      </c>
      <c r="E106" s="231">
        <v>2231032.6762082232</v>
      </c>
      <c r="F106" s="231">
        <v>137152.8015</v>
      </c>
      <c r="G106" s="231">
        <v>0</v>
      </c>
    </row>
    <row r="107" spans="1:7">
      <c r="A107" s="215">
        <v>32400</v>
      </c>
      <c r="B107" t="s">
        <v>342</v>
      </c>
      <c r="C107" s="231">
        <v>4492706.6202512253</v>
      </c>
      <c r="D107" s="231">
        <v>2789453.2922512251</v>
      </c>
      <c r="E107" s="231">
        <v>6143160.5583537798</v>
      </c>
      <c r="F107" s="231">
        <v>401442.18400000007</v>
      </c>
      <c r="G107" s="231">
        <v>0</v>
      </c>
    </row>
    <row r="108" spans="1:7">
      <c r="A108" s="215">
        <v>32405</v>
      </c>
      <c r="B108" t="s">
        <v>246</v>
      </c>
      <c r="C108" s="231">
        <v>1011944.6861832989</v>
      </c>
      <c r="D108" s="231">
        <v>590761.19728329894</v>
      </c>
      <c r="E108" s="231">
        <v>1485192.9812884955</v>
      </c>
      <c r="F108" s="231">
        <v>97920.951700000005</v>
      </c>
      <c r="G108" s="231">
        <v>0</v>
      </c>
    </row>
    <row r="109" spans="1:7">
      <c r="A109" s="215">
        <v>32410</v>
      </c>
      <c r="B109" t="s">
        <v>343</v>
      </c>
      <c r="C109" s="231">
        <v>2151350.6028601145</v>
      </c>
      <c r="D109" s="231">
        <v>1330035.7097601146</v>
      </c>
      <c r="E109" s="231">
        <v>2671222.0693601999</v>
      </c>
      <c r="F109" s="231">
        <v>180946.49429999999</v>
      </c>
      <c r="G109" s="231">
        <v>0</v>
      </c>
    </row>
    <row r="110" spans="1:7">
      <c r="A110" s="215">
        <v>32500</v>
      </c>
      <c r="B110" t="s">
        <v>543</v>
      </c>
      <c r="C110" s="231">
        <v>9891238.0009570532</v>
      </c>
      <c r="D110" s="231">
        <v>5865127.5464570522</v>
      </c>
      <c r="E110" s="231">
        <v>14201363.694735201</v>
      </c>
      <c r="F110" s="231">
        <v>951739.28849999991</v>
      </c>
      <c r="G110" s="231">
        <v>0</v>
      </c>
    </row>
    <row r="111" spans="1:7">
      <c r="A111" s="215">
        <v>32505</v>
      </c>
      <c r="B111" t="s">
        <v>214</v>
      </c>
      <c r="C111" s="231">
        <v>1750534.9297803738</v>
      </c>
      <c r="D111" s="231">
        <v>958568.43008037366</v>
      </c>
      <c r="E111" s="231">
        <v>2341010.9061988778</v>
      </c>
      <c r="F111" s="231">
        <v>152742.40410000001</v>
      </c>
      <c r="G111" s="231">
        <v>0</v>
      </c>
    </row>
    <row r="112" spans="1:7">
      <c r="A112" s="215">
        <v>32600</v>
      </c>
      <c r="B112" t="s">
        <v>345</v>
      </c>
      <c r="C112" s="231">
        <v>37696254.100707978</v>
      </c>
      <c r="D112" s="231">
        <v>21207440.854307983</v>
      </c>
      <c r="E112" s="231">
        <v>49604040.416907653</v>
      </c>
      <c r="F112" s="231">
        <v>3469222.0991999996</v>
      </c>
      <c r="G112" s="231">
        <v>0</v>
      </c>
    </row>
    <row r="113" spans="1:7">
      <c r="A113" s="215">
        <v>32605</v>
      </c>
      <c r="B113" t="s">
        <v>218</v>
      </c>
      <c r="C113" s="231">
        <v>7789780.4674078068</v>
      </c>
      <c r="D113" s="231">
        <v>4380302.7411078075</v>
      </c>
      <c r="E113" s="231">
        <v>9851193.9913635068</v>
      </c>
      <c r="F113" s="231">
        <v>612457.17390000005</v>
      </c>
      <c r="G113" s="231">
        <v>0</v>
      </c>
    </row>
    <row r="114" spans="1:7">
      <c r="A114" s="215">
        <v>32700</v>
      </c>
      <c r="B114" t="s">
        <v>346</v>
      </c>
      <c r="C114" s="231">
        <v>4100975.9624798289</v>
      </c>
      <c r="D114" s="231">
        <v>2409940.8067798289</v>
      </c>
      <c r="E114" s="231">
        <v>5518115.828540938</v>
      </c>
      <c r="F114" s="231">
        <v>360603.7721</v>
      </c>
      <c r="G114" s="231">
        <v>0</v>
      </c>
    </row>
    <row r="115" spans="1:7">
      <c r="A115" s="215">
        <v>32800</v>
      </c>
      <c r="B115" t="s">
        <v>347</v>
      </c>
      <c r="C115" s="231">
        <v>5013945.6124970922</v>
      </c>
      <c r="D115" s="231">
        <v>3003815.7339970926</v>
      </c>
      <c r="E115" s="231">
        <v>7075520.8098729393</v>
      </c>
      <c r="F115" s="231">
        <v>474134.16049999994</v>
      </c>
      <c r="G115" s="231">
        <v>0</v>
      </c>
    </row>
    <row r="116" spans="1:7">
      <c r="A116" s="215">
        <v>32900</v>
      </c>
      <c r="B116" t="s">
        <v>348</v>
      </c>
      <c r="C116" s="231">
        <v>12015609.678835904</v>
      </c>
      <c r="D116" s="231">
        <v>7100800.8662359035</v>
      </c>
      <c r="E116" s="231">
        <v>17802499.88243112</v>
      </c>
      <c r="F116" s="231">
        <v>1201113.4277999999</v>
      </c>
      <c r="G116" s="231">
        <v>0</v>
      </c>
    </row>
    <row r="117" spans="1:7">
      <c r="A117" s="215">
        <v>32901</v>
      </c>
      <c r="B117" t="s">
        <v>544</v>
      </c>
      <c r="C117" s="231">
        <v>43055.302438885265</v>
      </c>
      <c r="D117" s="231">
        <v>21109.755338885268</v>
      </c>
      <c r="E117" s="231">
        <v>163029.61601661475</v>
      </c>
      <c r="F117" s="231">
        <v>18703.5563</v>
      </c>
      <c r="G117" s="231">
        <v>0</v>
      </c>
    </row>
    <row r="118" spans="1:7">
      <c r="A118" s="215">
        <v>32904</v>
      </c>
      <c r="B118" t="s">
        <v>350</v>
      </c>
      <c r="C118" s="231">
        <v>349065.67796951218</v>
      </c>
      <c r="D118" s="231">
        <v>242416.3100695122</v>
      </c>
      <c r="E118" s="231">
        <v>358366.14536722266</v>
      </c>
      <c r="F118" s="231">
        <v>19972.938699999999</v>
      </c>
      <c r="G118" s="231">
        <v>0</v>
      </c>
    </row>
    <row r="119" spans="1:7">
      <c r="A119" s="215">
        <v>32905</v>
      </c>
      <c r="B119" t="s">
        <v>215</v>
      </c>
      <c r="C119" s="231">
        <v>1900142.3179566828</v>
      </c>
      <c r="D119" s="231">
        <v>1042414.3570566826</v>
      </c>
      <c r="E119" s="231">
        <v>2610909.9815887152</v>
      </c>
      <c r="F119" s="231">
        <v>172497.16770000002</v>
      </c>
      <c r="G119" s="231">
        <v>0</v>
      </c>
    </row>
    <row r="120" spans="1:7">
      <c r="A120" s="215">
        <v>32910</v>
      </c>
      <c r="B120" t="s">
        <v>352</v>
      </c>
      <c r="C120" s="231">
        <v>2484275.3849076009</v>
      </c>
      <c r="D120" s="231">
        <v>1455686.2085076002</v>
      </c>
      <c r="E120" s="231">
        <v>3435985.44465859</v>
      </c>
      <c r="F120" s="231">
        <v>234280.38920000001</v>
      </c>
      <c r="G120" s="231">
        <v>0</v>
      </c>
    </row>
    <row r="121" spans="1:7">
      <c r="A121" s="215">
        <v>32915</v>
      </c>
      <c r="B121" t="s">
        <v>517</v>
      </c>
      <c r="C121" s="231">
        <v>580711.6706229687</v>
      </c>
      <c r="D121" s="231">
        <v>275932.6167229687</v>
      </c>
      <c r="E121" s="231">
        <v>464298.67759945773</v>
      </c>
      <c r="F121" s="231">
        <v>27509.896700000001</v>
      </c>
      <c r="G121" s="231">
        <v>0</v>
      </c>
    </row>
    <row r="122" spans="1:7">
      <c r="A122" s="215">
        <v>32920</v>
      </c>
      <c r="B122" t="s">
        <v>354</v>
      </c>
      <c r="C122" s="231">
        <v>1708649.7006757259</v>
      </c>
      <c r="D122" s="231">
        <v>919125.4088757257</v>
      </c>
      <c r="E122" s="231">
        <v>2765459.7569647552</v>
      </c>
      <c r="F122" s="231">
        <v>188304.9454</v>
      </c>
      <c r="G122" s="231">
        <v>0</v>
      </c>
    </row>
    <row r="123" spans="1:7">
      <c r="A123" s="215">
        <v>33000</v>
      </c>
      <c r="B123" t="s">
        <v>355</v>
      </c>
      <c r="C123" s="231">
        <v>4594965.4723213576</v>
      </c>
      <c r="D123" s="231">
        <v>2931294.8725213571</v>
      </c>
      <c r="E123" s="231">
        <v>6993289.5507910866</v>
      </c>
      <c r="F123" s="231">
        <v>458842.06940000004</v>
      </c>
      <c r="G123" s="231">
        <v>0</v>
      </c>
    </row>
    <row r="124" spans="1:7">
      <c r="A124" s="215">
        <v>33001</v>
      </c>
      <c r="B124" t="s">
        <v>356</v>
      </c>
      <c r="C124" s="231">
        <v>32423.082364290523</v>
      </c>
      <c r="D124" s="231">
        <v>14902.493364290502</v>
      </c>
      <c r="E124" s="231">
        <v>80049.482291702501</v>
      </c>
      <c r="F124" s="231">
        <v>7338.6169999999993</v>
      </c>
      <c r="G124" s="231">
        <v>0</v>
      </c>
    </row>
    <row r="125" spans="1:7">
      <c r="A125" s="215">
        <v>33027</v>
      </c>
      <c r="B125" t="s">
        <v>357</v>
      </c>
      <c r="C125" s="231">
        <v>820632.44710081536</v>
      </c>
      <c r="D125" s="231">
        <v>444461.43790081545</v>
      </c>
      <c r="E125" s="231">
        <v>1132285.366037067</v>
      </c>
      <c r="F125" s="231">
        <v>76083.607600000003</v>
      </c>
      <c r="G125" s="231">
        <v>0</v>
      </c>
    </row>
    <row r="126" spans="1:7">
      <c r="A126" s="215">
        <v>33100</v>
      </c>
      <c r="B126" t="s">
        <v>358</v>
      </c>
      <c r="C126" s="231">
        <v>7196118.5671238834</v>
      </c>
      <c r="D126" s="231">
        <v>4165820.2546238834</v>
      </c>
      <c r="E126" s="231">
        <v>10122444.453271907</v>
      </c>
      <c r="F126" s="231">
        <v>657004.5625</v>
      </c>
      <c r="G126" s="231">
        <v>0</v>
      </c>
    </row>
    <row r="127" spans="1:7">
      <c r="A127" s="215">
        <v>33105</v>
      </c>
      <c r="B127" t="s">
        <v>225</v>
      </c>
      <c r="C127" s="231">
        <v>1059050.4801615921</v>
      </c>
      <c r="D127" s="231">
        <v>612486.13966159208</v>
      </c>
      <c r="E127" s="231">
        <v>1368014.1367364363</v>
      </c>
      <c r="F127" s="231">
        <v>86575.8465</v>
      </c>
      <c r="G127" s="231">
        <v>0</v>
      </c>
    </row>
    <row r="128" spans="1:7">
      <c r="A128" s="215">
        <v>33200</v>
      </c>
      <c r="B128" t="s">
        <v>359</v>
      </c>
      <c r="C128" s="231">
        <v>30367815.944886815</v>
      </c>
      <c r="D128" s="231">
        <v>17039850.87508681</v>
      </c>
      <c r="E128" s="231">
        <v>46085552.754097179</v>
      </c>
      <c r="F128" s="231">
        <v>3138428.9794000001</v>
      </c>
      <c r="G128" s="231">
        <v>0</v>
      </c>
    </row>
    <row r="129" spans="1:7">
      <c r="A129" s="215">
        <v>33202</v>
      </c>
      <c r="B129" t="s">
        <v>360</v>
      </c>
      <c r="C129" s="231">
        <v>479103.24063548079</v>
      </c>
      <c r="D129" s="231">
        <v>222690.54713548085</v>
      </c>
      <c r="E129" s="231">
        <v>682527.9295400288</v>
      </c>
      <c r="F129" s="231">
        <v>56626.355499999998</v>
      </c>
      <c r="G129" s="231">
        <v>0</v>
      </c>
    </row>
    <row r="130" spans="1:7">
      <c r="A130" s="215">
        <v>33203</v>
      </c>
      <c r="B130" t="s">
        <v>361</v>
      </c>
      <c r="C130" s="231">
        <v>719089.30553283461</v>
      </c>
      <c r="D130" s="231">
        <v>441598.82453283458</v>
      </c>
      <c r="E130" s="231">
        <v>879178.27215337264</v>
      </c>
      <c r="F130" s="231">
        <v>54147.093000000008</v>
      </c>
      <c r="G130" s="231">
        <v>0</v>
      </c>
    </row>
    <row r="131" spans="1:7">
      <c r="A131" s="215">
        <v>33204</v>
      </c>
      <c r="B131" t="s">
        <v>362</v>
      </c>
      <c r="C131" s="231">
        <v>1066151.0231736724</v>
      </c>
      <c r="D131" s="231">
        <v>591798.24327367241</v>
      </c>
      <c r="E131" s="231">
        <v>1512705.599546093</v>
      </c>
      <c r="F131" s="231">
        <v>98515.974699999992</v>
      </c>
      <c r="G131" s="231">
        <v>0</v>
      </c>
    </row>
    <row r="132" spans="1:7">
      <c r="A132" s="215">
        <v>33205</v>
      </c>
      <c r="B132" t="s">
        <v>216</v>
      </c>
      <c r="C132" s="231">
        <v>3141149.0643883417</v>
      </c>
      <c r="D132" s="231">
        <v>1744465.0691883415</v>
      </c>
      <c r="E132" s="231">
        <v>4093664.5271165525</v>
      </c>
      <c r="F132" s="231">
        <v>262127.4656</v>
      </c>
      <c r="G132" s="231">
        <v>0</v>
      </c>
    </row>
    <row r="133" spans="1:7">
      <c r="A133" s="215">
        <v>33206</v>
      </c>
      <c r="B133" t="s">
        <v>363</v>
      </c>
      <c r="C133" s="231">
        <v>288916.70815690898</v>
      </c>
      <c r="D133" s="231">
        <v>150757.29955690898</v>
      </c>
      <c r="E133" s="231">
        <v>360968.49678832345</v>
      </c>
      <c r="F133" s="231">
        <v>24554.6158</v>
      </c>
      <c r="G133" s="231">
        <v>0</v>
      </c>
    </row>
    <row r="134" spans="1:7">
      <c r="A134" s="215">
        <v>33207</v>
      </c>
      <c r="B134" t="s">
        <v>364</v>
      </c>
      <c r="C134" s="231">
        <v>1124841.5444104807</v>
      </c>
      <c r="D134" s="231">
        <v>525098.5902104805</v>
      </c>
      <c r="E134" s="231">
        <v>1593416.8047955798</v>
      </c>
      <c r="F134" s="231">
        <v>112776.69260000001</v>
      </c>
      <c r="G134" s="231">
        <v>0</v>
      </c>
    </row>
    <row r="135" spans="1:7">
      <c r="A135" s="215">
        <v>33209</v>
      </c>
      <c r="B135" t="s">
        <v>520</v>
      </c>
      <c r="C135" s="231">
        <v>0</v>
      </c>
      <c r="D135" s="231">
        <v>0</v>
      </c>
      <c r="E135" s="231">
        <v>0</v>
      </c>
      <c r="F135" s="231">
        <v>0</v>
      </c>
      <c r="G135" s="231">
        <v>0</v>
      </c>
    </row>
    <row r="136" spans="1:7">
      <c r="A136" s="215">
        <v>33300</v>
      </c>
      <c r="B136" t="s">
        <v>365</v>
      </c>
      <c r="C136" s="231">
        <v>4600893.3575337017</v>
      </c>
      <c r="D136" s="231">
        <v>2808751.7306337026</v>
      </c>
      <c r="E136" s="231">
        <v>6653699.8558905004</v>
      </c>
      <c r="F136" s="231">
        <v>445811.06570000004</v>
      </c>
      <c r="G136" s="231">
        <v>0</v>
      </c>
    </row>
    <row r="137" spans="1:7">
      <c r="A137" s="215">
        <v>33305</v>
      </c>
      <c r="B137" t="s">
        <v>217</v>
      </c>
      <c r="C137" s="231">
        <v>1040991.4522243517</v>
      </c>
      <c r="D137" s="231">
        <v>654669.44052435167</v>
      </c>
      <c r="E137" s="231">
        <v>1489378.4102009982</v>
      </c>
      <c r="F137" s="231">
        <v>92446.740099999995</v>
      </c>
      <c r="G137" s="231">
        <v>0</v>
      </c>
    </row>
    <row r="138" spans="1:7">
      <c r="A138" s="215">
        <v>33400</v>
      </c>
      <c r="B138" t="s">
        <v>366</v>
      </c>
      <c r="C138" s="231">
        <v>46978851.102077588</v>
      </c>
      <c r="D138" s="231">
        <v>27585116.794877589</v>
      </c>
      <c r="E138" s="231">
        <v>64756396.394289665</v>
      </c>
      <c r="F138" s="231">
        <v>4247988.2015999993</v>
      </c>
      <c r="G138" s="231">
        <v>0</v>
      </c>
    </row>
    <row r="139" spans="1:7">
      <c r="A139" s="215">
        <v>33402</v>
      </c>
      <c r="B139" t="s">
        <v>367</v>
      </c>
      <c r="C139" s="231">
        <v>411656.37132176704</v>
      </c>
      <c r="D139" s="231">
        <v>241249.20272176701</v>
      </c>
      <c r="E139" s="231">
        <v>607306.56554692355</v>
      </c>
      <c r="F139" s="231">
        <v>40421.895799999998</v>
      </c>
      <c r="G139" s="231">
        <v>0</v>
      </c>
    </row>
    <row r="140" spans="1:7">
      <c r="A140" s="215">
        <v>33405</v>
      </c>
      <c r="B140" t="s">
        <v>219</v>
      </c>
      <c r="C140" s="231">
        <v>4161938.7096569799</v>
      </c>
      <c r="D140" s="231">
        <v>2161583.1219569799</v>
      </c>
      <c r="E140" s="231">
        <v>5664745.3543347586</v>
      </c>
      <c r="F140" s="231">
        <v>371710.86810000002</v>
      </c>
      <c r="G140" s="231">
        <v>0</v>
      </c>
    </row>
    <row r="141" spans="1:7">
      <c r="A141" s="215">
        <v>33500</v>
      </c>
      <c r="B141" t="s">
        <v>369</v>
      </c>
      <c r="C141" s="231">
        <v>6372887.6076636557</v>
      </c>
      <c r="D141" s="231">
        <v>3794212.5681636557</v>
      </c>
      <c r="E141" s="231">
        <v>9294055.4021166153</v>
      </c>
      <c r="F141" s="231">
        <v>615551.29350000003</v>
      </c>
      <c r="G141" s="231">
        <v>0</v>
      </c>
    </row>
    <row r="142" spans="1:7">
      <c r="A142" s="215">
        <v>33501</v>
      </c>
      <c r="B142" t="s">
        <v>370</v>
      </c>
      <c r="C142" s="231">
        <v>349229.8632618828</v>
      </c>
      <c r="D142" s="231">
        <v>215147.34656188279</v>
      </c>
      <c r="E142" s="231">
        <v>418243.91207461071</v>
      </c>
      <c r="F142" s="231">
        <v>26002.505099999998</v>
      </c>
      <c r="G142" s="231">
        <v>0</v>
      </c>
    </row>
    <row r="143" spans="1:7">
      <c r="A143" s="215">
        <v>33600</v>
      </c>
      <c r="B143" t="s">
        <v>371</v>
      </c>
      <c r="C143" s="231">
        <v>17996196.3864186</v>
      </c>
      <c r="D143" s="231">
        <v>9385855.4882186018</v>
      </c>
      <c r="E143" s="231">
        <v>28802775.810568519</v>
      </c>
      <c r="F143" s="231">
        <v>2046998.1245999997</v>
      </c>
      <c r="G143" s="231">
        <v>0</v>
      </c>
    </row>
    <row r="144" spans="1:7">
      <c r="A144" s="215">
        <v>33605</v>
      </c>
      <c r="B144" t="s">
        <v>220</v>
      </c>
      <c r="C144" s="231">
        <v>3249110.4677194175</v>
      </c>
      <c r="D144" s="231">
        <v>1885606.9723194176</v>
      </c>
      <c r="E144" s="231">
        <v>4190824.021398217</v>
      </c>
      <c r="F144" s="231">
        <v>259469.69620000001</v>
      </c>
      <c r="G144" s="231">
        <v>0</v>
      </c>
    </row>
    <row r="145" spans="1:7">
      <c r="A145" s="215">
        <v>33700</v>
      </c>
      <c r="B145" t="s">
        <v>372</v>
      </c>
      <c r="C145" s="231">
        <v>1652146.4609698672</v>
      </c>
      <c r="D145" s="231">
        <v>965688.25226986711</v>
      </c>
      <c r="E145" s="231">
        <v>2242527.5490292809</v>
      </c>
      <c r="F145" s="231">
        <v>152147.3811</v>
      </c>
      <c r="G145" s="231">
        <v>0</v>
      </c>
    </row>
    <row r="146" spans="1:7">
      <c r="A146" s="215">
        <v>33800</v>
      </c>
      <c r="B146" t="s">
        <v>373</v>
      </c>
      <c r="C146" s="231">
        <v>1416637.0853850758</v>
      </c>
      <c r="D146" s="231">
        <v>925130.63918507588</v>
      </c>
      <c r="E146" s="231">
        <v>1881898.8833587491</v>
      </c>
      <c r="F146" s="231">
        <v>119916.96859999999</v>
      </c>
      <c r="G146" s="231">
        <v>0</v>
      </c>
    </row>
    <row r="147" spans="1:7">
      <c r="A147" s="215">
        <v>33900</v>
      </c>
      <c r="B147" t="s">
        <v>545</v>
      </c>
      <c r="C147" s="231">
        <v>4522021.3752956418</v>
      </c>
      <c r="D147" s="231">
        <v>2721605.5115956422</v>
      </c>
      <c r="E147" s="231">
        <v>7081475.0936812684</v>
      </c>
      <c r="F147" s="231">
        <v>472468.09609999997</v>
      </c>
      <c r="G147" s="231">
        <v>0</v>
      </c>
    </row>
    <row r="148" spans="1:7">
      <c r="A148" s="215">
        <v>34000</v>
      </c>
      <c r="B148" t="s">
        <v>375</v>
      </c>
      <c r="C148" s="231">
        <v>3068290.3421408925</v>
      </c>
      <c r="D148" s="231">
        <v>1900686.8919408924</v>
      </c>
      <c r="E148" s="231">
        <v>4225056.4989805408</v>
      </c>
      <c r="F148" s="231">
        <v>265102.58059999999</v>
      </c>
      <c r="G148" s="231">
        <v>0</v>
      </c>
    </row>
    <row r="149" spans="1:7">
      <c r="A149" s="215">
        <v>34100</v>
      </c>
      <c r="B149" t="s">
        <v>376</v>
      </c>
      <c r="C149" s="231">
        <v>55619293.19277031</v>
      </c>
      <c r="D149" s="231">
        <v>31121051.317270312</v>
      </c>
      <c r="E149" s="231">
        <v>83096571.188046724</v>
      </c>
      <c r="F149" s="231">
        <v>5571696.2014999995</v>
      </c>
      <c r="G149" s="231">
        <v>0</v>
      </c>
    </row>
    <row r="150" spans="1:7">
      <c r="A150" s="215">
        <v>34105</v>
      </c>
      <c r="B150" t="s">
        <v>221</v>
      </c>
      <c r="C150" s="231">
        <v>4942892.3560564825</v>
      </c>
      <c r="D150" s="231">
        <v>2785506.190756483</v>
      </c>
      <c r="E150" s="231">
        <v>6815961.4238973344</v>
      </c>
      <c r="F150" s="231">
        <v>431371.84090000001</v>
      </c>
      <c r="G150" s="231">
        <v>0</v>
      </c>
    </row>
    <row r="151" spans="1:7">
      <c r="A151" s="215">
        <v>34200</v>
      </c>
      <c r="B151" t="s">
        <v>377</v>
      </c>
      <c r="C151" s="231">
        <v>1669093.0867186366</v>
      </c>
      <c r="D151" s="231">
        <v>1063040.1028186365</v>
      </c>
      <c r="E151" s="231">
        <v>2363905.2687468831</v>
      </c>
      <c r="F151" s="231">
        <v>164365.18670000002</v>
      </c>
      <c r="G151" s="231">
        <v>0</v>
      </c>
    </row>
    <row r="152" spans="1:7">
      <c r="A152" s="215">
        <v>34205</v>
      </c>
      <c r="B152" t="s">
        <v>222</v>
      </c>
      <c r="C152" s="231">
        <v>735794.60118192283</v>
      </c>
      <c r="D152" s="231">
        <v>311347.36758192279</v>
      </c>
      <c r="E152" s="231">
        <v>1008955.6349801365</v>
      </c>
      <c r="F152" s="231">
        <v>69181.340800000005</v>
      </c>
      <c r="G152" s="231">
        <v>0</v>
      </c>
    </row>
    <row r="153" spans="1:7">
      <c r="A153" s="215">
        <v>34220</v>
      </c>
      <c r="B153" t="s">
        <v>378</v>
      </c>
      <c r="C153" s="231">
        <v>2094794.2982488098</v>
      </c>
      <c r="D153" s="231">
        <v>1259795.54484881</v>
      </c>
      <c r="E153" s="231">
        <v>3047375.5153019223</v>
      </c>
      <c r="F153" s="231">
        <v>202744.17019999999</v>
      </c>
      <c r="G153" s="231">
        <v>0</v>
      </c>
    </row>
    <row r="154" spans="1:7">
      <c r="A154" s="215">
        <v>34230</v>
      </c>
      <c r="B154" t="s">
        <v>379</v>
      </c>
      <c r="C154" s="231">
        <v>904170.58361887187</v>
      </c>
      <c r="D154" s="231">
        <v>592651.73471887188</v>
      </c>
      <c r="E154" s="231">
        <v>1286008.2503205952</v>
      </c>
      <c r="F154" s="231">
        <v>74120.031699999992</v>
      </c>
      <c r="G154" s="231">
        <v>0</v>
      </c>
    </row>
    <row r="155" spans="1:7">
      <c r="A155" s="215">
        <v>34300</v>
      </c>
      <c r="B155" t="s">
        <v>380</v>
      </c>
      <c r="C155" s="231">
        <v>12392263.586363418</v>
      </c>
      <c r="D155" s="231">
        <v>7057018.2108634189</v>
      </c>
      <c r="E155" s="231">
        <v>19002855.107349973</v>
      </c>
      <c r="F155" s="231">
        <v>1307364.7015</v>
      </c>
      <c r="G155" s="231">
        <v>0</v>
      </c>
    </row>
    <row r="156" spans="1:7">
      <c r="A156" s="215">
        <v>34400</v>
      </c>
      <c r="B156" t="s">
        <v>381</v>
      </c>
      <c r="C156" s="231">
        <v>5330490.1979997642</v>
      </c>
      <c r="D156" s="231">
        <v>2941265.1043997649</v>
      </c>
      <c r="E156" s="231">
        <v>7863464.611911485</v>
      </c>
      <c r="F156" s="231">
        <v>541232.92079999996</v>
      </c>
      <c r="G156" s="231">
        <v>0</v>
      </c>
    </row>
    <row r="157" spans="1:7">
      <c r="A157" s="215">
        <v>34405</v>
      </c>
      <c r="B157" t="s">
        <v>223</v>
      </c>
      <c r="C157" s="231">
        <v>1001030.0958527829</v>
      </c>
      <c r="D157" s="231">
        <v>561606.54365278292</v>
      </c>
      <c r="E157" s="231">
        <v>1459580.6556324344</v>
      </c>
      <c r="F157" s="231">
        <v>99686.186599999986</v>
      </c>
      <c r="G157" s="231">
        <v>0</v>
      </c>
    </row>
    <row r="158" spans="1:7">
      <c r="A158" s="215">
        <v>34500</v>
      </c>
      <c r="B158" t="s">
        <v>382</v>
      </c>
      <c r="C158" s="231">
        <v>11182517.89261871</v>
      </c>
      <c r="D158" s="231">
        <v>6607696.0725187091</v>
      </c>
      <c r="E158" s="231">
        <v>15833578.883302409</v>
      </c>
      <c r="F158" s="231">
        <v>1051861.8253000001</v>
      </c>
      <c r="G158" s="231">
        <v>0</v>
      </c>
    </row>
    <row r="159" spans="1:7">
      <c r="A159" s="215">
        <v>34501</v>
      </c>
      <c r="B159" t="s">
        <v>383</v>
      </c>
      <c r="C159" s="231">
        <v>147436.90780200204</v>
      </c>
      <c r="D159" s="231">
        <v>99222.252202002041</v>
      </c>
      <c r="E159" s="231">
        <v>224526.01064623104</v>
      </c>
      <c r="F159" s="231">
        <v>14835.906800000001</v>
      </c>
      <c r="G159" s="231">
        <v>0</v>
      </c>
    </row>
    <row r="160" spans="1:7">
      <c r="A160" s="215">
        <v>34505</v>
      </c>
      <c r="B160" t="s">
        <v>203</v>
      </c>
      <c r="C160" s="231">
        <v>1772586.2455501179</v>
      </c>
      <c r="D160" s="231">
        <v>1120087.6936501181</v>
      </c>
      <c r="E160" s="231">
        <v>2403399.6059930627</v>
      </c>
      <c r="F160" s="231">
        <v>153258.0907</v>
      </c>
      <c r="G160" s="231">
        <v>0</v>
      </c>
    </row>
    <row r="161" spans="1:7">
      <c r="A161" s="215">
        <v>34600</v>
      </c>
      <c r="B161" t="s">
        <v>384</v>
      </c>
      <c r="C161" s="231">
        <v>1842744.7692098548</v>
      </c>
      <c r="D161" s="231">
        <v>1108484.5522098548</v>
      </c>
      <c r="E161" s="231">
        <v>2766817.6743037333</v>
      </c>
      <c r="F161" s="231">
        <v>190605.701</v>
      </c>
      <c r="G161" s="231">
        <v>0</v>
      </c>
    </row>
    <row r="162" spans="1:7">
      <c r="A162" s="215">
        <v>34605</v>
      </c>
      <c r="B162" t="s">
        <v>239</v>
      </c>
      <c r="C162" s="231">
        <v>465418.54234473291</v>
      </c>
      <c r="D162" s="231">
        <v>305020.24674473295</v>
      </c>
      <c r="E162" s="231">
        <v>616042.11770213093</v>
      </c>
      <c r="F162" s="231">
        <v>38636.826799999995</v>
      </c>
      <c r="G162" s="231">
        <v>0</v>
      </c>
    </row>
    <row r="163" spans="1:7">
      <c r="A163" s="215">
        <v>34700</v>
      </c>
      <c r="B163" t="s">
        <v>385</v>
      </c>
      <c r="C163" s="231">
        <v>6644118.0674877586</v>
      </c>
      <c r="D163" s="231">
        <v>3832696.8465877576</v>
      </c>
      <c r="E163" s="231">
        <v>9834935.1932105646</v>
      </c>
      <c r="F163" s="231">
        <v>684216.94770000002</v>
      </c>
      <c r="G163" s="231">
        <v>0</v>
      </c>
    </row>
    <row r="164" spans="1:7">
      <c r="A164" s="215">
        <v>34800</v>
      </c>
      <c r="B164" t="s">
        <v>386</v>
      </c>
      <c r="C164" s="231">
        <v>793784.93714456121</v>
      </c>
      <c r="D164" s="231">
        <v>483053.0841445612</v>
      </c>
      <c r="E164" s="231">
        <v>1075113.6704898425</v>
      </c>
      <c r="F164" s="231">
        <v>69221.009000000005</v>
      </c>
      <c r="G164" s="231">
        <v>0</v>
      </c>
    </row>
    <row r="165" spans="1:7">
      <c r="A165" s="215">
        <v>34900</v>
      </c>
      <c r="B165" t="s">
        <v>546</v>
      </c>
      <c r="C165" s="231">
        <v>15842833.390265495</v>
      </c>
      <c r="D165" s="231">
        <v>8726478.6679654978</v>
      </c>
      <c r="E165" s="231">
        <v>21935761.069276221</v>
      </c>
      <c r="F165" s="231">
        <v>1458976.5619000001</v>
      </c>
      <c r="G165" s="231">
        <v>0</v>
      </c>
    </row>
    <row r="166" spans="1:7">
      <c r="A166" s="215">
        <v>34901</v>
      </c>
      <c r="B166" t="s">
        <v>547</v>
      </c>
      <c r="C166" s="231">
        <v>430912.12587593653</v>
      </c>
      <c r="D166" s="231">
        <v>225663.85287593649</v>
      </c>
      <c r="E166" s="231">
        <v>581618.4200312926</v>
      </c>
      <c r="F166" s="231">
        <v>41453.269</v>
      </c>
      <c r="G166" s="231">
        <v>0</v>
      </c>
    </row>
    <row r="167" spans="1:7">
      <c r="A167" s="215">
        <v>34903</v>
      </c>
      <c r="B167" t="s">
        <v>389</v>
      </c>
      <c r="C167" s="231">
        <v>84891.826764999743</v>
      </c>
      <c r="D167" s="231">
        <v>60533.218864999748</v>
      </c>
      <c r="E167" s="231">
        <v>65709.938384622743</v>
      </c>
      <c r="F167" s="231">
        <v>4105.6587</v>
      </c>
      <c r="G167" s="231">
        <v>0</v>
      </c>
    </row>
    <row r="168" spans="1:7">
      <c r="A168" s="215">
        <v>34905</v>
      </c>
      <c r="B168" t="s">
        <v>231</v>
      </c>
      <c r="C168" s="231">
        <v>1335985.0391656957</v>
      </c>
      <c r="D168" s="231">
        <v>762815.31386569561</v>
      </c>
      <c r="E168" s="231">
        <v>2016034.0346279347</v>
      </c>
      <c r="F168" s="231">
        <v>129893.5209</v>
      </c>
      <c r="G168" s="231">
        <v>0</v>
      </c>
    </row>
    <row r="169" spans="1:7">
      <c r="A169" s="215">
        <v>34910</v>
      </c>
      <c r="B169" t="s">
        <v>390</v>
      </c>
      <c r="C169" s="231">
        <v>4258476.4157596081</v>
      </c>
      <c r="D169" s="231">
        <v>2247029.8776596086</v>
      </c>
      <c r="E169" s="231">
        <v>6294934.6391484644</v>
      </c>
      <c r="F169" s="231">
        <v>435814.67930000002</v>
      </c>
      <c r="G169" s="231">
        <v>0</v>
      </c>
    </row>
    <row r="170" spans="1:7">
      <c r="A170" s="215">
        <v>35000</v>
      </c>
      <c r="B170" t="s">
        <v>391</v>
      </c>
      <c r="C170" s="231">
        <v>3524687.973853997</v>
      </c>
      <c r="D170" s="231">
        <v>2032850.9571539969</v>
      </c>
      <c r="E170" s="231">
        <v>5002567.3467813609</v>
      </c>
      <c r="F170" s="231">
        <v>323514.00510000001</v>
      </c>
      <c r="G170" s="231">
        <v>0</v>
      </c>
    </row>
    <row r="171" spans="1:7">
      <c r="A171" s="215">
        <v>35005</v>
      </c>
      <c r="B171" t="s">
        <v>247</v>
      </c>
      <c r="C171" s="231">
        <v>1201525.0657796196</v>
      </c>
      <c r="D171" s="231">
        <v>653851.87687961978</v>
      </c>
      <c r="E171" s="231">
        <v>1731034.241553745</v>
      </c>
      <c r="F171" s="231">
        <v>117755.0517</v>
      </c>
      <c r="G171" s="231">
        <v>0</v>
      </c>
    </row>
    <row r="172" spans="1:7">
      <c r="A172" s="215">
        <v>35100</v>
      </c>
      <c r="B172" t="s">
        <v>392</v>
      </c>
      <c r="C172" s="231">
        <v>26001847.129241131</v>
      </c>
      <c r="D172" s="231">
        <v>14933439.13894113</v>
      </c>
      <c r="E172" s="231">
        <v>38933043.448846638</v>
      </c>
      <c r="F172" s="231">
        <v>2657749.5658999998</v>
      </c>
      <c r="G172" s="231">
        <v>0</v>
      </c>
    </row>
    <row r="173" spans="1:7">
      <c r="A173" s="215">
        <v>35105</v>
      </c>
      <c r="B173" t="s">
        <v>226</v>
      </c>
      <c r="C173" s="231">
        <v>2052371.9731937945</v>
      </c>
      <c r="D173" s="231">
        <v>1064278.7281937946</v>
      </c>
      <c r="E173" s="231">
        <v>3207857.8063617623</v>
      </c>
      <c r="F173" s="231">
        <v>215199.98500000002</v>
      </c>
      <c r="G173" s="231">
        <v>0</v>
      </c>
    </row>
    <row r="174" spans="1:7">
      <c r="A174" s="215">
        <v>35106</v>
      </c>
      <c r="B174" t="s">
        <v>393</v>
      </c>
      <c r="C174" s="231">
        <v>341792.62634595856</v>
      </c>
      <c r="D174" s="231">
        <v>146646.5851459585</v>
      </c>
      <c r="E174" s="231">
        <v>617139.65508438693</v>
      </c>
      <c r="F174" s="231">
        <v>47522.503599999996</v>
      </c>
      <c r="G174" s="231">
        <v>0</v>
      </c>
    </row>
    <row r="175" spans="1:7">
      <c r="A175" s="215">
        <v>35200</v>
      </c>
      <c r="B175" t="s">
        <v>394</v>
      </c>
      <c r="C175" s="231">
        <v>1169477.7742056523</v>
      </c>
      <c r="D175" s="231">
        <v>658293.68480565224</v>
      </c>
      <c r="E175" s="231">
        <v>1514675.9044332819</v>
      </c>
      <c r="F175" s="231">
        <v>101193.5782</v>
      </c>
      <c r="G175" s="231">
        <v>0</v>
      </c>
    </row>
    <row r="176" spans="1:7">
      <c r="A176" s="215">
        <v>35300</v>
      </c>
      <c r="B176" t="s">
        <v>548</v>
      </c>
      <c r="C176" s="231">
        <v>7912265.8231217153</v>
      </c>
      <c r="D176" s="231">
        <v>4909302.1096217148</v>
      </c>
      <c r="E176" s="231">
        <v>11320946.177500982</v>
      </c>
      <c r="F176" s="231">
        <v>782554.4155</v>
      </c>
      <c r="G176" s="231">
        <v>0</v>
      </c>
    </row>
    <row r="177" spans="1:7">
      <c r="A177" s="215">
        <v>35305</v>
      </c>
      <c r="B177" t="s">
        <v>209</v>
      </c>
      <c r="C177" s="231">
        <v>3246674.7970917956</v>
      </c>
      <c r="D177" s="231">
        <v>1622474.6476917956</v>
      </c>
      <c r="E177" s="231">
        <v>4416632.9827631311</v>
      </c>
      <c r="F177" s="231">
        <v>295567.75819999998</v>
      </c>
      <c r="G177" s="231">
        <v>0</v>
      </c>
    </row>
    <row r="178" spans="1:7">
      <c r="A178" s="215">
        <v>35400</v>
      </c>
      <c r="B178" t="s">
        <v>396</v>
      </c>
      <c r="C178" s="231">
        <v>7770565.8173021786</v>
      </c>
      <c r="D178" s="231">
        <v>4847232.9458021782</v>
      </c>
      <c r="E178" s="231">
        <v>10541886.963000936</v>
      </c>
      <c r="F178" s="231">
        <v>666326.5895</v>
      </c>
      <c r="G178" s="231">
        <v>0</v>
      </c>
    </row>
    <row r="179" spans="1:7">
      <c r="A179" s="215">
        <v>35401</v>
      </c>
      <c r="B179" t="s">
        <v>397</v>
      </c>
      <c r="C179" s="231">
        <v>78722.022448564749</v>
      </c>
      <c r="D179" s="231">
        <v>13724.056548564742</v>
      </c>
      <c r="E179" s="231">
        <v>82253.37670407776</v>
      </c>
      <c r="F179" s="231">
        <v>6882.4327000000003</v>
      </c>
      <c r="G179" s="231">
        <v>0</v>
      </c>
    </row>
    <row r="180" spans="1:7">
      <c r="A180" s="215">
        <v>35405</v>
      </c>
      <c r="B180" t="s">
        <v>227</v>
      </c>
      <c r="C180" s="231">
        <v>1515371.0404077093</v>
      </c>
      <c r="D180" s="231">
        <v>750147.98210770951</v>
      </c>
      <c r="E180" s="231">
        <v>2457251.5964685772</v>
      </c>
      <c r="F180" s="231">
        <v>167379.9699</v>
      </c>
      <c r="G180" s="231">
        <v>0</v>
      </c>
    </row>
    <row r="181" spans="1:7">
      <c r="A181" s="215">
        <v>35500</v>
      </c>
      <c r="B181" t="s">
        <v>398</v>
      </c>
      <c r="C181" s="231">
        <v>8792343.914953053</v>
      </c>
      <c r="D181" s="231">
        <v>5242636.9391530519</v>
      </c>
      <c r="E181" s="231">
        <v>12185260.887889845</v>
      </c>
      <c r="F181" s="231">
        <v>817442.59739999997</v>
      </c>
      <c r="G181" s="231">
        <v>0</v>
      </c>
    </row>
    <row r="182" spans="1:7">
      <c r="A182" s="215">
        <v>35600</v>
      </c>
      <c r="B182" t="s">
        <v>399</v>
      </c>
      <c r="C182" s="231">
        <v>4153412.0370903327</v>
      </c>
      <c r="D182" s="231">
        <v>2456301.4489903324</v>
      </c>
      <c r="E182" s="231">
        <v>5414333.7258620877</v>
      </c>
      <c r="F182" s="231">
        <v>366395.32930000004</v>
      </c>
      <c r="G182" s="231">
        <v>0</v>
      </c>
    </row>
    <row r="183" spans="1:7">
      <c r="A183" s="215">
        <v>35700</v>
      </c>
      <c r="B183" t="s">
        <v>400</v>
      </c>
      <c r="C183" s="231">
        <v>2308563.3136018058</v>
      </c>
      <c r="D183" s="231">
        <v>1447328.8471018062</v>
      </c>
      <c r="E183" s="231">
        <v>3103854.4221095713</v>
      </c>
      <c r="F183" s="231">
        <v>197250.12449999998</v>
      </c>
      <c r="G183" s="231">
        <v>0</v>
      </c>
    </row>
    <row r="184" spans="1:7">
      <c r="A184" s="215">
        <v>35800</v>
      </c>
      <c r="B184" t="s">
        <v>401</v>
      </c>
      <c r="C184" s="231">
        <v>2223830.6010351516</v>
      </c>
      <c r="D184" s="231">
        <v>1354601.1924351514</v>
      </c>
      <c r="E184" s="231">
        <v>3302484.6742808237</v>
      </c>
      <c r="F184" s="231">
        <v>222895.61580000003</v>
      </c>
      <c r="G184" s="231">
        <v>0</v>
      </c>
    </row>
    <row r="185" spans="1:7">
      <c r="A185" s="215">
        <v>35805</v>
      </c>
      <c r="B185" t="s">
        <v>228</v>
      </c>
      <c r="C185" s="231">
        <v>507570.92527765362</v>
      </c>
      <c r="D185" s="231">
        <v>267043.24207765353</v>
      </c>
      <c r="E185" s="231">
        <v>679914.24048493197</v>
      </c>
      <c r="F185" s="231">
        <v>44745.729599999999</v>
      </c>
      <c r="G185" s="231">
        <v>0</v>
      </c>
    </row>
    <row r="186" spans="1:7">
      <c r="A186" s="215">
        <v>35900</v>
      </c>
      <c r="B186" t="s">
        <v>402</v>
      </c>
      <c r="C186" s="231">
        <v>4518592.6622317135</v>
      </c>
      <c r="D186" s="231">
        <v>2615191.699531714</v>
      </c>
      <c r="E186" s="231">
        <v>6599111.0853904439</v>
      </c>
      <c r="F186" s="231">
        <v>446088.74310000002</v>
      </c>
      <c r="G186" s="231">
        <v>0</v>
      </c>
    </row>
    <row r="187" spans="1:7">
      <c r="A187" s="215">
        <v>35905</v>
      </c>
      <c r="B187" t="s">
        <v>230</v>
      </c>
      <c r="C187" s="231">
        <v>1001550.3620936541</v>
      </c>
      <c r="D187" s="231">
        <v>633845.90449365415</v>
      </c>
      <c r="E187" s="231">
        <v>1175588.494839876</v>
      </c>
      <c r="F187" s="231">
        <v>67594.612800000003</v>
      </c>
      <c r="G187" s="231">
        <v>0</v>
      </c>
    </row>
    <row r="188" spans="1:7">
      <c r="A188" s="215">
        <v>36000</v>
      </c>
      <c r="B188" t="s">
        <v>403</v>
      </c>
      <c r="C188" s="231">
        <v>109441207.79077819</v>
      </c>
      <c r="D188" s="231">
        <v>54276928.983378172</v>
      </c>
      <c r="E188" s="231">
        <v>163508727.22014982</v>
      </c>
      <c r="F188" s="231">
        <v>11583947.4322</v>
      </c>
      <c r="G188" s="231">
        <v>0</v>
      </c>
    </row>
    <row r="189" spans="1:7">
      <c r="A189" s="215">
        <v>36001</v>
      </c>
      <c r="B189" t="s">
        <v>549</v>
      </c>
      <c r="C189" s="231">
        <v>0</v>
      </c>
      <c r="D189" s="231">
        <v>0</v>
      </c>
      <c r="E189" s="231">
        <v>0</v>
      </c>
      <c r="F189" s="231">
        <v>0</v>
      </c>
      <c r="G189" s="231">
        <v>0</v>
      </c>
    </row>
    <row r="190" spans="1:7">
      <c r="A190" s="215">
        <v>36003</v>
      </c>
      <c r="B190" t="s">
        <v>404</v>
      </c>
      <c r="C190" s="231">
        <v>961656.07203874842</v>
      </c>
      <c r="D190" s="231">
        <v>610422.97403874854</v>
      </c>
      <c r="E190" s="231">
        <v>1295850.225015105</v>
      </c>
      <c r="F190" s="231">
        <v>86079.993999999992</v>
      </c>
      <c r="G190" s="231">
        <v>0</v>
      </c>
    </row>
    <row r="191" spans="1:7">
      <c r="A191" s="215">
        <v>36004</v>
      </c>
      <c r="B191" t="s">
        <v>550</v>
      </c>
      <c r="C191" s="231">
        <v>837786.24835104705</v>
      </c>
      <c r="D191" s="231">
        <v>426302.55235104705</v>
      </c>
      <c r="E191" s="231">
        <v>1108056.8873639598</v>
      </c>
      <c r="F191" s="231">
        <v>72989.487999999998</v>
      </c>
      <c r="G191" s="231">
        <v>0</v>
      </c>
    </row>
    <row r="192" spans="1:7">
      <c r="A192" s="215">
        <v>36005</v>
      </c>
      <c r="B192" t="s">
        <v>210</v>
      </c>
      <c r="C192" s="231">
        <v>7532271.6715465439</v>
      </c>
      <c r="D192" s="231">
        <v>4062106.4310465446</v>
      </c>
      <c r="E192" s="231">
        <v>12196531.301014688</v>
      </c>
      <c r="F192" s="231">
        <v>820437.54650000005</v>
      </c>
      <c r="G192" s="231">
        <v>0</v>
      </c>
    </row>
    <row r="193" spans="1:7">
      <c r="A193" s="215">
        <v>36006</v>
      </c>
      <c r="B193" t="s">
        <v>406</v>
      </c>
      <c r="C193" s="231">
        <v>1300946.1033664336</v>
      </c>
      <c r="D193" s="231">
        <v>667133.25186643365</v>
      </c>
      <c r="E193" s="231">
        <v>2041625.6256084838</v>
      </c>
      <c r="F193" s="231">
        <v>138739.5295</v>
      </c>
      <c r="G193" s="231">
        <v>0</v>
      </c>
    </row>
    <row r="194" spans="1:7">
      <c r="A194" s="215">
        <v>36007</v>
      </c>
      <c r="B194" t="s">
        <v>407</v>
      </c>
      <c r="C194" s="231">
        <v>662507.40865284693</v>
      </c>
      <c r="D194" s="231">
        <v>409490.37935284688</v>
      </c>
      <c r="E194" s="231">
        <v>846538.73185597442</v>
      </c>
      <c r="F194" s="231">
        <v>56904.032899999998</v>
      </c>
      <c r="G194" s="231">
        <v>0</v>
      </c>
    </row>
    <row r="195" spans="1:7">
      <c r="A195" s="215">
        <v>36008</v>
      </c>
      <c r="B195" t="s">
        <v>408</v>
      </c>
      <c r="C195" s="231">
        <v>1265672.1126422475</v>
      </c>
      <c r="D195" s="231">
        <v>655358.73054224742</v>
      </c>
      <c r="E195" s="231">
        <v>1877413.5533161522</v>
      </c>
      <c r="F195" s="231">
        <v>128782.8113</v>
      </c>
      <c r="G195" s="231">
        <v>0</v>
      </c>
    </row>
    <row r="196" spans="1:7">
      <c r="A196" s="215">
        <v>36009</v>
      </c>
      <c r="B196" t="s">
        <v>409</v>
      </c>
      <c r="C196" s="231">
        <v>52865.30725247279</v>
      </c>
      <c r="D196" s="231">
        <v>48694.4687524728</v>
      </c>
      <c r="E196" s="231">
        <v>147428.04452954128</v>
      </c>
      <c r="F196" s="231">
        <v>13983.040500000001</v>
      </c>
      <c r="G196" s="231">
        <v>0</v>
      </c>
    </row>
    <row r="197" spans="1:7">
      <c r="A197" s="215">
        <v>36100</v>
      </c>
      <c r="B197" t="s">
        <v>410</v>
      </c>
      <c r="C197" s="231">
        <v>1590863.1877582828</v>
      </c>
      <c r="D197" s="231">
        <v>999938.02305828268</v>
      </c>
      <c r="E197" s="231">
        <v>2223612.3989775907</v>
      </c>
      <c r="F197" s="231">
        <v>141833.64910000001</v>
      </c>
      <c r="G197" s="231">
        <v>0</v>
      </c>
    </row>
    <row r="198" spans="1:7">
      <c r="A198" s="215">
        <v>36102</v>
      </c>
      <c r="B198" t="s">
        <v>522</v>
      </c>
      <c r="C198" s="231">
        <v>-332428</v>
      </c>
      <c r="D198" s="231">
        <v>0</v>
      </c>
      <c r="E198" s="231">
        <v>0</v>
      </c>
      <c r="F198" s="231">
        <v>0</v>
      </c>
      <c r="G198" s="231">
        <v>0</v>
      </c>
    </row>
    <row r="199" spans="1:7">
      <c r="A199" s="215">
        <v>36105</v>
      </c>
      <c r="B199" t="s">
        <v>229</v>
      </c>
      <c r="C199" s="231">
        <v>633015.88540181145</v>
      </c>
      <c r="D199" s="231">
        <v>372770.07680181146</v>
      </c>
      <c r="E199" s="231">
        <v>1006298.2684748236</v>
      </c>
      <c r="F199" s="231">
        <v>64222.815800000004</v>
      </c>
      <c r="G199" s="231">
        <v>0</v>
      </c>
    </row>
    <row r="200" spans="1:7">
      <c r="A200" s="215">
        <v>36200</v>
      </c>
      <c r="B200" t="s">
        <v>411</v>
      </c>
      <c r="C200" s="231">
        <v>2730320.5605665101</v>
      </c>
      <c r="D200" s="231">
        <v>1731056.5320665101</v>
      </c>
      <c r="E200" s="231">
        <v>4068662.102601815</v>
      </c>
      <c r="F200" s="231">
        <v>265876.11049999995</v>
      </c>
      <c r="G200" s="231">
        <v>0</v>
      </c>
    </row>
    <row r="201" spans="1:7">
      <c r="A201" s="215">
        <v>36205</v>
      </c>
      <c r="B201" t="s">
        <v>232</v>
      </c>
      <c r="C201" s="231">
        <v>526091.77152813505</v>
      </c>
      <c r="D201" s="231">
        <v>295090.26832813508</v>
      </c>
      <c r="E201" s="231">
        <v>825556.34066488221</v>
      </c>
      <c r="F201" s="231">
        <v>56646.189599999998</v>
      </c>
      <c r="G201" s="231">
        <v>0</v>
      </c>
    </row>
    <row r="202" spans="1:7">
      <c r="A202" s="215">
        <v>36300</v>
      </c>
      <c r="B202" t="s">
        <v>412</v>
      </c>
      <c r="C202" s="231">
        <v>9798071.7023039833</v>
      </c>
      <c r="D202" s="231">
        <v>5740800.6144039817</v>
      </c>
      <c r="E202" s="231">
        <v>14656969.466121921</v>
      </c>
      <c r="F202" s="231">
        <v>964076.09869999997</v>
      </c>
      <c r="G202" s="231">
        <v>0</v>
      </c>
    </row>
    <row r="203" spans="1:7">
      <c r="A203" s="215">
        <v>36301</v>
      </c>
      <c r="B203" t="s">
        <v>413</v>
      </c>
      <c r="C203" s="231">
        <v>284034.08822683746</v>
      </c>
      <c r="D203" s="231">
        <v>116529.25422683745</v>
      </c>
      <c r="E203" s="231">
        <v>347462.81430096494</v>
      </c>
      <c r="F203" s="231">
        <v>24197.601999999999</v>
      </c>
      <c r="G203" s="231">
        <v>0</v>
      </c>
    </row>
    <row r="204" spans="1:7">
      <c r="A204" s="215">
        <v>36302</v>
      </c>
      <c r="B204" t="s">
        <v>414</v>
      </c>
      <c r="C204" s="231">
        <v>535389.96252783667</v>
      </c>
      <c r="D204" s="231">
        <v>270333.06272783654</v>
      </c>
      <c r="E204" s="231">
        <v>645705.64206083561</v>
      </c>
      <c r="F204" s="231">
        <v>42325.969400000002</v>
      </c>
      <c r="G204" s="231">
        <v>0</v>
      </c>
    </row>
    <row r="205" spans="1:7">
      <c r="A205" s="215">
        <v>36303</v>
      </c>
      <c r="B205" t="s">
        <v>415</v>
      </c>
      <c r="C205" s="231">
        <v>588508.69919413677</v>
      </c>
      <c r="D205" s="231">
        <v>311341.06529413676</v>
      </c>
      <c r="E205" s="231">
        <v>804592.5289900077</v>
      </c>
      <c r="F205" s="231">
        <v>55277.636700000003</v>
      </c>
      <c r="G205" s="231">
        <v>0</v>
      </c>
    </row>
    <row r="206" spans="1:7">
      <c r="A206" s="215">
        <v>36305</v>
      </c>
      <c r="B206" t="s">
        <v>244</v>
      </c>
      <c r="C206" s="231">
        <v>2511731.1912099603</v>
      </c>
      <c r="D206" s="231">
        <v>1449257.7551099604</v>
      </c>
      <c r="E206" s="231">
        <v>3238398.2435075669</v>
      </c>
      <c r="F206" s="231">
        <v>204549.07329999999</v>
      </c>
      <c r="G206" s="231">
        <v>0</v>
      </c>
    </row>
    <row r="207" spans="1:7">
      <c r="A207" s="215">
        <v>36310</v>
      </c>
      <c r="B207" t="s">
        <v>551</v>
      </c>
      <c r="C207" s="231">
        <v>0</v>
      </c>
      <c r="D207" s="231">
        <v>0</v>
      </c>
      <c r="E207" s="231">
        <v>0</v>
      </c>
      <c r="F207" s="231">
        <v>0</v>
      </c>
      <c r="G207" s="231">
        <v>0</v>
      </c>
    </row>
    <row r="208" spans="1:7">
      <c r="A208" s="215">
        <v>36400</v>
      </c>
      <c r="B208" t="s">
        <v>552</v>
      </c>
      <c r="C208" s="231">
        <v>10436784.059877397</v>
      </c>
      <c r="D208" s="231">
        <v>6217869.8728773966</v>
      </c>
      <c r="E208" s="231">
        <v>14601047.080867054</v>
      </c>
      <c r="F208" s="231">
        <v>985953.11099999992</v>
      </c>
      <c r="G208" s="231">
        <v>0</v>
      </c>
    </row>
    <row r="209" spans="1:7">
      <c r="A209" s="215">
        <v>36405</v>
      </c>
      <c r="B209" t="s">
        <v>233</v>
      </c>
      <c r="C209" s="231">
        <v>1296958.0319822563</v>
      </c>
      <c r="D209" s="231">
        <v>736282.41598225629</v>
      </c>
      <c r="E209" s="231">
        <v>2098095.1004836606</v>
      </c>
      <c r="F209" s="231">
        <v>144392.24799999999</v>
      </c>
      <c r="G209" s="231">
        <v>0</v>
      </c>
    </row>
    <row r="210" spans="1:7">
      <c r="A210" s="215">
        <v>36500</v>
      </c>
      <c r="B210" t="s">
        <v>418</v>
      </c>
      <c r="C210" s="231">
        <v>26187496.917845797</v>
      </c>
      <c r="D210" s="231">
        <v>15096633.075745797</v>
      </c>
      <c r="E210" s="231">
        <v>36320524.431401506</v>
      </c>
      <c r="F210" s="231">
        <v>2346235.1913000001</v>
      </c>
      <c r="G210" s="231">
        <v>0</v>
      </c>
    </row>
    <row r="211" spans="1:7">
      <c r="A211" s="215">
        <v>36501</v>
      </c>
      <c r="B211" t="s">
        <v>419</v>
      </c>
      <c r="C211" s="231">
        <v>281330.44226459647</v>
      </c>
      <c r="D211" s="231">
        <v>139952.13106459647</v>
      </c>
      <c r="E211" s="231">
        <v>404035.60745246202</v>
      </c>
      <c r="F211" s="231">
        <v>29671.813600000001</v>
      </c>
      <c r="G211" s="231">
        <v>0</v>
      </c>
    </row>
    <row r="212" spans="1:7">
      <c r="A212" s="215">
        <v>36502</v>
      </c>
      <c r="B212" t="s">
        <v>420</v>
      </c>
      <c r="C212" s="231">
        <v>4762.7955386822505</v>
      </c>
      <c r="D212" s="231">
        <v>-7933.9167613177451</v>
      </c>
      <c r="E212" s="231">
        <v>59049.004704991748</v>
      </c>
      <c r="F212" s="231">
        <v>5137.0319</v>
      </c>
      <c r="G212" s="231">
        <v>0</v>
      </c>
    </row>
    <row r="213" spans="1:7">
      <c r="A213" s="215">
        <v>36505</v>
      </c>
      <c r="B213" t="s">
        <v>206</v>
      </c>
      <c r="C213" s="231">
        <v>4918339.7828837009</v>
      </c>
      <c r="D213" s="231">
        <v>3010122.0129837012</v>
      </c>
      <c r="E213" s="231">
        <v>6799245.9518113686</v>
      </c>
      <c r="F213" s="231">
        <v>429745.44470000005</v>
      </c>
      <c r="G213" s="231">
        <v>0</v>
      </c>
    </row>
    <row r="214" spans="1:7">
      <c r="A214" s="215">
        <v>36600</v>
      </c>
      <c r="B214" t="s">
        <v>421</v>
      </c>
      <c r="C214" s="231">
        <v>831269.50119657372</v>
      </c>
      <c r="D214" s="231">
        <v>474544.13969657366</v>
      </c>
      <c r="E214" s="231">
        <v>1421820.571701959</v>
      </c>
      <c r="F214" s="231">
        <v>105021.5595</v>
      </c>
      <c r="G214" s="231">
        <v>0</v>
      </c>
    </row>
    <row r="215" spans="1:7">
      <c r="A215" s="215">
        <v>36601</v>
      </c>
      <c r="B215" t="s">
        <v>524</v>
      </c>
      <c r="C215" s="231">
        <v>196745.84934824996</v>
      </c>
      <c r="D215" s="231">
        <v>-319566.15065175004</v>
      </c>
      <c r="E215" s="231">
        <v>219861</v>
      </c>
      <c r="F215" s="231">
        <v>0</v>
      </c>
      <c r="G215" s="231">
        <v>0</v>
      </c>
    </row>
    <row r="216" spans="1:7">
      <c r="A216" s="215">
        <v>36700</v>
      </c>
      <c r="B216" t="s">
        <v>422</v>
      </c>
      <c r="C216" s="231">
        <v>19433226.874047861</v>
      </c>
      <c r="D216" s="231">
        <v>11398800.539647857</v>
      </c>
      <c r="E216" s="231">
        <v>29265744.332115043</v>
      </c>
      <c r="F216" s="231">
        <v>1903121.5632</v>
      </c>
      <c r="G216" s="231">
        <v>0</v>
      </c>
    </row>
    <row r="217" spans="1:7">
      <c r="A217" s="215">
        <v>36701</v>
      </c>
      <c r="B217" t="s">
        <v>423</v>
      </c>
      <c r="C217" s="231">
        <v>-3619.7455142974868</v>
      </c>
      <c r="D217" s="231">
        <v>-17966.648114297495</v>
      </c>
      <c r="E217" s="231">
        <v>54485.406744138498</v>
      </c>
      <c r="F217" s="231">
        <v>5117.1977999999999</v>
      </c>
      <c r="G217" s="231">
        <v>0</v>
      </c>
    </row>
    <row r="218" spans="1:7">
      <c r="A218" s="215">
        <v>36705</v>
      </c>
      <c r="B218" t="s">
        <v>212</v>
      </c>
      <c r="C218" s="231">
        <v>1661569.9052912104</v>
      </c>
      <c r="D218" s="231">
        <v>915044.57199121045</v>
      </c>
      <c r="E218" s="231">
        <v>2358123.8649165137</v>
      </c>
      <c r="F218" s="231">
        <v>182255.54489999998</v>
      </c>
      <c r="G218" s="231">
        <v>0</v>
      </c>
    </row>
    <row r="219" spans="1:7">
      <c r="A219" s="215">
        <v>36800</v>
      </c>
      <c r="B219" t="s">
        <v>424</v>
      </c>
      <c r="C219" s="231">
        <v>7577312.0030833865</v>
      </c>
      <c r="D219" s="231">
        <v>4472439.2453833865</v>
      </c>
      <c r="E219" s="231">
        <v>10612292.161084082</v>
      </c>
      <c r="F219" s="231">
        <v>691039.87809999997</v>
      </c>
      <c r="G219" s="231">
        <v>0</v>
      </c>
    </row>
    <row r="220" spans="1:7">
      <c r="A220" s="215">
        <v>36802</v>
      </c>
      <c r="B220" t="s">
        <v>425</v>
      </c>
      <c r="C220" s="231">
        <v>461643.8614231121</v>
      </c>
      <c r="D220" s="231">
        <v>245456.82062311206</v>
      </c>
      <c r="E220" s="231">
        <v>752889.06028905825</v>
      </c>
      <c r="F220" s="231">
        <v>52838.042400000006</v>
      </c>
      <c r="G220" s="231">
        <v>0</v>
      </c>
    </row>
    <row r="221" spans="1:7">
      <c r="A221" s="215">
        <v>36810</v>
      </c>
      <c r="B221" t="s">
        <v>553</v>
      </c>
      <c r="C221" s="231">
        <v>13883953.66234207</v>
      </c>
      <c r="D221" s="231">
        <v>7671632.7701420691</v>
      </c>
      <c r="E221" s="231">
        <v>19760197.051684581</v>
      </c>
      <c r="F221" s="231">
        <v>1333367.2065999999</v>
      </c>
      <c r="G221" s="231">
        <v>0</v>
      </c>
    </row>
    <row r="222" spans="1:7">
      <c r="A222" s="215">
        <v>36900</v>
      </c>
      <c r="B222" t="s">
        <v>427</v>
      </c>
      <c r="C222" s="231">
        <v>1755332.150753496</v>
      </c>
      <c r="D222" s="231">
        <v>1171168.0312534957</v>
      </c>
      <c r="E222" s="231">
        <v>2320854.638467914</v>
      </c>
      <c r="F222" s="231">
        <v>147466.53349999999</v>
      </c>
      <c r="G222" s="231">
        <v>0</v>
      </c>
    </row>
    <row r="223" spans="1:7">
      <c r="A223" s="215">
        <v>36901</v>
      </c>
      <c r="B223" t="s">
        <v>428</v>
      </c>
      <c r="C223" s="231">
        <v>495057.8575447324</v>
      </c>
      <c r="D223" s="231">
        <v>357282.82374473242</v>
      </c>
      <c r="E223" s="231">
        <v>755921.48252055037</v>
      </c>
      <c r="F223" s="231">
        <v>46689.471400000002</v>
      </c>
      <c r="G223" s="231">
        <v>0</v>
      </c>
    </row>
    <row r="224" spans="1:7">
      <c r="A224" s="215">
        <v>36905</v>
      </c>
      <c r="B224" t="s">
        <v>234</v>
      </c>
      <c r="C224" s="231">
        <v>380028.98516640789</v>
      </c>
      <c r="D224" s="231">
        <v>194326.39486640794</v>
      </c>
      <c r="E224" s="231">
        <v>590546.68814564694</v>
      </c>
      <c r="F224" s="231">
        <v>39648.365900000004</v>
      </c>
      <c r="G224" s="231">
        <v>0</v>
      </c>
    </row>
    <row r="225" spans="1:7">
      <c r="A225" s="215">
        <v>37000</v>
      </c>
      <c r="B225" t="s">
        <v>429</v>
      </c>
      <c r="C225" s="231">
        <v>3635134.6284056427</v>
      </c>
      <c r="D225" s="231">
        <v>2212336.7764056427</v>
      </c>
      <c r="E225" s="231">
        <v>5708746.3513602698</v>
      </c>
      <c r="F225" s="231">
        <v>380021.35599999997</v>
      </c>
      <c r="G225" s="231">
        <v>0</v>
      </c>
    </row>
    <row r="226" spans="1:7">
      <c r="A226" s="215">
        <v>37001</v>
      </c>
      <c r="B226" t="s">
        <v>430</v>
      </c>
      <c r="C226" s="231">
        <v>577721.33611186082</v>
      </c>
      <c r="D226" s="231">
        <v>319558.1716118608</v>
      </c>
      <c r="E226" s="231">
        <v>697522.38165367616</v>
      </c>
      <c r="F226" s="231">
        <v>45320.9185</v>
      </c>
      <c r="G226" s="231">
        <v>0</v>
      </c>
    </row>
    <row r="227" spans="1:7">
      <c r="A227" s="215">
        <v>37005</v>
      </c>
      <c r="B227" t="s">
        <v>213</v>
      </c>
      <c r="C227" s="231">
        <v>1523545.6754988558</v>
      </c>
      <c r="D227" s="231">
        <v>856728.74429885566</v>
      </c>
      <c r="E227" s="231">
        <v>1904629.9494614115</v>
      </c>
      <c r="F227" s="231">
        <v>120908.67359999999</v>
      </c>
      <c r="G227" s="231">
        <v>0</v>
      </c>
    </row>
    <row r="228" spans="1:7">
      <c r="A228" s="215">
        <v>37100</v>
      </c>
      <c r="B228" t="s">
        <v>431</v>
      </c>
      <c r="C228" s="231">
        <v>8624288.2499903068</v>
      </c>
      <c r="D228" s="231">
        <v>5243162.2697903058</v>
      </c>
      <c r="E228" s="231">
        <v>11912489.511062466</v>
      </c>
      <c r="F228" s="231">
        <v>758971.67059999995</v>
      </c>
      <c r="G228" s="231">
        <v>0</v>
      </c>
    </row>
    <row r="229" spans="1:7">
      <c r="A229" s="215">
        <v>37200</v>
      </c>
      <c r="B229" t="s">
        <v>432</v>
      </c>
      <c r="C229" s="231">
        <v>1620073.889713984</v>
      </c>
      <c r="D229" s="231">
        <v>1078337.9153139838</v>
      </c>
      <c r="E229" s="231">
        <v>2191333.6787144444</v>
      </c>
      <c r="F229" s="231">
        <v>141853.48320000002</v>
      </c>
      <c r="G229" s="231">
        <v>0</v>
      </c>
    </row>
    <row r="230" spans="1:7">
      <c r="A230" s="215">
        <v>37300</v>
      </c>
      <c r="B230" t="s">
        <v>433</v>
      </c>
      <c r="C230" s="231">
        <v>3873506.6075282777</v>
      </c>
      <c r="D230" s="231">
        <v>2342573.8702282789</v>
      </c>
      <c r="E230" s="231">
        <v>5394791.4290528037</v>
      </c>
      <c r="F230" s="231">
        <v>367109.35690000001</v>
      </c>
      <c r="G230" s="231">
        <v>0</v>
      </c>
    </row>
    <row r="231" spans="1:7">
      <c r="A231" s="215">
        <v>37301</v>
      </c>
      <c r="B231" t="s">
        <v>434</v>
      </c>
      <c r="C231" s="231">
        <v>320962.21962625568</v>
      </c>
      <c r="D231" s="231">
        <v>160949.46492625572</v>
      </c>
      <c r="E231" s="231">
        <v>513048.19551136578</v>
      </c>
      <c r="F231" s="231">
        <v>36712.919099999999</v>
      </c>
      <c r="G231" s="231">
        <v>0</v>
      </c>
    </row>
    <row r="232" spans="1:7">
      <c r="A232" s="215">
        <v>37305</v>
      </c>
      <c r="B232" t="s">
        <v>235</v>
      </c>
      <c r="C232" s="231">
        <v>1058557.511502438</v>
      </c>
      <c r="D232" s="231">
        <v>626624.3839024381</v>
      </c>
      <c r="E232" s="231">
        <v>1386702.870726451</v>
      </c>
      <c r="F232" s="231">
        <v>89412.122799999997</v>
      </c>
      <c r="G232" s="231">
        <v>0</v>
      </c>
    </row>
    <row r="233" spans="1:7">
      <c r="A233" s="215">
        <v>37400</v>
      </c>
      <c r="B233" t="s">
        <v>435</v>
      </c>
      <c r="C233" s="231">
        <v>19254238.459588543</v>
      </c>
      <c r="D233" s="231">
        <v>11258997.92958854</v>
      </c>
      <c r="E233" s="231">
        <v>27627775.561925422</v>
      </c>
      <c r="F233" s="231">
        <v>1882256.09</v>
      </c>
      <c r="G233" s="231">
        <v>0</v>
      </c>
    </row>
    <row r="234" spans="1:7">
      <c r="A234" s="215">
        <v>37405</v>
      </c>
      <c r="B234" t="s">
        <v>236</v>
      </c>
      <c r="C234" s="231">
        <v>3541432.8678095597</v>
      </c>
      <c r="D234" s="231">
        <v>1905270.9460095593</v>
      </c>
      <c r="E234" s="231">
        <v>5193207.2623454304</v>
      </c>
      <c r="F234" s="231">
        <v>344994.33540000004</v>
      </c>
      <c r="G234" s="231">
        <v>0</v>
      </c>
    </row>
    <row r="235" spans="1:7">
      <c r="A235" s="215">
        <v>37500</v>
      </c>
      <c r="B235" t="s">
        <v>436</v>
      </c>
      <c r="C235" s="231">
        <v>2213575.2602912341</v>
      </c>
      <c r="D235" s="231">
        <v>1337316.2639912344</v>
      </c>
      <c r="E235" s="231">
        <v>3030073.789802582</v>
      </c>
      <c r="F235" s="231">
        <v>197924.48389999999</v>
      </c>
      <c r="G235" s="231">
        <v>0</v>
      </c>
    </row>
    <row r="236" spans="1:7">
      <c r="A236" s="215">
        <v>37600</v>
      </c>
      <c r="B236" t="s">
        <v>437</v>
      </c>
      <c r="C236" s="231">
        <v>11204071.46287765</v>
      </c>
      <c r="D236" s="231">
        <v>6566565.71167765</v>
      </c>
      <c r="E236" s="231">
        <v>16758094.106943866</v>
      </c>
      <c r="F236" s="231">
        <v>1124514.1336000001</v>
      </c>
      <c r="G236" s="231">
        <v>0</v>
      </c>
    </row>
    <row r="237" spans="1:7">
      <c r="A237" s="215">
        <v>37601</v>
      </c>
      <c r="B237" t="s">
        <v>438</v>
      </c>
      <c r="C237" s="231">
        <v>1147094.1201180588</v>
      </c>
      <c r="D237" s="231">
        <v>602026.04301805841</v>
      </c>
      <c r="E237" s="231">
        <v>1651488.0436895397</v>
      </c>
      <c r="F237" s="231">
        <v>115890.64630000001</v>
      </c>
      <c r="G237" s="231">
        <v>0</v>
      </c>
    </row>
    <row r="238" spans="1:7">
      <c r="A238" s="215">
        <v>37605</v>
      </c>
      <c r="B238" t="s">
        <v>237</v>
      </c>
      <c r="C238" s="231">
        <v>1324961.9118350537</v>
      </c>
      <c r="D238" s="231">
        <v>729988.42573505372</v>
      </c>
      <c r="E238" s="231">
        <v>2014898.6446171924</v>
      </c>
      <c r="F238" s="231">
        <v>135129.72330000001</v>
      </c>
      <c r="G238" s="231">
        <v>0</v>
      </c>
    </row>
    <row r="239" spans="1:7">
      <c r="A239" s="215">
        <v>37610</v>
      </c>
      <c r="B239" t="s">
        <v>439</v>
      </c>
      <c r="C239" s="231">
        <v>3095124.2188106929</v>
      </c>
      <c r="D239" s="231">
        <v>1793709.8642106929</v>
      </c>
      <c r="E239" s="231">
        <v>5059506.8869179087</v>
      </c>
      <c r="F239" s="231">
        <v>345470.35379999998</v>
      </c>
      <c r="G239" s="231">
        <v>0</v>
      </c>
    </row>
    <row r="240" spans="1:7">
      <c r="A240" s="215">
        <v>37700</v>
      </c>
      <c r="B240" t="s">
        <v>440</v>
      </c>
      <c r="C240" s="231">
        <v>5833463.0216920376</v>
      </c>
      <c r="D240" s="231">
        <v>3575917.0571920373</v>
      </c>
      <c r="E240" s="231">
        <v>8098396.8476036768</v>
      </c>
      <c r="F240" s="231">
        <v>521339.31850000005</v>
      </c>
      <c r="G240" s="231">
        <v>0</v>
      </c>
    </row>
    <row r="241" spans="1:7">
      <c r="A241" s="215">
        <v>37705</v>
      </c>
      <c r="B241" t="s">
        <v>238</v>
      </c>
      <c r="C241" s="231">
        <v>1590820.6351539355</v>
      </c>
      <c r="D241" s="231">
        <v>920241.79925393546</v>
      </c>
      <c r="E241" s="231">
        <v>2323665.8041381533</v>
      </c>
      <c r="F241" s="231">
        <v>147704.54270000002</v>
      </c>
      <c r="G241" s="231">
        <v>0</v>
      </c>
    </row>
    <row r="242" spans="1:7">
      <c r="A242" s="215">
        <v>37800</v>
      </c>
      <c r="B242" t="s">
        <v>441</v>
      </c>
      <c r="C242" s="231">
        <v>18851665.42241215</v>
      </c>
      <c r="D242" s="231">
        <v>11854137.63931215</v>
      </c>
      <c r="E242" s="231">
        <v>25122576.513120729</v>
      </c>
      <c r="F242" s="231">
        <v>1642719.6642999998</v>
      </c>
      <c r="G242" s="231">
        <v>0</v>
      </c>
    </row>
    <row r="243" spans="1:7">
      <c r="A243" s="215">
        <v>37801</v>
      </c>
      <c r="B243" t="s">
        <v>442</v>
      </c>
      <c r="C243" s="231">
        <v>99518.850648959764</v>
      </c>
      <c r="D243" s="231">
        <v>55791.780748959762</v>
      </c>
      <c r="E243" s="231">
        <v>185491.45067711774</v>
      </c>
      <c r="F243" s="231">
        <v>13229.3447</v>
      </c>
      <c r="G243" s="231">
        <v>0</v>
      </c>
    </row>
    <row r="244" spans="1:7">
      <c r="A244" s="215">
        <v>37805</v>
      </c>
      <c r="B244" t="s">
        <v>240</v>
      </c>
      <c r="C244" s="231">
        <v>1447668.8445927319</v>
      </c>
      <c r="D244" s="231">
        <v>831214.30549273186</v>
      </c>
      <c r="E244" s="231">
        <v>1916695.7061540342</v>
      </c>
      <c r="F244" s="231">
        <v>125014.33229999999</v>
      </c>
      <c r="G244" s="231">
        <v>0</v>
      </c>
    </row>
    <row r="245" spans="1:7">
      <c r="A245" s="215">
        <v>37900</v>
      </c>
      <c r="B245" t="s">
        <v>443</v>
      </c>
      <c r="C245" s="231">
        <v>8694135.9626276605</v>
      </c>
      <c r="D245" s="231">
        <v>4739021.6387276594</v>
      </c>
      <c r="E245" s="231">
        <v>12021822.845877534</v>
      </c>
      <c r="F245" s="231">
        <v>803023.20669999998</v>
      </c>
      <c r="G245" s="231">
        <v>0</v>
      </c>
    </row>
    <row r="246" spans="1:7">
      <c r="A246" s="215">
        <v>37901</v>
      </c>
      <c r="B246" t="s">
        <v>444</v>
      </c>
      <c r="C246" s="231">
        <v>410800.4543412932</v>
      </c>
      <c r="D246" s="231">
        <v>251608.17684129317</v>
      </c>
      <c r="E246" s="231">
        <v>515348.04240786872</v>
      </c>
      <c r="F246" s="231">
        <v>31238.7075</v>
      </c>
      <c r="G246" s="231">
        <v>0</v>
      </c>
    </row>
    <row r="247" spans="1:7">
      <c r="A247" s="215">
        <v>37905</v>
      </c>
      <c r="B247" t="s">
        <v>241</v>
      </c>
      <c r="C247" s="231">
        <v>975486.9675625863</v>
      </c>
      <c r="D247" s="231">
        <v>510307.62336258637</v>
      </c>
      <c r="E247" s="231">
        <v>1316767.2602183544</v>
      </c>
      <c r="F247" s="231">
        <v>86992.362599999993</v>
      </c>
      <c r="G247" s="231">
        <v>0</v>
      </c>
    </row>
    <row r="248" spans="1:7">
      <c r="A248" s="215">
        <v>38000</v>
      </c>
      <c r="B248" t="s">
        <v>445</v>
      </c>
      <c r="C248" s="231">
        <v>11654429.084523579</v>
      </c>
      <c r="D248" s="231">
        <v>6220627.485923579</v>
      </c>
      <c r="E248" s="231">
        <v>18332906.636243097</v>
      </c>
      <c r="F248" s="231">
        <v>1268152.6857999999</v>
      </c>
      <c r="G248" s="231">
        <v>0</v>
      </c>
    </row>
    <row r="249" spans="1:7">
      <c r="A249" s="215">
        <v>38005</v>
      </c>
      <c r="B249" t="s">
        <v>242</v>
      </c>
      <c r="C249" s="231">
        <v>3141260.0326118488</v>
      </c>
      <c r="D249" s="231">
        <v>1762967.7258118486</v>
      </c>
      <c r="E249" s="231">
        <v>4341915.3586723441</v>
      </c>
      <c r="F249" s="231">
        <v>286483.74040000001</v>
      </c>
      <c r="G249" s="231">
        <v>0</v>
      </c>
    </row>
    <row r="250" spans="1:7">
      <c r="A250" s="215">
        <v>38100</v>
      </c>
      <c r="B250" t="s">
        <v>446</v>
      </c>
      <c r="C250" s="231">
        <v>7394311.2667428255</v>
      </c>
      <c r="D250" s="231">
        <v>4705853.1038428247</v>
      </c>
      <c r="E250" s="231">
        <v>10371014.00833386</v>
      </c>
      <c r="F250" s="231">
        <v>661606.07369999995</v>
      </c>
      <c r="G250" s="231">
        <v>0</v>
      </c>
    </row>
    <row r="251" spans="1:7">
      <c r="A251" s="215">
        <v>38105</v>
      </c>
      <c r="B251" t="s">
        <v>224</v>
      </c>
      <c r="C251" s="231">
        <v>1291452.217333596</v>
      </c>
      <c r="D251" s="231">
        <v>748165.2598335956</v>
      </c>
      <c r="E251" s="231">
        <v>1847119.9536421688</v>
      </c>
      <c r="F251" s="231">
        <v>118508.74750000001</v>
      </c>
      <c r="G251" s="231">
        <v>0</v>
      </c>
    </row>
    <row r="252" spans="1:7">
      <c r="A252" s="215">
        <v>38200</v>
      </c>
      <c r="B252" t="s">
        <v>447</v>
      </c>
      <c r="C252" s="231">
        <v>6185894.9218685348</v>
      </c>
      <c r="D252" s="231">
        <v>3814646.5622685337</v>
      </c>
      <c r="E252" s="231">
        <v>8569168.0124742705</v>
      </c>
      <c r="F252" s="231">
        <v>576537.61880000005</v>
      </c>
      <c r="G252" s="231">
        <v>0</v>
      </c>
    </row>
    <row r="253" spans="1:7">
      <c r="A253" s="215">
        <v>38205</v>
      </c>
      <c r="B253" t="s">
        <v>243</v>
      </c>
      <c r="C253" s="231">
        <v>981406.95562540786</v>
      </c>
      <c r="D253" s="231">
        <v>578838.29822540807</v>
      </c>
      <c r="E253" s="231">
        <v>1417905.6161074615</v>
      </c>
      <c r="F253" s="231">
        <v>90086.482199999999</v>
      </c>
      <c r="G253" s="231">
        <v>0</v>
      </c>
    </row>
    <row r="254" spans="1:7">
      <c r="A254" s="215">
        <v>38210</v>
      </c>
      <c r="B254" t="s">
        <v>448</v>
      </c>
      <c r="C254" s="231">
        <v>2464094.1338402443</v>
      </c>
      <c r="D254" s="231">
        <v>1461189.229140244</v>
      </c>
      <c r="E254" s="231">
        <v>3301682.8141532405</v>
      </c>
      <c r="F254" s="231">
        <v>225136.86910000001</v>
      </c>
      <c r="G254" s="231">
        <v>0</v>
      </c>
    </row>
    <row r="255" spans="1:7">
      <c r="A255" s="215">
        <v>38300</v>
      </c>
      <c r="B255" t="s">
        <v>449</v>
      </c>
      <c r="C255" s="231">
        <v>4437925.6534813093</v>
      </c>
      <c r="D255" s="231">
        <v>2673559.0454813093</v>
      </c>
      <c r="E255" s="231">
        <v>6378051.3525415817</v>
      </c>
      <c r="F255" s="231">
        <v>449044.02399999998</v>
      </c>
      <c r="G255" s="231">
        <v>0</v>
      </c>
    </row>
    <row r="256" spans="1:7">
      <c r="A256" s="215">
        <v>38400</v>
      </c>
      <c r="B256" t="s">
        <v>450</v>
      </c>
      <c r="C256" s="231">
        <v>6131306.5769655099</v>
      </c>
      <c r="D256" s="231">
        <v>3725706.9493655106</v>
      </c>
      <c r="E256" s="231">
        <v>8966752.8248417024</v>
      </c>
      <c r="F256" s="231">
        <v>585264.62280000001</v>
      </c>
      <c r="G256" s="231">
        <v>0</v>
      </c>
    </row>
    <row r="257" spans="1:7">
      <c r="A257" s="215">
        <v>38402</v>
      </c>
      <c r="B257" t="s">
        <v>451</v>
      </c>
      <c r="C257" s="231">
        <v>365822.38433692808</v>
      </c>
      <c r="D257" s="231">
        <v>205478.92473692808</v>
      </c>
      <c r="E257" s="231">
        <v>612730.97600452101</v>
      </c>
      <c r="F257" s="231">
        <v>41016.918799999999</v>
      </c>
      <c r="G257" s="231">
        <v>0</v>
      </c>
    </row>
    <row r="258" spans="1:7">
      <c r="A258" s="215">
        <v>38405</v>
      </c>
      <c r="B258" t="s">
        <v>248</v>
      </c>
      <c r="C258" s="231">
        <v>1459261.846933431</v>
      </c>
      <c r="D258" s="231">
        <v>827583.54043343116</v>
      </c>
      <c r="E258" s="231">
        <v>2141895.5077564712</v>
      </c>
      <c r="F258" s="231">
        <v>141714.64449999999</v>
      </c>
      <c r="G258" s="231">
        <v>0</v>
      </c>
    </row>
    <row r="259" spans="1:7">
      <c r="A259" s="215">
        <v>38500</v>
      </c>
      <c r="B259" t="s">
        <v>452</v>
      </c>
      <c r="C259" s="231">
        <v>4640040.5137465661</v>
      </c>
      <c r="D259" s="231">
        <v>2732295.7890465669</v>
      </c>
      <c r="E259" s="231">
        <v>6397643.2498456929</v>
      </c>
      <c r="F259" s="231">
        <v>435378.32910000003</v>
      </c>
      <c r="G259" s="231">
        <v>0</v>
      </c>
    </row>
    <row r="260" spans="1:7">
      <c r="A260" s="215">
        <v>38600</v>
      </c>
      <c r="B260" t="s">
        <v>453</v>
      </c>
      <c r="C260" s="231">
        <v>5877043.2181316335</v>
      </c>
      <c r="D260" s="231">
        <v>3559437.722531633</v>
      </c>
      <c r="E260" s="231">
        <v>8143286.0021226304</v>
      </c>
      <c r="F260" s="231">
        <v>554323.42680000002</v>
      </c>
      <c r="G260" s="231">
        <v>0</v>
      </c>
    </row>
    <row r="261" spans="1:7">
      <c r="A261" s="215">
        <v>38601</v>
      </c>
      <c r="B261" t="s">
        <v>526</v>
      </c>
      <c r="C261" s="231">
        <v>-89737.743162750005</v>
      </c>
      <c r="D261" s="231">
        <v>-84424.743162750005</v>
      </c>
      <c r="E261" s="231">
        <v>0</v>
      </c>
      <c r="F261" s="231">
        <v>0</v>
      </c>
      <c r="G261" s="231">
        <v>0</v>
      </c>
    </row>
    <row r="262" spans="1:7">
      <c r="A262" s="215">
        <v>38602</v>
      </c>
      <c r="B262" t="s">
        <v>454</v>
      </c>
      <c r="C262" s="231">
        <v>367439.21994909318</v>
      </c>
      <c r="D262" s="231">
        <v>167177.22314909316</v>
      </c>
      <c r="E262" s="231">
        <v>586806.81741736818</v>
      </c>
      <c r="F262" s="231">
        <v>42524.310400000002</v>
      </c>
      <c r="G262" s="231">
        <v>0</v>
      </c>
    </row>
    <row r="263" spans="1:7">
      <c r="A263" s="215">
        <v>38605</v>
      </c>
      <c r="B263" t="s">
        <v>249</v>
      </c>
      <c r="C263" s="231">
        <v>1494547.6183081276</v>
      </c>
      <c r="D263" s="231">
        <v>755623.64760812768</v>
      </c>
      <c r="E263" s="231">
        <v>2035902.8614405261</v>
      </c>
      <c r="F263" s="231">
        <v>141436.96710000001</v>
      </c>
      <c r="G263" s="231">
        <v>0</v>
      </c>
    </row>
    <row r="264" spans="1:7">
      <c r="A264" s="215">
        <v>38610</v>
      </c>
      <c r="B264" t="s">
        <v>455</v>
      </c>
      <c r="C264" s="231">
        <v>1650054.5756008108</v>
      </c>
      <c r="D264" s="231">
        <v>1006480.3291008106</v>
      </c>
      <c r="E264" s="231">
        <v>2272218.6589511214</v>
      </c>
      <c r="F264" s="231">
        <v>145681.4645</v>
      </c>
      <c r="G264" s="231">
        <v>0</v>
      </c>
    </row>
    <row r="265" spans="1:7">
      <c r="A265" s="215">
        <v>38620</v>
      </c>
      <c r="B265" t="s">
        <v>456</v>
      </c>
      <c r="C265" s="231">
        <v>1313795.7091225921</v>
      </c>
      <c r="D265" s="231">
        <v>825999.41462259204</v>
      </c>
      <c r="E265" s="231">
        <v>1579210.0822601016</v>
      </c>
      <c r="F265" s="231">
        <v>102839.8085</v>
      </c>
      <c r="G265" s="231">
        <v>0</v>
      </c>
    </row>
    <row r="266" spans="1:7">
      <c r="A266" s="215">
        <v>38700</v>
      </c>
      <c r="B266" t="s">
        <v>457</v>
      </c>
      <c r="C266" s="231">
        <v>1990418.9708374627</v>
      </c>
      <c r="D266" s="231">
        <v>1210164.439837463</v>
      </c>
      <c r="E266" s="231">
        <v>2822000.786815498</v>
      </c>
      <c r="F266" s="231">
        <v>183068.74299999999</v>
      </c>
      <c r="G266" s="231">
        <v>0</v>
      </c>
    </row>
    <row r="267" spans="1:7">
      <c r="A267" s="215">
        <v>38701</v>
      </c>
      <c r="B267" t="s">
        <v>458</v>
      </c>
      <c r="C267" s="231">
        <v>170701.73656774976</v>
      </c>
      <c r="D267" s="231">
        <v>91061.323467749782</v>
      </c>
      <c r="E267" s="231">
        <v>232811.54171289975</v>
      </c>
      <c r="F267" s="231">
        <v>14340.0543</v>
      </c>
      <c r="G267" s="231">
        <v>0</v>
      </c>
    </row>
    <row r="268" spans="1:7">
      <c r="A268" s="215">
        <v>38800</v>
      </c>
      <c r="B268" t="s">
        <v>459</v>
      </c>
      <c r="C268" s="231">
        <v>3360073.8704100805</v>
      </c>
      <c r="D268" s="231">
        <v>1973693.4797100802</v>
      </c>
      <c r="E268" s="231">
        <v>4574214.8485944765</v>
      </c>
      <c r="F268" s="231">
        <v>312010.22710000002</v>
      </c>
      <c r="G268" s="231">
        <v>0</v>
      </c>
    </row>
    <row r="269" spans="1:7">
      <c r="A269" s="215">
        <v>38801</v>
      </c>
      <c r="B269" t="s">
        <v>460</v>
      </c>
      <c r="C269" s="231">
        <v>261971.00728560268</v>
      </c>
      <c r="D269" s="231">
        <v>150203.55798560265</v>
      </c>
      <c r="E269" s="231">
        <v>358895.38219342416</v>
      </c>
      <c r="F269" s="231">
        <v>29136.2929</v>
      </c>
      <c r="G269" s="231">
        <v>0</v>
      </c>
    </row>
    <row r="270" spans="1:7">
      <c r="A270" s="215">
        <v>38900</v>
      </c>
      <c r="B270" t="s">
        <v>461</v>
      </c>
      <c r="C270" s="231">
        <v>651168.71480113023</v>
      </c>
      <c r="D270" s="231">
        <v>336647.38010113011</v>
      </c>
      <c r="E270" s="231">
        <v>911762.29896991584</v>
      </c>
      <c r="F270" s="231">
        <v>64480.659099999997</v>
      </c>
      <c r="G270" s="231">
        <v>0</v>
      </c>
    </row>
    <row r="271" spans="1:7">
      <c r="A271" s="215">
        <v>39000</v>
      </c>
      <c r="B271" t="s">
        <v>462</v>
      </c>
      <c r="C271" s="231">
        <v>29506991.300885413</v>
      </c>
      <c r="D271" s="231">
        <v>18307324.003585409</v>
      </c>
      <c r="E271" s="231">
        <v>45087200.459946901</v>
      </c>
      <c r="F271" s="231">
        <v>3040746.0368999997</v>
      </c>
      <c r="G271" s="231">
        <v>0</v>
      </c>
    </row>
    <row r="272" spans="1:7">
      <c r="A272" s="215">
        <v>39100</v>
      </c>
      <c r="B272" t="s">
        <v>463</v>
      </c>
      <c r="C272" s="231">
        <v>3790191.9654546045</v>
      </c>
      <c r="D272" s="231">
        <v>2464232.4402546044</v>
      </c>
      <c r="E272" s="231">
        <v>5689782.8082694774</v>
      </c>
      <c r="F272" s="231">
        <v>359314.55560000002</v>
      </c>
      <c r="G272" s="231">
        <v>0</v>
      </c>
    </row>
    <row r="273" spans="1:7">
      <c r="A273" s="215">
        <v>39101</v>
      </c>
      <c r="B273" t="s">
        <v>464</v>
      </c>
      <c r="C273" s="231">
        <v>602521.69243120542</v>
      </c>
      <c r="D273" s="231">
        <v>317355.67053120537</v>
      </c>
      <c r="E273" s="231">
        <v>849018.81597613788</v>
      </c>
      <c r="F273" s="231">
        <v>56071.000699999997</v>
      </c>
      <c r="G273" s="231">
        <v>0</v>
      </c>
    </row>
    <row r="274" spans="1:7">
      <c r="A274" s="215">
        <v>39105</v>
      </c>
      <c r="B274" t="s">
        <v>251</v>
      </c>
      <c r="C274" s="231">
        <v>1334508.9372841059</v>
      </c>
      <c r="D274" s="231">
        <v>700576.95098410582</v>
      </c>
      <c r="E274" s="231">
        <v>2069534.3345348572</v>
      </c>
      <c r="F274" s="231">
        <v>132471.95389999999</v>
      </c>
      <c r="G274" s="231">
        <v>0</v>
      </c>
    </row>
    <row r="275" spans="1:7">
      <c r="A275" s="215">
        <v>39200</v>
      </c>
      <c r="B275" t="s">
        <v>554</v>
      </c>
      <c r="C275" s="231">
        <v>135824452.72105986</v>
      </c>
      <c r="D275" s="231">
        <v>75535647.445459902</v>
      </c>
      <c r="E275" s="231">
        <v>201625922.30351266</v>
      </c>
      <c r="F275" s="231">
        <v>13394919.766799998</v>
      </c>
      <c r="G275" s="231">
        <v>0</v>
      </c>
    </row>
    <row r="276" spans="1:7">
      <c r="A276" s="215">
        <v>39201</v>
      </c>
      <c r="B276" t="s">
        <v>466</v>
      </c>
      <c r="C276" s="231">
        <v>786994.18199043081</v>
      </c>
      <c r="D276" s="231">
        <v>510806.84689043078</v>
      </c>
      <c r="E276" s="231">
        <v>921367.23965324485</v>
      </c>
      <c r="F276" s="231">
        <v>59165.120299999995</v>
      </c>
      <c r="G276" s="231">
        <v>0</v>
      </c>
    </row>
    <row r="277" spans="1:7">
      <c r="A277" s="215">
        <v>39204</v>
      </c>
      <c r="B277" t="s">
        <v>467</v>
      </c>
      <c r="C277" s="231">
        <v>400425.03588789393</v>
      </c>
      <c r="D277" s="231">
        <v>307145.77888789395</v>
      </c>
      <c r="E277" s="231">
        <v>741438.01754563255</v>
      </c>
      <c r="F277" s="231">
        <v>55733.821000000004</v>
      </c>
      <c r="G277" s="231">
        <v>0</v>
      </c>
    </row>
    <row r="278" spans="1:7">
      <c r="A278" s="215">
        <v>39205</v>
      </c>
      <c r="B278" t="s">
        <v>252</v>
      </c>
      <c r="C278" s="231">
        <v>13118139.242599996</v>
      </c>
      <c r="D278" s="231">
        <v>7130867.0206999965</v>
      </c>
      <c r="E278" s="231">
        <v>18152925.310318135</v>
      </c>
      <c r="F278" s="231">
        <v>1166780.6007000001</v>
      </c>
      <c r="G278" s="231">
        <v>0</v>
      </c>
    </row>
    <row r="279" spans="1:7">
      <c r="A279" s="215">
        <v>39208</v>
      </c>
      <c r="B279" t="s">
        <v>555</v>
      </c>
      <c r="C279" s="231">
        <v>745712.97503690026</v>
      </c>
      <c r="D279" s="231">
        <v>445365.52973690029</v>
      </c>
      <c r="E279" s="231">
        <v>1214809.9976401343</v>
      </c>
      <c r="F279" s="231">
        <v>82291.680900000007</v>
      </c>
      <c r="G279" s="231">
        <v>0</v>
      </c>
    </row>
    <row r="280" spans="1:7">
      <c r="A280" s="215">
        <v>39209</v>
      </c>
      <c r="B280" t="s">
        <v>469</v>
      </c>
      <c r="C280" s="231">
        <v>326656.25212674995</v>
      </c>
      <c r="D280" s="231">
        <v>312569.25212674995</v>
      </c>
      <c r="E280" s="231">
        <v>0</v>
      </c>
      <c r="F280" s="231">
        <v>0</v>
      </c>
      <c r="G280" s="231">
        <v>0</v>
      </c>
    </row>
    <row r="281" spans="1:7">
      <c r="A281" s="215">
        <v>39220</v>
      </c>
      <c r="B281" t="s">
        <v>470</v>
      </c>
      <c r="C281" s="231">
        <v>-163540.88527141447</v>
      </c>
      <c r="D281" s="231">
        <v>-154830.88527141447</v>
      </c>
      <c r="E281" s="231">
        <v>-179022.79344399995</v>
      </c>
      <c r="F281" s="231">
        <v>0</v>
      </c>
      <c r="G281" s="231">
        <v>0</v>
      </c>
    </row>
    <row r="282" spans="1:7">
      <c r="A282" s="215">
        <v>39300</v>
      </c>
      <c r="B282" t="s">
        <v>471</v>
      </c>
      <c r="C282" s="231">
        <v>1934411.9170602667</v>
      </c>
      <c r="D282" s="231">
        <v>1256555.3166602666</v>
      </c>
      <c r="E282" s="231">
        <v>2584185.2688613292</v>
      </c>
      <c r="F282" s="231">
        <v>153357.26120000001</v>
      </c>
      <c r="G282" s="231">
        <v>0</v>
      </c>
    </row>
    <row r="283" spans="1:7">
      <c r="A283" s="215">
        <v>39301</v>
      </c>
      <c r="B283" t="s">
        <v>472</v>
      </c>
      <c r="C283" s="231">
        <v>207126.96776464101</v>
      </c>
      <c r="D283" s="231">
        <v>122421.85676464101</v>
      </c>
      <c r="E283" s="231">
        <v>222057.05982954751</v>
      </c>
      <c r="F283" s="231">
        <v>12495.483</v>
      </c>
      <c r="G283" s="231">
        <v>0</v>
      </c>
    </row>
    <row r="284" spans="1:7">
      <c r="A284" s="215">
        <v>39400</v>
      </c>
      <c r="B284" t="s">
        <v>473</v>
      </c>
      <c r="C284" s="231">
        <v>949696.76949465997</v>
      </c>
      <c r="D284" s="231">
        <v>588691.98879465996</v>
      </c>
      <c r="E284" s="231">
        <v>1415199.1329407508</v>
      </c>
      <c r="F284" s="231">
        <v>87884.897100000002</v>
      </c>
      <c r="G284" s="231">
        <v>0</v>
      </c>
    </row>
    <row r="285" spans="1:7">
      <c r="A285" s="215">
        <v>39401</v>
      </c>
      <c r="B285" t="s">
        <v>474</v>
      </c>
      <c r="C285" s="231">
        <v>918043.31450612354</v>
      </c>
      <c r="D285" s="231">
        <v>444097.5609061236</v>
      </c>
      <c r="E285" s="231">
        <v>1464692.2264173361</v>
      </c>
      <c r="F285" s="231">
        <v>100915.9008</v>
      </c>
      <c r="G285" s="231">
        <v>0</v>
      </c>
    </row>
    <row r="286" spans="1:7">
      <c r="A286" s="215">
        <v>39500</v>
      </c>
      <c r="B286" t="s">
        <v>475</v>
      </c>
      <c r="C286" s="231">
        <v>4683881.3309015017</v>
      </c>
      <c r="D286" s="231">
        <v>2706932.0057015009</v>
      </c>
      <c r="E286" s="231">
        <v>6207429.3216864783</v>
      </c>
      <c r="F286" s="231">
        <v>438650.95560000004</v>
      </c>
      <c r="G286" s="231">
        <v>0</v>
      </c>
    </row>
    <row r="287" spans="1:7">
      <c r="A287" s="215">
        <v>39501</v>
      </c>
      <c r="B287" t="s">
        <v>476</v>
      </c>
      <c r="C287" s="231">
        <v>102424.97273795021</v>
      </c>
      <c r="D287" s="231">
        <v>60356.969837950215</v>
      </c>
      <c r="E287" s="231">
        <v>152400.13981926025</v>
      </c>
      <c r="F287" s="231">
        <v>11047.593699999999</v>
      </c>
      <c r="G287" s="231">
        <v>0</v>
      </c>
    </row>
    <row r="288" spans="1:7">
      <c r="A288" s="215">
        <v>39600</v>
      </c>
      <c r="B288" t="s">
        <v>477</v>
      </c>
      <c r="C288" s="231">
        <v>11422984.980749948</v>
      </c>
      <c r="D288" s="231">
        <v>7292865.2590499483</v>
      </c>
      <c r="E288" s="231">
        <v>17715221.891900476</v>
      </c>
      <c r="F288" s="231">
        <v>1169438.3700999999</v>
      </c>
      <c r="G288" s="231">
        <v>0</v>
      </c>
    </row>
    <row r="289" spans="1:7">
      <c r="A289" s="215">
        <v>39605</v>
      </c>
      <c r="B289" t="s">
        <v>253</v>
      </c>
      <c r="C289" s="231">
        <v>1627892.5039810739</v>
      </c>
      <c r="D289" s="231">
        <v>784586.55048107379</v>
      </c>
      <c r="E289" s="231">
        <v>2450296.3685488785</v>
      </c>
      <c r="F289" s="231">
        <v>171664.1355</v>
      </c>
      <c r="G289" s="231">
        <v>0</v>
      </c>
    </row>
    <row r="290" spans="1:7">
      <c r="A290" s="215">
        <v>39700</v>
      </c>
      <c r="B290" t="s">
        <v>478</v>
      </c>
      <c r="C290" s="231">
        <v>6340340.180266425</v>
      </c>
      <c r="D290" s="231">
        <v>3605493.490866425</v>
      </c>
      <c r="E290" s="231">
        <v>9576685.4174442831</v>
      </c>
      <c r="F290" s="231">
        <v>656548.37820000004</v>
      </c>
      <c r="G290" s="231">
        <v>0</v>
      </c>
    </row>
    <row r="291" spans="1:7">
      <c r="A291" s="215">
        <v>39703</v>
      </c>
      <c r="B291" t="s">
        <v>479</v>
      </c>
      <c r="C291" s="231">
        <v>451895.52405404771</v>
      </c>
      <c r="D291" s="231">
        <v>227184.56135404768</v>
      </c>
      <c r="E291" s="231">
        <v>698630.96470144566</v>
      </c>
      <c r="F291" s="231">
        <v>49406.7431</v>
      </c>
      <c r="G291" s="231">
        <v>0</v>
      </c>
    </row>
    <row r="292" spans="1:7">
      <c r="A292" s="215">
        <v>39705</v>
      </c>
      <c r="B292" t="s">
        <v>255</v>
      </c>
      <c r="C292" s="231">
        <v>1874937.9642434423</v>
      </c>
      <c r="D292" s="231">
        <v>1072218.4587434423</v>
      </c>
      <c r="E292" s="231">
        <v>2620585.1978333993</v>
      </c>
      <c r="F292" s="231">
        <v>174837.59150000001</v>
      </c>
      <c r="G292" s="231">
        <v>0</v>
      </c>
    </row>
    <row r="293" spans="1:7">
      <c r="A293" s="215">
        <v>39800</v>
      </c>
      <c r="B293" t="s">
        <v>480</v>
      </c>
      <c r="C293" s="231">
        <v>7545651.7217820426</v>
      </c>
      <c r="D293" s="231">
        <v>4344346.0942820432</v>
      </c>
      <c r="E293" s="231">
        <v>10998093.847250244</v>
      </c>
      <c r="F293" s="231">
        <v>735349.25749999995</v>
      </c>
      <c r="G293" s="231">
        <v>0</v>
      </c>
    </row>
    <row r="294" spans="1:7">
      <c r="A294" s="215">
        <v>39805</v>
      </c>
      <c r="B294" t="s">
        <v>256</v>
      </c>
      <c r="C294" s="231">
        <v>884319.84277185763</v>
      </c>
      <c r="D294" s="231">
        <v>492767.56557185762</v>
      </c>
      <c r="E294" s="231">
        <v>1274810.7074564972</v>
      </c>
      <c r="F294" s="231">
        <v>84810.611600000004</v>
      </c>
      <c r="G294" s="231">
        <v>0</v>
      </c>
    </row>
    <row r="295" spans="1:7">
      <c r="A295" s="215">
        <v>39900</v>
      </c>
      <c r="B295" t="s">
        <v>481</v>
      </c>
      <c r="C295" s="231">
        <v>4516917.2117867889</v>
      </c>
      <c r="D295" s="231">
        <v>2782346.0888867895</v>
      </c>
      <c r="E295" s="231">
        <v>5996646.9550789595</v>
      </c>
      <c r="F295" s="231">
        <v>399795.95370000001</v>
      </c>
      <c r="G295" s="231">
        <v>0</v>
      </c>
    </row>
    <row r="296" spans="1:7">
      <c r="A296" s="215">
        <v>51000</v>
      </c>
      <c r="B296" t="s">
        <v>556</v>
      </c>
      <c r="C296" s="231">
        <v>63831609.733408533</v>
      </c>
      <c r="D296" s="231">
        <v>39183631.967608534</v>
      </c>
      <c r="E296" s="231">
        <v>88252322.409699112</v>
      </c>
      <c r="F296" s="231">
        <v>5591510.4673999995</v>
      </c>
      <c r="G296" s="231">
        <v>0</v>
      </c>
    </row>
    <row r="297" spans="1:7">
      <c r="A297" s="215">
        <v>51000.2</v>
      </c>
      <c r="B297" t="s">
        <v>557</v>
      </c>
      <c r="C297" s="231">
        <v>145533.11121470775</v>
      </c>
      <c r="D297" s="231">
        <v>75710.145314707741</v>
      </c>
      <c r="E297" s="231">
        <v>121080.53840007776</v>
      </c>
      <c r="F297" s="231">
        <v>6882.4327000000003</v>
      </c>
      <c r="G297" s="231">
        <v>0</v>
      </c>
    </row>
    <row r="298" spans="1:7">
      <c r="A298" s="215">
        <v>51000.3</v>
      </c>
      <c r="B298" t="s">
        <v>558</v>
      </c>
      <c r="C298" s="231">
        <v>2449764.6006172793</v>
      </c>
      <c r="D298" s="231">
        <v>1511605.0108172796</v>
      </c>
      <c r="E298" s="231">
        <v>3097534.0355268605</v>
      </c>
      <c r="F298" s="231">
        <v>195048.53939999998</v>
      </c>
      <c r="G298" s="231">
        <v>0</v>
      </c>
    </row>
    <row r="299" spans="1:7" ht="14.4">
      <c r="A299" s="202"/>
      <c r="C299" s="232"/>
      <c r="D299" s="232"/>
      <c r="E299" s="232"/>
      <c r="F299" s="232"/>
      <c r="G299" s="233"/>
    </row>
    <row r="300" spans="1:7" ht="14.4">
      <c r="A300" s="202"/>
      <c r="C300" s="232"/>
      <c r="D300" s="232"/>
      <c r="E300" s="232"/>
      <c r="F300" s="232"/>
      <c r="G300" s="233"/>
    </row>
    <row r="301" spans="1:7" ht="14.4">
      <c r="C301" s="232"/>
      <c r="D301" s="232"/>
      <c r="E301" s="232"/>
      <c r="F301" s="232"/>
      <c r="G301" s="233"/>
    </row>
    <row r="302" spans="1:7">
      <c r="C302" s="231"/>
      <c r="D302" s="231"/>
      <c r="E302" s="231"/>
      <c r="F302" s="231"/>
      <c r="G302" s="231"/>
    </row>
    <row r="303" spans="1:7" ht="14.4">
      <c r="C303" s="234">
        <f>SUM(C2:C302)</f>
        <v>2113139030.9999976</v>
      </c>
      <c r="D303" s="234">
        <f t="shared" ref="D303:G303" si="0">SUM(D2:D302)</f>
        <v>1165042000.0000002</v>
      </c>
      <c r="E303" s="234">
        <f t="shared" si="0"/>
        <v>2988231999.9999995</v>
      </c>
      <c r="F303" s="234">
        <f t="shared" si="0"/>
        <v>198341000.00000006</v>
      </c>
      <c r="G303" s="234">
        <f t="shared" si="0"/>
        <v>0</v>
      </c>
    </row>
    <row r="304" spans="1:7">
      <c r="C304" s="218">
        <v>2113139030.9999998</v>
      </c>
      <c r="D304" s="218">
        <v>1165041999.9999998</v>
      </c>
      <c r="E304" s="218">
        <v>2988232000.0000019</v>
      </c>
      <c r="F304" s="218">
        <v>198341000.00000006</v>
      </c>
      <c r="G304" s="218">
        <v>0</v>
      </c>
    </row>
    <row r="305" spans="3:6">
      <c r="C305" s="235">
        <f>C303-C304</f>
        <v>-2.1457672119140625E-6</v>
      </c>
      <c r="D305" s="235">
        <f t="shared" ref="D305:F305" si="1">D303-D304</f>
        <v>0</v>
      </c>
      <c r="E305" s="235">
        <f t="shared" si="1"/>
        <v>0</v>
      </c>
      <c r="F305" s="235">
        <f t="shared" si="1"/>
        <v>0</v>
      </c>
    </row>
  </sheetData>
  <sheetProtection algorithmName="SHA-512" hashValue="JPp2QdTtxzD+QEMeOh9a5CnS4ubW8RxZRbZ78ZOafPltfjKw+8lE3iv6h2ksK2KksPuP7fduFyIYO+iCWQfGcg==" saltValue="LL6O7hkt472YMggrWR8eWw==" spinCount="100000" sheet="1" objects="1" scenarios="1"/>
  <dataValidations count="2">
    <dataValidation type="whole" allowBlank="1" showInputMessage="1" showErrorMessage="1" errorTitle="whole numbers required" error="data should be entered as whole numbers" sqref="C299:G301" xr:uid="{9BD0E736-3C4F-4310-9301-3A9C2C49A331}">
      <formula1>0</formula1>
      <formula2>9.99999999999999E+41</formula2>
    </dataValidation>
    <dataValidation allowBlank="1" showInputMessage="1" showErrorMessage="1" errorTitle="whole numbers required" error="data should be entered as whole numbers" sqref="C4:G298" xr:uid="{24D16F1F-05F8-464D-9BF3-72225DB96080}"/>
  </dataValidation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Info</vt:lpstr>
      <vt:lpstr>Detail</vt:lpstr>
      <vt:lpstr>Summary</vt:lpstr>
      <vt:lpstr>Disclosures</vt:lpstr>
      <vt:lpstr>Data</vt:lpstr>
      <vt:lpstr>ER Contributions</vt:lpstr>
      <vt:lpstr>68 - Summary Exhibit</vt:lpstr>
      <vt:lpstr>68- Deferred Amortization</vt:lpstr>
      <vt:lpstr>'68 - Summary Exhibit'!Print_Area</vt:lpstr>
      <vt:lpstr>'68- Deferred Amortization'!Print_Area</vt:lpstr>
      <vt:lpstr>Data!Print_Area</vt:lpstr>
      <vt:lpstr>Detail!Print_Area</vt:lpstr>
      <vt:lpstr>Disclosures!Print_Area</vt:lpstr>
      <vt:lpstr>'ER Contributions'!Print_Area</vt:lpstr>
      <vt:lpstr>Summary!Print_Area</vt:lpstr>
      <vt:lpstr>'68- Deferred Amortization'!Print_Titles</vt:lpstr>
      <vt:lpstr>Data!Print_Titles</vt:lpstr>
      <vt:lpstr>Disclosures!Print_Titles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Clayton Murphy</dc:creator>
  <cp:keywords/>
  <dc:description/>
  <cp:lastModifiedBy>Elizabeth John</cp:lastModifiedBy>
  <cp:revision/>
  <dcterms:created xsi:type="dcterms:W3CDTF">2007-09-03T15:01:56Z</dcterms:created>
  <dcterms:modified xsi:type="dcterms:W3CDTF">2024-07-01T18:00:34Z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efa4170-0d19-0005-0004-bc88714345d2_Enabled">
    <vt:lpwstr>true</vt:lpwstr>
  </property>
  <property fmtid="{D5CDD505-2E9C-101B-9397-08002B2CF9AE}" pid="5" name="MSIP_Label_defa4170-0d19-0005-0004-bc88714345d2_SetDate">
    <vt:lpwstr>2024-04-15T17:41:25Z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a1f43f48-54fe-433f-9378-968b45bc6665</vt:lpwstr>
  </property>
  <property fmtid="{D5CDD505-2E9C-101B-9397-08002B2CF9AE}" pid="9" name="MSIP_Label_defa4170-0d19-0005-0004-bc88714345d2_ActionId">
    <vt:lpwstr>df5fe6b6-d49d-4c21-94c4-daf93187da5e</vt:lpwstr>
  </property>
  <property fmtid="{D5CDD505-2E9C-101B-9397-08002B2CF9AE}" pid="10" name="MSIP_Label_defa4170-0d19-0005-0004-bc88714345d2_ContentBits">
    <vt:lpwstr>0</vt:lpwstr>
  </property>
</Properties>
</file>