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AAA-Jerry\Jerry's Presentations\NASACT Contracts\NC - Office of State Controller\2022\2022 Presentations\"/>
    </mc:Choice>
  </mc:AlternateContent>
  <xr:revisionPtr revIDLastSave="0" documentId="8_{2F30AEB0-73A6-424E-9B31-DFA8D2CC0A04}" xr6:coauthVersionLast="47" xr6:coauthVersionMax="47" xr10:uidLastSave="{00000000-0000-0000-0000-000000000000}"/>
  <bookViews>
    <workbookView xWindow="-110" yWindow="-110" windowWidth="19420" windowHeight="10420" tabRatio="912" activeTab="2" xr2:uid="{00000000-000D-0000-FFFF-FFFF00000000}"/>
  </bookViews>
  <sheets>
    <sheet name="Background" sheetId="9" r:id="rId1"/>
    <sheet name="1. Lessee Summary" sheetId="2" r:id="rId2"/>
    <sheet name="2. Lease Liablity Schedules" sheetId="8" r:id="rId3"/>
    <sheet name="3. Lease Asset Amort Schedules" sheetId="4" r:id="rId4"/>
    <sheet name="4. Lessor Summary" sheetId="5" r:id="rId5"/>
    <sheet name="5. Lease Receivable Schedules" sheetId="6" r:id="rId6"/>
    <sheet name="6. Def Inflow Amort Schedules" sheetId="7" r:id="rId7"/>
  </sheets>
  <definedNames>
    <definedName name="_xlnm.Print_Area" localSheetId="1">'1. Lessee Summary'!$A$1:$N$76</definedName>
    <definedName name="_xlnm.Print_Area" localSheetId="2">'2. Lease Liablity Schedules'!$A$1:$Z$113</definedName>
    <definedName name="_xlnm.Print_Area" localSheetId="3">'3. Lease Asset Amort Schedules'!$A$1:$F$99</definedName>
    <definedName name="_xlnm.Print_Area" localSheetId="4">'4. Lessor Summary'!$A$1:$M$69</definedName>
    <definedName name="_xlnm.Print_Area" localSheetId="5">'5. Lease Receivable Schedules'!$A$1:$O$158</definedName>
    <definedName name="_xlnm.Print_Area" localSheetId="6">'6. Def Inflow Amort Schedules'!$A$1:$G$136</definedName>
    <definedName name="_xlnm.Print_Area" localSheetId="0">Background!$A$1:$O$28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 i="6" l="1"/>
  <c r="D31" i="2" l="1"/>
  <c r="D35" i="2" s="1"/>
  <c r="F33" i="2" l="1"/>
  <c r="C14" i="4"/>
  <c r="C15" i="4" s="1"/>
  <c r="C27" i="8"/>
  <c r="B44" i="8"/>
  <c r="B45" i="8" s="1"/>
  <c r="C14" i="7"/>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C61" i="7" s="1"/>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B37" i="6"/>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E34" i="5" l="1"/>
  <c r="C19" i="8" l="1"/>
  <c r="C25" i="8" l="1"/>
  <c r="C16" i="2"/>
  <c r="C15" i="2" l="1"/>
  <c r="C29" i="8"/>
  <c r="F43" i="8" s="1"/>
  <c r="C31" i="8"/>
  <c r="G36" i="5"/>
  <c r="K36" i="5"/>
  <c r="C14" i="5"/>
  <c r="M36" i="5" l="1"/>
  <c r="C93" i="8"/>
  <c r="C49" i="8"/>
  <c r="C88" i="8"/>
  <c r="C72" i="8"/>
  <c r="C56" i="8"/>
  <c r="C102" i="8"/>
  <c r="C82" i="8"/>
  <c r="C54" i="8"/>
  <c r="C73" i="8"/>
  <c r="C103" i="8"/>
  <c r="C87" i="8"/>
  <c r="C71" i="8"/>
  <c r="C55" i="8"/>
  <c r="C78" i="8"/>
  <c r="C57" i="8"/>
  <c r="C74" i="8"/>
  <c r="C99" i="8"/>
  <c r="C67" i="8"/>
  <c r="C66" i="8"/>
  <c r="C81" i="8"/>
  <c r="C96" i="8"/>
  <c r="C64" i="8"/>
  <c r="C94" i="8"/>
  <c r="C85" i="8"/>
  <c r="C95" i="8"/>
  <c r="C63" i="8"/>
  <c r="C58" i="8"/>
  <c r="C97" i="8"/>
  <c r="C69" i="8"/>
  <c r="C92" i="8"/>
  <c r="C76" i="8"/>
  <c r="C60" i="8"/>
  <c r="C44" i="8"/>
  <c r="E44" i="8" s="1"/>
  <c r="F44" i="8" s="1"/>
  <c r="D45" i="8" s="1"/>
  <c r="C90" i="8"/>
  <c r="C62" i="8"/>
  <c r="C77" i="8"/>
  <c r="C53" i="8"/>
  <c r="C91" i="8"/>
  <c r="C75" i="8"/>
  <c r="C59" i="8"/>
  <c r="C86" i="8"/>
  <c r="C50" i="8"/>
  <c r="C89" i="8"/>
  <c r="C100" i="8"/>
  <c r="C84" i="8"/>
  <c r="C68" i="8"/>
  <c r="C52" i="8"/>
  <c r="C98" i="8"/>
  <c r="C46" i="8"/>
  <c r="C65" i="8"/>
  <c r="C83" i="8"/>
  <c r="C51" i="8"/>
  <c r="C45" i="8"/>
  <c r="C101" i="8"/>
  <c r="C80" i="8"/>
  <c r="C48" i="8"/>
  <c r="C70" i="8"/>
  <c r="C61" i="8"/>
  <c r="C79" i="8"/>
  <c r="C47" i="8"/>
  <c r="G40" i="5"/>
  <c r="D7" i="7"/>
  <c r="G34" i="5"/>
  <c r="C20" i="6"/>
  <c r="C25" i="6" s="1"/>
  <c r="C18" i="5" s="1"/>
  <c r="J41" i="5"/>
  <c r="I41" i="5"/>
  <c r="C41" i="5"/>
  <c r="K40" i="5"/>
  <c r="K39" i="5"/>
  <c r="K38" i="5"/>
  <c r="K37" i="5"/>
  <c r="K35" i="5"/>
  <c r="K34" i="5"/>
  <c r="F36" i="6" l="1"/>
  <c r="E45" i="8"/>
  <c r="M40" i="5"/>
  <c r="M34" i="5"/>
  <c r="K41" i="5"/>
  <c r="L37" i="2"/>
  <c r="L31" i="2"/>
  <c r="F39" i="2"/>
  <c r="F34" i="2"/>
  <c r="F32" i="2"/>
  <c r="D40" i="2"/>
  <c r="C18" i="2"/>
  <c r="C27" i="6" l="1"/>
  <c r="C21" i="5"/>
  <c r="F45" i="8"/>
  <c r="D46" i="8" s="1"/>
  <c r="C22" i="2"/>
  <c r="C25" i="2" s="1"/>
  <c r="D5" i="4" s="1"/>
  <c r="D7" i="4" s="1"/>
  <c r="C38" i="2"/>
  <c r="C152" i="6" l="1"/>
  <c r="C148" i="6"/>
  <c r="C144" i="6"/>
  <c r="C140" i="6"/>
  <c r="C136" i="6"/>
  <c r="C132" i="6"/>
  <c r="C128" i="6"/>
  <c r="C124" i="6"/>
  <c r="C120" i="6"/>
  <c r="C116" i="6"/>
  <c r="C112" i="6"/>
  <c r="C108" i="6"/>
  <c r="C104" i="6"/>
  <c r="C155" i="6"/>
  <c r="C151" i="6"/>
  <c r="C147" i="6"/>
  <c r="C143" i="6"/>
  <c r="C139" i="6"/>
  <c r="C135" i="6"/>
  <c r="C131" i="6"/>
  <c r="C127" i="6"/>
  <c r="C123" i="6"/>
  <c r="C119" i="6"/>
  <c r="C115" i="6"/>
  <c r="C111" i="6"/>
  <c r="C107" i="6"/>
  <c r="C103" i="6"/>
  <c r="C99" i="6"/>
  <c r="C95" i="6"/>
  <c r="C91" i="6"/>
  <c r="C87" i="6"/>
  <c r="C83" i="6"/>
  <c r="C79" i="6"/>
  <c r="C75" i="6"/>
  <c r="C71" i="6"/>
  <c r="C67" i="6"/>
  <c r="C63" i="6"/>
  <c r="C59" i="6"/>
  <c r="C55" i="6"/>
  <c r="C51" i="6"/>
  <c r="C47" i="6"/>
  <c r="C43" i="6"/>
  <c r="C39" i="6"/>
  <c r="C154" i="6"/>
  <c r="C150" i="6"/>
  <c r="C146" i="6"/>
  <c r="C142" i="6"/>
  <c r="C138" i="6"/>
  <c r="C134" i="6"/>
  <c r="C130" i="6"/>
  <c r="C126" i="6"/>
  <c r="C122" i="6"/>
  <c r="C118" i="6"/>
  <c r="C114" i="6"/>
  <c r="C110" i="6"/>
  <c r="C106" i="6"/>
  <c r="C102" i="6"/>
  <c r="C98" i="6"/>
  <c r="C94" i="6"/>
  <c r="C90" i="6"/>
  <c r="C86" i="6"/>
  <c r="C82" i="6"/>
  <c r="C78" i="6"/>
  <c r="C74" i="6"/>
  <c r="C70" i="6"/>
  <c r="C66" i="6"/>
  <c r="C62" i="6"/>
  <c r="C58" i="6"/>
  <c r="C54" i="6"/>
  <c r="C50" i="6"/>
  <c r="C46" i="6"/>
  <c r="C42" i="6"/>
  <c r="C38" i="6"/>
  <c r="C153" i="6"/>
  <c r="C149" i="6"/>
  <c r="C145" i="6"/>
  <c r="C141" i="6"/>
  <c r="C137" i="6"/>
  <c r="C133" i="6"/>
  <c r="C129" i="6"/>
  <c r="C125" i="6"/>
  <c r="C121" i="6"/>
  <c r="C117" i="6"/>
  <c r="C113" i="6"/>
  <c r="C109" i="6"/>
  <c r="C105" i="6"/>
  <c r="C101" i="6"/>
  <c r="C97" i="6"/>
  <c r="C93" i="6"/>
  <c r="C89" i="6"/>
  <c r="C85" i="6"/>
  <c r="C81" i="6"/>
  <c r="C77" i="6"/>
  <c r="C73" i="6"/>
  <c r="C69" i="6"/>
  <c r="C65" i="6"/>
  <c r="C96" i="6"/>
  <c r="C80" i="6"/>
  <c r="C64" i="6"/>
  <c r="C56" i="6"/>
  <c r="C48" i="6"/>
  <c r="C40" i="6"/>
  <c r="C92" i="6"/>
  <c r="C76" i="6"/>
  <c r="C61" i="6"/>
  <c r="C53" i="6"/>
  <c r="C45" i="6"/>
  <c r="C37" i="6"/>
  <c r="C88" i="6"/>
  <c r="C72" i="6"/>
  <c r="C60" i="6"/>
  <c r="C52" i="6"/>
  <c r="C44" i="6"/>
  <c r="C100" i="6"/>
  <c r="C84" i="6"/>
  <c r="C68" i="6"/>
  <c r="C57" i="6"/>
  <c r="C49" i="6"/>
  <c r="C41" i="6"/>
  <c r="D73" i="4"/>
  <c r="D47" i="4"/>
  <c r="D48" i="4"/>
  <c r="D18" i="4"/>
  <c r="D49" i="4"/>
  <c r="D15" i="4"/>
  <c r="D72" i="4"/>
  <c r="D62" i="4"/>
  <c r="D91" i="4"/>
  <c r="C25" i="5"/>
  <c r="C28" i="5" s="1"/>
  <c r="D6" i="7" s="1"/>
  <c r="D35" i="5"/>
  <c r="D89" i="4"/>
  <c r="D88" i="4"/>
  <c r="D42" i="4"/>
  <c r="D78" i="4"/>
  <c r="D39" i="4"/>
  <c r="D71" i="4"/>
  <c r="D36" i="4"/>
  <c r="D33" i="4"/>
  <c r="D69" i="4"/>
  <c r="E13" i="4"/>
  <c r="D40" i="4"/>
  <c r="D14" i="4"/>
  <c r="D46" i="4"/>
  <c r="D90" i="4"/>
  <c r="D43" i="4"/>
  <c r="D79" i="4"/>
  <c r="D64" i="4"/>
  <c r="D37" i="4"/>
  <c r="D93" i="4"/>
  <c r="D8" i="4"/>
  <c r="D97" i="4"/>
  <c r="D76" i="4"/>
  <c r="D34" i="4"/>
  <c r="D66" i="4"/>
  <c r="D23" i="4"/>
  <c r="D63" i="4"/>
  <c r="D28" i="4"/>
  <c r="D92" i="4"/>
  <c r="D57" i="4"/>
  <c r="D24" i="4"/>
  <c r="D84" i="4"/>
  <c r="D26" i="4"/>
  <c r="D58" i="4"/>
  <c r="D82" i="4"/>
  <c r="D27" i="4"/>
  <c r="D59" i="4"/>
  <c r="D87" i="4"/>
  <c r="D44" i="4"/>
  <c r="D25" i="4"/>
  <c r="D53" i="4"/>
  <c r="D81" i="4"/>
  <c r="D16" i="4"/>
  <c r="D60" i="4"/>
  <c r="D17" i="4"/>
  <c r="D30" i="4"/>
  <c r="D50" i="4"/>
  <c r="D74" i="4"/>
  <c r="D94" i="4"/>
  <c r="D31" i="4"/>
  <c r="D55" i="4"/>
  <c r="D75" i="4"/>
  <c r="D95" i="4"/>
  <c r="D56" i="4"/>
  <c r="D21" i="4"/>
  <c r="D41" i="4"/>
  <c r="D65" i="4"/>
  <c r="D85" i="4"/>
  <c r="C35" i="2"/>
  <c r="F38" i="2"/>
  <c r="D32" i="4"/>
  <c r="D68" i="4"/>
  <c r="D96" i="4"/>
  <c r="D22" i="4"/>
  <c r="D38" i="4"/>
  <c r="D54" i="4"/>
  <c r="D70" i="4"/>
  <c r="D86" i="4"/>
  <c r="D19" i="4"/>
  <c r="D35" i="4"/>
  <c r="D51" i="4"/>
  <c r="D67" i="4"/>
  <c r="D83" i="4"/>
  <c r="D20" i="4"/>
  <c r="D52" i="4"/>
  <c r="D80" i="4"/>
  <c r="D29" i="4"/>
  <c r="D45" i="4"/>
  <c r="D61" i="4"/>
  <c r="D77" i="4"/>
  <c r="E37" i="6" l="1"/>
  <c r="F37" i="6" s="1"/>
  <c r="D38" i="6" s="1"/>
  <c r="E13" i="7"/>
  <c r="D8" i="7"/>
  <c r="D37" i="5"/>
  <c r="D41" i="5" s="1"/>
  <c r="K39" i="2"/>
  <c r="E14" i="4"/>
  <c r="E15" i="4" s="1"/>
  <c r="E16" i="4" s="1"/>
  <c r="E17" i="4" s="1"/>
  <c r="E18" i="4" s="1"/>
  <c r="E19" i="4" s="1"/>
  <c r="E20" i="4" s="1"/>
  <c r="E21" i="4" s="1"/>
  <c r="E22" i="4" s="1"/>
  <c r="E46" i="8"/>
  <c r="H38" i="2"/>
  <c r="F35" i="2"/>
  <c r="C40" i="2"/>
  <c r="L39" i="2" l="1"/>
  <c r="N39" i="2" s="1"/>
  <c r="K33" i="2"/>
  <c r="L33" i="2" s="1"/>
  <c r="N33" i="2" s="1"/>
  <c r="E38" i="6"/>
  <c r="F38" i="6" s="1"/>
  <c r="D39" i="6" s="1"/>
  <c r="D121" i="7"/>
  <c r="D105" i="7"/>
  <c r="D89" i="7"/>
  <c r="D73" i="7"/>
  <c r="D57" i="7"/>
  <c r="D41" i="7"/>
  <c r="D25" i="7"/>
  <c r="D128" i="7"/>
  <c r="D112" i="7"/>
  <c r="D96" i="7"/>
  <c r="D80" i="7"/>
  <c r="D64" i="7"/>
  <c r="D48" i="7"/>
  <c r="D32" i="7"/>
  <c r="D131" i="7"/>
  <c r="D115" i="7"/>
  <c r="D99" i="7"/>
  <c r="D83" i="7"/>
  <c r="D67" i="7"/>
  <c r="D51" i="7"/>
  <c r="D35" i="7"/>
  <c r="D19" i="7"/>
  <c r="D122" i="7"/>
  <c r="D106" i="7"/>
  <c r="D90" i="7"/>
  <c r="D74" i="7"/>
  <c r="D58" i="7"/>
  <c r="D42" i="7"/>
  <c r="D26" i="7"/>
  <c r="D16" i="7"/>
  <c r="D125" i="7"/>
  <c r="D93" i="7"/>
  <c r="D61" i="7"/>
  <c r="D29" i="7"/>
  <c r="D116" i="7"/>
  <c r="D84" i="7"/>
  <c r="D52" i="7"/>
  <c r="D20" i="7"/>
  <c r="D103" i="7"/>
  <c r="D71" i="7"/>
  <c r="D39" i="7"/>
  <c r="D126" i="7"/>
  <c r="D94" i="7"/>
  <c r="D62" i="7"/>
  <c r="D30" i="7"/>
  <c r="D9" i="7"/>
  <c r="D117" i="7"/>
  <c r="D101" i="7"/>
  <c r="D85" i="7"/>
  <c r="D69" i="7"/>
  <c r="D53" i="7"/>
  <c r="D37" i="7"/>
  <c r="D21" i="7"/>
  <c r="D124" i="7"/>
  <c r="D108" i="7"/>
  <c r="D92" i="7"/>
  <c r="D76" i="7"/>
  <c r="D60" i="7"/>
  <c r="D44" i="7"/>
  <c r="D28" i="7"/>
  <c r="D127" i="7"/>
  <c r="D111" i="7"/>
  <c r="D95" i="7"/>
  <c r="D79" i="7"/>
  <c r="D63" i="7"/>
  <c r="D47" i="7"/>
  <c r="D31" i="7"/>
  <c r="D15" i="7"/>
  <c r="D118" i="7"/>
  <c r="D102" i="7"/>
  <c r="D86" i="7"/>
  <c r="D133" i="7" s="1"/>
  <c r="D70" i="7"/>
  <c r="D54" i="7"/>
  <c r="D38" i="7"/>
  <c r="D22" i="7"/>
  <c r="D129" i="7"/>
  <c r="D113" i="7"/>
  <c r="D97" i="7"/>
  <c r="D81" i="7"/>
  <c r="D65" i="7"/>
  <c r="D49" i="7"/>
  <c r="D33" i="7"/>
  <c r="D17" i="7"/>
  <c r="D120" i="7"/>
  <c r="D104" i="7"/>
  <c r="D88" i="7"/>
  <c r="D72" i="7"/>
  <c r="D56" i="7"/>
  <c r="D40" i="7"/>
  <c r="D24" i="7"/>
  <c r="D123" i="7"/>
  <c r="D107" i="7"/>
  <c r="D91" i="7"/>
  <c r="D75" i="7"/>
  <c r="D59" i="7"/>
  <c r="D43" i="7"/>
  <c r="D27" i="7"/>
  <c r="D130" i="7"/>
  <c r="D114" i="7"/>
  <c r="D98" i="7"/>
  <c r="D82" i="7"/>
  <c r="D66" i="7"/>
  <c r="D50" i="7"/>
  <c r="D34" i="7"/>
  <c r="D18" i="7"/>
  <c r="D109" i="7"/>
  <c r="D77" i="7"/>
  <c r="D45" i="7"/>
  <c r="D132" i="7"/>
  <c r="D100" i="7"/>
  <c r="D68" i="7"/>
  <c r="D36" i="7"/>
  <c r="D119" i="7"/>
  <c r="D87" i="7"/>
  <c r="D55" i="7"/>
  <c r="D23" i="7"/>
  <c r="D110" i="7"/>
  <c r="D78" i="7"/>
  <c r="D46" i="7"/>
  <c r="D14" i="7"/>
  <c r="F46" i="8"/>
  <c r="D47" i="8" s="1"/>
  <c r="E23" i="4"/>
  <c r="E24" i="4" s="1"/>
  <c r="E25" i="4" s="1"/>
  <c r="E26" i="4" s="1"/>
  <c r="E27" i="4" s="1"/>
  <c r="E28" i="4" s="1"/>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I35" i="2"/>
  <c r="H34" i="2"/>
  <c r="L38" i="2"/>
  <c r="N38" i="2" s="1"/>
  <c r="K40" i="2" l="1"/>
  <c r="D135" i="7"/>
  <c r="F19" i="7"/>
  <c r="F37" i="5" s="1"/>
  <c r="E14" i="7"/>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E57" i="7" s="1"/>
  <c r="E58" i="7" s="1"/>
  <c r="E59" i="7" s="1"/>
  <c r="E60" i="7" s="1"/>
  <c r="E61" i="7" s="1"/>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47" i="8"/>
  <c r="F47" i="8" s="1"/>
  <c r="D48" i="8" s="1"/>
  <c r="H40" i="2"/>
  <c r="I32" i="2"/>
  <c r="L35" i="2"/>
  <c r="N35" i="2" s="1"/>
  <c r="F38" i="5" l="1"/>
  <c r="G38" i="5" s="1"/>
  <c r="M38" i="5" s="1"/>
  <c r="G37" i="5"/>
  <c r="M37" i="5" s="1"/>
  <c r="E48" i="8"/>
  <c r="F48" i="8" s="1"/>
  <c r="D49" i="8" s="1"/>
  <c r="L32" i="2"/>
  <c r="I40" i="2"/>
  <c r="E39" i="6"/>
  <c r="F41" i="5" l="1"/>
  <c r="E49" i="8"/>
  <c r="F49" i="8" s="1"/>
  <c r="D50" i="8" s="1"/>
  <c r="N32" i="2"/>
  <c r="F39" i="6"/>
  <c r="D40" i="6" s="1"/>
  <c r="E50" i="8" l="1"/>
  <c r="F50" i="8" s="1"/>
  <c r="D51" i="8" s="1"/>
  <c r="E51" i="8" l="1"/>
  <c r="F51" i="8" s="1"/>
  <c r="D52" i="8" s="1"/>
  <c r="E40" i="6"/>
  <c r="F40" i="6" l="1"/>
  <c r="D41" i="6" s="1"/>
  <c r="E52" i="8" l="1"/>
  <c r="G52" i="8"/>
  <c r="E37" i="2" s="1"/>
  <c r="F37" i="2" s="1"/>
  <c r="N37" i="2" s="1"/>
  <c r="H52" i="8" l="1"/>
  <c r="E36" i="2" s="1"/>
  <c r="F52" i="8"/>
  <c r="D53" i="8" s="1"/>
  <c r="E41" i="6"/>
  <c r="E31" i="2" l="1"/>
  <c r="F31" i="2" s="1"/>
  <c r="N31" i="2" s="1"/>
  <c r="F36" i="2"/>
  <c r="F41" i="6"/>
  <c r="D42" i="6" s="1"/>
  <c r="E40" i="2" l="1"/>
  <c r="J36" i="2"/>
  <c r="F40" i="2"/>
  <c r="E53" i="8"/>
  <c r="F53" i="8" l="1"/>
  <c r="D54" i="8" s="1"/>
  <c r="J34" i="2"/>
  <c r="L36" i="2"/>
  <c r="N36" i="2" s="1"/>
  <c r="E42" i="6"/>
  <c r="G42" i="6"/>
  <c r="E39" i="5" s="1"/>
  <c r="J40" i="2" l="1"/>
  <c r="L34" i="2"/>
  <c r="F42" i="6"/>
  <c r="D43" i="6" s="1"/>
  <c r="H42" i="6"/>
  <c r="E35" i="5" s="1"/>
  <c r="E43" i="6" l="1"/>
  <c r="F43" i="6" s="1"/>
  <c r="D44" i="6" s="1"/>
  <c r="E54" i="8"/>
  <c r="N34" i="2"/>
  <c r="N40" i="2" s="1"/>
  <c r="L40" i="2"/>
  <c r="E44" i="6" l="1"/>
  <c r="F44" i="6" s="1"/>
  <c r="D45" i="6" s="1"/>
  <c r="F54" i="8"/>
  <c r="D55" i="8" s="1"/>
  <c r="E45" i="6" l="1"/>
  <c r="F45" i="6" s="1"/>
  <c r="D46" i="6" s="1"/>
  <c r="E55" i="8"/>
  <c r="E46" i="6" l="1"/>
  <c r="F46" i="6" s="1"/>
  <c r="F55" i="8"/>
  <c r="D56" i="8" s="1"/>
  <c r="D47" i="6" l="1"/>
  <c r="E47" i="6" s="1"/>
  <c r="F47" i="6" s="1"/>
  <c r="D48" i="6" s="1"/>
  <c r="E48" i="6" s="1"/>
  <c r="F48" i="6" s="1"/>
  <c r="D49" i="6" s="1"/>
  <c r="E56" i="8"/>
  <c r="G39" i="5"/>
  <c r="M39" i="5" s="1"/>
  <c r="F56" i="8" l="1"/>
  <c r="D57" i="8" s="1"/>
  <c r="E57" i="8" l="1"/>
  <c r="G35" i="5"/>
  <c r="E41" i="5"/>
  <c r="E49" i="6"/>
  <c r="F49" i="6" s="1"/>
  <c r="D50" i="6" s="1"/>
  <c r="F57" i="8" l="1"/>
  <c r="M35" i="5"/>
  <c r="M41" i="5" s="1"/>
  <c r="G41" i="5"/>
  <c r="E50" i="6"/>
  <c r="F50" i="6" s="1"/>
  <c r="D51" i="6" s="1"/>
  <c r="D58" i="8" l="1"/>
  <c r="E58" i="8" s="1"/>
  <c r="F58" i="8" s="1"/>
  <c r="E51" i="6"/>
  <c r="F51" i="6" s="1"/>
  <c r="D52" i="6" s="1"/>
  <c r="D59" i="8" l="1"/>
  <c r="E59" i="8" s="1"/>
  <c r="F59" i="8" s="1"/>
  <c r="D60" i="8" s="1"/>
  <c r="E60" i="8" s="1"/>
  <c r="F60" i="8" s="1"/>
  <c r="D61" i="8" s="1"/>
  <c r="E61" i="8" s="1"/>
  <c r="F61" i="8" s="1"/>
  <c r="D62" i="8" s="1"/>
  <c r="E52" i="6"/>
  <c r="F52" i="6" s="1"/>
  <c r="D53" i="6" s="1"/>
  <c r="E62" i="8" l="1"/>
  <c r="F62" i="8" s="1"/>
  <c r="D63" i="8" s="1"/>
  <c r="E53" i="6"/>
  <c r="F53" i="6" s="1"/>
  <c r="D54" i="6" s="1"/>
  <c r="E63" i="8" l="1"/>
  <c r="F63" i="8" s="1"/>
  <c r="D64" i="8" s="1"/>
  <c r="E54" i="6"/>
  <c r="F54" i="6" s="1"/>
  <c r="D55" i="6" s="1"/>
  <c r="E55" i="6" l="1"/>
  <c r="F55" i="6" s="1"/>
  <c r="D56" i="6" s="1"/>
  <c r="E56" i="6" l="1"/>
  <c r="F56" i="6" s="1"/>
  <c r="D57" i="6" s="1"/>
  <c r="E64" i="8"/>
  <c r="L49" i="8"/>
  <c r="E57" i="6" l="1"/>
  <c r="F57" i="6" s="1"/>
  <c r="D58" i="6" s="1"/>
  <c r="K49" i="8"/>
  <c r="M49" i="8" s="1"/>
  <c r="F64" i="8"/>
  <c r="D65" i="8" s="1"/>
  <c r="E58" i="6" l="1"/>
  <c r="F58" i="6" s="1"/>
  <c r="D59" i="6" l="1"/>
  <c r="E59" i="6" s="1"/>
  <c r="F59" i="6" s="1"/>
  <c r="E65" i="8"/>
  <c r="D60" i="6" l="1"/>
  <c r="E60" i="6" s="1"/>
  <c r="F60" i="6" s="1"/>
  <c r="D61" i="6" s="1"/>
  <c r="E61" i="6" s="1"/>
  <c r="F61" i="6" s="1"/>
  <c r="D62" i="6" s="1"/>
  <c r="E62" i="6" s="1"/>
  <c r="F62" i="6" s="1"/>
  <c r="F65" i="8"/>
  <c r="D66" i="8" s="1"/>
  <c r="D63" i="6" l="1"/>
  <c r="E63" i="6" s="1"/>
  <c r="F63" i="6" s="1"/>
  <c r="D64" i="6" l="1"/>
  <c r="E64" i="6" s="1"/>
  <c r="F64" i="6" s="1"/>
  <c r="D65" i="6" s="1"/>
  <c r="E65" i="6" s="1"/>
  <c r="F65" i="6" s="1"/>
  <c r="D66" i="6" s="1"/>
  <c r="E66" i="6" s="1"/>
  <c r="F66" i="6" s="1"/>
  <c r="E66" i="8"/>
  <c r="D67" i="6" l="1"/>
  <c r="E67" i="6" s="1"/>
  <c r="F67" i="6" s="1"/>
  <c r="F66" i="8"/>
  <c r="D67" i="8" s="1"/>
  <c r="D68" i="6" l="1"/>
  <c r="E68" i="6" s="1"/>
  <c r="F68" i="6" s="1"/>
  <c r="D69" i="6" s="1"/>
  <c r="E69" i="6" s="1"/>
  <c r="F69" i="6" s="1"/>
  <c r="D70" i="6" s="1"/>
  <c r="E70" i="6" s="1"/>
  <c r="F70" i="6" s="1"/>
  <c r="D71" i="6" l="1"/>
  <c r="E71" i="6" s="1"/>
  <c r="F71" i="6" s="1"/>
  <c r="D72" i="6" s="1"/>
  <c r="E72" i="6" s="1"/>
  <c r="F72" i="6" s="1"/>
  <c r="D73" i="6" s="1"/>
  <c r="E67" i="8"/>
  <c r="E73" i="6" l="1"/>
  <c r="F73" i="6" s="1"/>
  <c r="D74" i="6" s="1"/>
  <c r="F67" i="8"/>
  <c r="D68" i="8" s="1"/>
  <c r="E74" i="6" l="1"/>
  <c r="F74" i="6" s="1"/>
  <c r="D75" i="6" l="1"/>
  <c r="E75" i="6" s="1"/>
  <c r="F75" i="6" s="1"/>
  <c r="E68" i="8"/>
  <c r="D76" i="6" l="1"/>
  <c r="E76" i="6" s="1"/>
  <c r="F76" i="6" s="1"/>
  <c r="D77" i="6" s="1"/>
  <c r="E77" i="6" s="1"/>
  <c r="F77" i="6" s="1"/>
  <c r="D78" i="6" s="1"/>
  <c r="E78" i="6" s="1"/>
  <c r="F78" i="6" s="1"/>
  <c r="F68" i="8"/>
  <c r="D69" i="8" s="1"/>
  <c r="D79" i="6" l="1"/>
  <c r="E79" i="6" s="1"/>
  <c r="F79" i="6" s="1"/>
  <c r="D80" i="6" l="1"/>
  <c r="E80" i="6" s="1"/>
  <c r="F80" i="6" s="1"/>
  <c r="D81" i="6" s="1"/>
  <c r="E81" i="6" s="1"/>
  <c r="F81" i="6" s="1"/>
  <c r="D82" i="6" s="1"/>
  <c r="E82" i="6" s="1"/>
  <c r="F82" i="6" s="1"/>
  <c r="E69" i="8"/>
  <c r="D83" i="6" l="1"/>
  <c r="E83" i="6" s="1"/>
  <c r="F83" i="6" s="1"/>
  <c r="F69" i="8"/>
  <c r="D70" i="8" s="1"/>
  <c r="D84" i="6" l="1"/>
  <c r="E84" i="6" s="1"/>
  <c r="F84" i="6" s="1"/>
  <c r="D85" i="6" s="1"/>
  <c r="E85" i="6" s="1"/>
  <c r="F85" i="6" s="1"/>
  <c r="D86" i="6" s="1"/>
  <c r="E86" i="6" s="1"/>
  <c r="F86" i="6" s="1"/>
  <c r="E70" i="8"/>
  <c r="F70" i="8" s="1"/>
  <c r="D71" i="8" s="1"/>
  <c r="D87" i="6" l="1"/>
  <c r="E87" i="6" s="1"/>
  <c r="F87" i="6" s="1"/>
  <c r="E71" i="8"/>
  <c r="F71" i="8" s="1"/>
  <c r="D72" i="8" s="1"/>
  <c r="D88" i="6" l="1"/>
  <c r="E88" i="6" s="1"/>
  <c r="F88" i="6" s="1"/>
  <c r="D89" i="6" s="1"/>
  <c r="E89" i="6" s="1"/>
  <c r="F89" i="6" s="1"/>
  <c r="E72" i="8"/>
  <c r="F72" i="8" s="1"/>
  <c r="D73" i="8" s="1"/>
  <c r="D90" i="6" l="1"/>
  <c r="E90" i="6" s="1"/>
  <c r="F90" i="6" s="1"/>
  <c r="D91" i="6" s="1"/>
  <c r="E91" i="6" s="1"/>
  <c r="F91" i="6" s="1"/>
  <c r="D92" i="6" s="1"/>
  <c r="E92" i="6" s="1"/>
  <c r="F92" i="6" s="1"/>
  <c r="D93" i="6" s="1"/>
  <c r="E73" i="8"/>
  <c r="F73" i="8" s="1"/>
  <c r="D74" i="8" s="1"/>
  <c r="E93" i="6" l="1"/>
  <c r="F93" i="6" s="1"/>
  <c r="D94" i="6" s="1"/>
  <c r="E74" i="8"/>
  <c r="F74" i="8" s="1"/>
  <c r="D75" i="8" s="1"/>
  <c r="E94" i="6" l="1"/>
  <c r="F94" i="6" s="1"/>
  <c r="E75" i="8"/>
  <c r="F75" i="8" s="1"/>
  <c r="D76" i="8" s="1"/>
  <c r="D95" i="6" l="1"/>
  <c r="E95" i="6" s="1"/>
  <c r="F95" i="6" s="1"/>
  <c r="D96" i="6" l="1"/>
  <c r="E96" i="6" s="1"/>
  <c r="F96" i="6" s="1"/>
  <c r="D97" i="6" s="1"/>
  <c r="E97" i="6" s="1"/>
  <c r="F97" i="6" s="1"/>
  <c r="D98" i="6" s="1"/>
  <c r="E98" i="6" s="1"/>
  <c r="F98" i="6" s="1"/>
  <c r="E76" i="8"/>
  <c r="L50" i="8"/>
  <c r="D99" i="6" l="1"/>
  <c r="E99" i="6" s="1"/>
  <c r="F99" i="6" s="1"/>
  <c r="K50" i="8"/>
  <c r="F76" i="8"/>
  <c r="D77" i="8" s="1"/>
  <c r="D100" i="6" l="1"/>
  <c r="E100" i="6" s="1"/>
  <c r="F100" i="6" s="1"/>
  <c r="D101" i="6" s="1"/>
  <c r="E101" i="6" s="1"/>
  <c r="F101" i="6" s="1"/>
  <c r="D102" i="6" s="1"/>
  <c r="E102" i="6" s="1"/>
  <c r="F102" i="6" s="1"/>
  <c r="M50" i="8"/>
  <c r="D103" i="6" l="1"/>
  <c r="E103" i="6" s="1"/>
  <c r="F103" i="6" s="1"/>
  <c r="E77" i="8"/>
  <c r="D104" i="6" l="1"/>
  <c r="E104" i="6" s="1"/>
  <c r="F104" i="6" s="1"/>
  <c r="D105" i="6" s="1"/>
  <c r="E105" i="6" s="1"/>
  <c r="F105" i="6" s="1"/>
  <c r="D106" i="6" s="1"/>
  <c r="E106" i="6" s="1"/>
  <c r="F106" i="6" s="1"/>
  <c r="D107" i="6" s="1"/>
  <c r="F77" i="8"/>
  <c r="D78" i="8" s="1"/>
  <c r="E107" i="6" l="1"/>
  <c r="F107" i="6" s="1"/>
  <c r="D108" i="6" s="1"/>
  <c r="E108" i="6" l="1"/>
  <c r="F108" i="6" s="1"/>
  <c r="D109" i="6" s="1"/>
  <c r="E78" i="8"/>
  <c r="E109" i="6" l="1"/>
  <c r="F109" i="6" s="1"/>
  <c r="D110" i="6" s="1"/>
  <c r="F78" i="8"/>
  <c r="D79" i="8" s="1"/>
  <c r="E110" i="6" l="1"/>
  <c r="F110" i="6" s="1"/>
  <c r="D111" i="6" l="1"/>
  <c r="E111" i="6" s="1"/>
  <c r="F111" i="6" s="1"/>
  <c r="E79" i="8"/>
  <c r="D112" i="6" l="1"/>
  <c r="E112" i="6" s="1"/>
  <c r="F112" i="6" s="1"/>
  <c r="F79" i="8"/>
  <c r="D80" i="8" s="1"/>
  <c r="D113" i="6" l="1"/>
  <c r="E113" i="6" s="1"/>
  <c r="F113" i="6" s="1"/>
  <c r="D114" i="6" l="1"/>
  <c r="E114" i="6" s="1"/>
  <c r="F114" i="6" s="1"/>
  <c r="E80" i="8"/>
  <c r="D115" i="6" l="1"/>
  <c r="E115" i="6" s="1"/>
  <c r="F115" i="6" s="1"/>
  <c r="F80" i="8"/>
  <c r="D81" i="8" s="1"/>
  <c r="D116" i="6" l="1"/>
  <c r="E116" i="6" s="1"/>
  <c r="F116" i="6" s="1"/>
  <c r="D117" i="6" s="1"/>
  <c r="E117" i="6" s="1"/>
  <c r="F117" i="6" s="1"/>
  <c r="D118" i="6" s="1"/>
  <c r="E118" i="6" s="1"/>
  <c r="F118" i="6" s="1"/>
  <c r="D119" i="6" s="1"/>
  <c r="E119" i="6" s="1"/>
  <c r="F119" i="6" s="1"/>
  <c r="D120" i="6" s="1"/>
  <c r="E120" i="6" s="1"/>
  <c r="F120" i="6" s="1"/>
  <c r="D121" i="6" s="1"/>
  <c r="E121" i="6" s="1"/>
  <c r="F121" i="6" s="1"/>
  <c r="D122" i="6" s="1"/>
  <c r="E122" i="6" s="1"/>
  <c r="F122" i="6" s="1"/>
  <c r="D123" i="6" s="1"/>
  <c r="E81" i="8" l="1"/>
  <c r="E123" i="6"/>
  <c r="F123" i="6" s="1"/>
  <c r="D124" i="6" s="1"/>
  <c r="F81" i="8" l="1"/>
  <c r="D82" i="8" s="1"/>
  <c r="E124" i="6"/>
  <c r="F124" i="6" s="1"/>
  <c r="D125" i="6" s="1"/>
  <c r="E125" i="6" l="1"/>
  <c r="F125" i="6" s="1"/>
  <c r="D126" i="6" s="1"/>
  <c r="E82" i="8" l="1"/>
  <c r="E126" i="6"/>
  <c r="F126" i="6" s="1"/>
  <c r="D127" i="6" s="1"/>
  <c r="F82" i="8" l="1"/>
  <c r="D83" i="8" s="1"/>
  <c r="E127" i="6"/>
  <c r="F127" i="6" s="1"/>
  <c r="D128" i="6" s="1"/>
  <c r="E83" i="8" l="1"/>
  <c r="F83" i="8" s="1"/>
  <c r="D84" i="8" s="1"/>
  <c r="E128" i="6"/>
  <c r="F128" i="6" s="1"/>
  <c r="D129" i="6" s="1"/>
  <c r="E84" i="8" l="1"/>
  <c r="F84" i="8" s="1"/>
  <c r="D85" i="8" s="1"/>
  <c r="E129" i="6"/>
  <c r="F129" i="6" s="1"/>
  <c r="D130" i="6" s="1"/>
  <c r="E85" i="8" l="1"/>
  <c r="F85" i="8" s="1"/>
  <c r="D86" i="8" s="1"/>
  <c r="E130" i="6"/>
  <c r="F130" i="6" s="1"/>
  <c r="D131" i="6" s="1"/>
  <c r="E86" i="8" l="1"/>
  <c r="F86" i="8" s="1"/>
  <c r="D87" i="8" s="1"/>
  <c r="E131" i="6"/>
  <c r="F131" i="6" s="1"/>
  <c r="D132" i="6" s="1"/>
  <c r="E87" i="8" l="1"/>
  <c r="F87" i="8" s="1"/>
  <c r="D88" i="8" s="1"/>
  <c r="E132" i="6"/>
  <c r="F132" i="6" s="1"/>
  <c r="D133" i="6" s="1"/>
  <c r="E133" i="6" l="1"/>
  <c r="F133" i="6" s="1"/>
  <c r="D134" i="6" s="1"/>
  <c r="E88" i="8" l="1"/>
  <c r="L51" i="8"/>
  <c r="E134" i="6"/>
  <c r="F134" i="6" s="1"/>
  <c r="D135" i="6" s="1"/>
  <c r="K51" i="8" l="1"/>
  <c r="F88" i="8"/>
  <c r="D89" i="8" s="1"/>
  <c r="E135" i="6"/>
  <c r="F135" i="6" s="1"/>
  <c r="D136" i="6" s="1"/>
  <c r="M51" i="8" l="1"/>
  <c r="E136" i="6"/>
  <c r="F136" i="6" s="1"/>
  <c r="D137" i="6" s="1"/>
  <c r="E89" i="8" l="1"/>
  <c r="E137" i="6"/>
  <c r="F137" i="6" s="1"/>
  <c r="D138" i="6" s="1"/>
  <c r="F89" i="8" l="1"/>
  <c r="D90" i="8" s="1"/>
  <c r="E138" i="6"/>
  <c r="F138" i="6" s="1"/>
  <c r="D139" i="6" s="1"/>
  <c r="E139" i="6" l="1"/>
  <c r="F139" i="6" s="1"/>
  <c r="D140" i="6" s="1"/>
  <c r="E90" i="8" l="1"/>
  <c r="E140" i="6"/>
  <c r="F140" i="6" s="1"/>
  <c r="D141" i="6" s="1"/>
  <c r="F90" i="8" l="1"/>
  <c r="D91" i="8" s="1"/>
  <c r="E141" i="6"/>
  <c r="F141" i="6" s="1"/>
  <c r="D142" i="6" s="1"/>
  <c r="E142" i="6" l="1"/>
  <c r="F142" i="6" s="1"/>
  <c r="D143" i="6" s="1"/>
  <c r="E91" i="8" l="1"/>
  <c r="E143" i="6"/>
  <c r="F143" i="6" s="1"/>
  <c r="D144" i="6" s="1"/>
  <c r="F91" i="8" l="1"/>
  <c r="D92" i="8" s="1"/>
  <c r="E144" i="6"/>
  <c r="F144" i="6" s="1"/>
  <c r="D145" i="6" s="1"/>
  <c r="E145" i="6" l="1"/>
  <c r="F145" i="6" s="1"/>
  <c r="D146" i="6" s="1"/>
  <c r="E92" i="8" l="1"/>
  <c r="E146" i="6"/>
  <c r="F146" i="6" s="1"/>
  <c r="D147" i="6" s="1"/>
  <c r="F92" i="8" l="1"/>
  <c r="D93" i="8" s="1"/>
  <c r="E147" i="6"/>
  <c r="F147" i="6" s="1"/>
  <c r="D148" i="6" s="1"/>
  <c r="E148" i="6" l="1"/>
  <c r="F148" i="6" s="1"/>
  <c r="D149" i="6" s="1"/>
  <c r="E93" i="8" l="1"/>
  <c r="E149" i="6"/>
  <c r="F149" i="6" s="1"/>
  <c r="D150" i="6" s="1"/>
  <c r="F93" i="8" l="1"/>
  <c r="D94" i="8" s="1"/>
  <c r="E150" i="6"/>
  <c r="F150" i="6" s="1"/>
  <c r="D151" i="6" s="1"/>
  <c r="E94" i="8" l="1"/>
  <c r="F94" i="8" s="1"/>
  <c r="D95" i="8" s="1"/>
  <c r="E151" i="6"/>
  <c r="F151" i="6" s="1"/>
  <c r="D152" i="6" s="1"/>
  <c r="E95" i="8" l="1"/>
  <c r="F95" i="8" s="1"/>
  <c r="D96" i="8" s="1"/>
  <c r="E152" i="6"/>
  <c r="F152" i="6" s="1"/>
  <c r="D153" i="6" s="1"/>
  <c r="E96" i="8" l="1"/>
  <c r="F96" i="8" s="1"/>
  <c r="D97" i="8" s="1"/>
  <c r="E153" i="6"/>
  <c r="F153" i="6" s="1"/>
  <c r="D154" i="6" s="1"/>
  <c r="E97" i="8" l="1"/>
  <c r="F97" i="8" s="1"/>
  <c r="D98" i="8" s="1"/>
  <c r="E154" i="6"/>
  <c r="F154" i="6" s="1"/>
  <c r="D155" i="6" s="1"/>
  <c r="E98" i="8" l="1"/>
  <c r="F98" i="8" s="1"/>
  <c r="D99" i="8" s="1"/>
  <c r="E155" i="6"/>
  <c r="F155" i="6" s="1"/>
  <c r="E99" i="8" l="1"/>
  <c r="F99" i="8" s="1"/>
  <c r="D100" i="8" s="1"/>
  <c r="D158" i="6"/>
  <c r="E158" i="6" l="1"/>
  <c r="F158" i="6" s="1"/>
  <c r="E100" i="8" l="1"/>
  <c r="L52" i="8"/>
  <c r="K52" i="8" l="1"/>
  <c r="M52" i="8" s="1"/>
  <c r="F100" i="8"/>
  <c r="D101" i="8" s="1"/>
  <c r="E101" i="8" l="1"/>
  <c r="F101" i="8" l="1"/>
  <c r="D102" i="8" s="1"/>
  <c r="E102" i="8" l="1"/>
  <c r="F102" i="8" l="1"/>
  <c r="D103" i="8" l="1"/>
  <c r="E103" i="8" l="1"/>
  <c r="L53" i="8"/>
  <c r="L54" i="8" s="1"/>
  <c r="D105" i="8"/>
  <c r="E105" i="8" l="1"/>
  <c r="F105" i="8" s="1"/>
  <c r="K53" i="8"/>
  <c r="F103" i="8"/>
  <c r="K54" i="8" l="1"/>
  <c r="M54" i="8" s="1"/>
  <c r="M53" i="8"/>
</calcChain>
</file>

<file path=xl/sharedStrings.xml><?xml version="1.0" encoding="utf-8"?>
<sst xmlns="http://schemas.openxmlformats.org/spreadsheetml/2006/main" count="288" uniqueCount="167">
  <si>
    <t>monthly payments</t>
  </si>
  <si>
    <t>number of periods</t>
  </si>
  <si>
    <t>A</t>
  </si>
  <si>
    <t>B</t>
  </si>
  <si>
    <t>C</t>
  </si>
  <si>
    <t>D</t>
  </si>
  <si>
    <t>Annual interest rate</t>
  </si>
  <si>
    <t>Monthly interest rate (C / 12 months)</t>
  </si>
  <si>
    <t>Rate</t>
  </si>
  <si>
    <t>Nper</t>
  </si>
  <si>
    <t>Pmt</t>
  </si>
  <si>
    <t>PV calc term</t>
  </si>
  <si>
    <t>Future Value</t>
  </si>
  <si>
    <t>Fv</t>
  </si>
  <si>
    <t>Type</t>
  </si>
  <si>
    <t>E</t>
  </si>
  <si>
    <t>F</t>
  </si>
  <si>
    <t>Payment</t>
  </si>
  <si>
    <t>Principal</t>
  </si>
  <si>
    <t>Interest</t>
  </si>
  <si>
    <t>Balance</t>
  </si>
  <si>
    <t>Monthly payment calc</t>
  </si>
  <si>
    <t>Present value of lease payments</t>
  </si>
  <si>
    <t>GASB 87 Lease adjustment</t>
  </si>
  <si>
    <t>Totals</t>
  </si>
  <si>
    <t>Lease Liability</t>
  </si>
  <si>
    <t>Present value of future lease payments</t>
  </si>
  <si>
    <t>all numbers rounded to zero decimals</t>
  </si>
  <si>
    <t>Lease Asset</t>
  </si>
  <si>
    <t>Total lease asset at inception of lease</t>
  </si>
  <si>
    <t>Cash</t>
  </si>
  <si>
    <t>Lease asset (intangible right-to-use)</t>
  </si>
  <si>
    <t>net</t>
  </si>
  <si>
    <t>Inception of lease</t>
  </si>
  <si>
    <t>Expenditures - capital outlay</t>
  </si>
  <si>
    <t>Expenditures - debt service principal</t>
  </si>
  <si>
    <t>Expenditures - debt service interest</t>
  </si>
  <si>
    <t>year 1 payments</t>
  </si>
  <si>
    <t>Total General Fund</t>
  </si>
  <si>
    <t>Recognize lease asset</t>
  </si>
  <si>
    <t>Useful life (months)</t>
  </si>
  <si>
    <t>Annual amortization</t>
  </si>
  <si>
    <t>Lease asset value</t>
  </si>
  <si>
    <t>Monthly amortization</t>
  </si>
  <si>
    <t>Assumptions</t>
  </si>
  <si>
    <t>Other financing source - inception of lease</t>
  </si>
  <si>
    <t>Gov't-wide adjustments DR/(CR)</t>
  </si>
  <si>
    <t>Asset amortization</t>
  </si>
  <si>
    <t>Amortization expense</t>
  </si>
  <si>
    <t>Total Gov't Wide</t>
  </si>
  <si>
    <t>Total lease liability at inception of lease</t>
  </si>
  <si>
    <t>Total lease liability</t>
  </si>
  <si>
    <t>Government lessee incurs transportation costs and other expenditures to make equipment ready for use</t>
  </si>
  <si>
    <t>General Fund Transactions DR/(CR)</t>
  </si>
  <si>
    <t>Recognize lease liability</t>
  </si>
  <si>
    <t>Consolidated totals, accrual</t>
  </si>
  <si>
    <t>Lease liability</t>
  </si>
  <si>
    <t>Lease Receivable</t>
  </si>
  <si>
    <t>Deferred inflow of resources</t>
  </si>
  <si>
    <t>Lease receivable</t>
  </si>
  <si>
    <t>Lease revenue</t>
  </si>
  <si>
    <t>Last month's rent received</t>
  </si>
  <si>
    <t>lease pmts rec'd</t>
  </si>
  <si>
    <t>Interest revenue</t>
  </si>
  <si>
    <t>Lease term (months)</t>
  </si>
  <si>
    <t>Total</t>
  </si>
  <si>
    <t>Amort of def inflow</t>
  </si>
  <si>
    <t>Building cost</t>
  </si>
  <si>
    <t>Useful life (years)</t>
  </si>
  <si>
    <t>Total lease receivable at inception of lease</t>
  </si>
  <si>
    <t>Government lessor receives last month's rent upon inception of lease</t>
  </si>
  <si>
    <t>Total deferred inflow of resources at inception of lease</t>
  </si>
  <si>
    <t>Annual depreciation expense (straight-line)</t>
  </si>
  <si>
    <t>Depreciation expense</t>
  </si>
  <si>
    <t>Accumulated depreciation - buildings</t>
  </si>
  <si>
    <t>Total lease receivable at inception</t>
  </si>
  <si>
    <t>rounding adjustment to bring ending value to $0.</t>
  </si>
  <si>
    <t>Present value of purchase option</t>
  </si>
  <si>
    <t>Total PV of lease liability</t>
  </si>
  <si>
    <t>Interest adjusted for rounding</t>
  </si>
  <si>
    <t>Entries 1, 2, 4, 5 are made at the inception of the lease</t>
  </si>
  <si>
    <t>Entry #</t>
  </si>
  <si>
    <t>Entries 3, 6, 7 represent the total amounts that would be made each month of the fiscal year.</t>
  </si>
  <si>
    <t>Entries 1 and 2 are made at the inception of the lease</t>
  </si>
  <si>
    <t>Entries 3, 4, 5 represent the total amounts that would be made each month of the fiscal year.</t>
  </si>
  <si>
    <t>Payment - Interest</t>
  </si>
  <si>
    <t>Month Number</t>
  </si>
  <si>
    <t>Amortization</t>
  </si>
  <si>
    <t>fiscal year 1 payments</t>
  </si>
  <si>
    <t>Present value of purchase option reasonably certain to be exercised by government lessee</t>
  </si>
  <si>
    <t>Prepaid at lease inception</t>
  </si>
  <si>
    <t>First year amortization</t>
  </si>
  <si>
    <t>GASB Statement No. 84, paragraph 30.a</t>
  </si>
  <si>
    <t>GASB Statement No. 84, paragraph 30.c</t>
  </si>
  <si>
    <t>Amortization of lease asset</t>
  </si>
  <si>
    <t>Future debt service payments for note disclosure</t>
  </si>
  <si>
    <t>GASB Statement No. 84, paragraph 53.a</t>
  </si>
  <si>
    <t>GASB Statement No. 84, paragraph 53.b</t>
  </si>
  <si>
    <t>Month, Year</t>
  </si>
  <si>
    <t>G</t>
  </si>
  <si>
    <t>Type:  "1" if payments are made at beginning of period,
"0" if payments are made at end of period.</t>
  </si>
  <si>
    <t>First payment date</t>
  </si>
  <si>
    <t>H</t>
  </si>
  <si>
    <t>Increments between payments (if monthly "1", if bi-monthly "2")</t>
  </si>
  <si>
    <t>Number</t>
  </si>
  <si>
    <t>Amortization of lease deferred inflow of resources</t>
  </si>
  <si>
    <t>Deferred inflow value</t>
  </si>
  <si>
    <t>Type:  "1" if payments are made at beginning of period,
"0" if payments are made at end of period</t>
  </si>
  <si>
    <t>Amortization of lease payments</t>
  </si>
  <si>
    <t>Amortization of lease receipts</t>
  </si>
  <si>
    <t>PV of Lease</t>
  </si>
  <si>
    <t>Payments</t>
  </si>
  <si>
    <t>PV of purchase</t>
  </si>
  <si>
    <t>option</t>
  </si>
  <si>
    <t>Monthly payment calculation</t>
  </si>
  <si>
    <t>$56,517 x .0025 or F44 x C19</t>
  </si>
  <si>
    <t>Year</t>
  </si>
  <si>
    <t>DR</t>
  </si>
  <si>
    <t>CR</t>
  </si>
  <si>
    <t>1.</t>
  </si>
  <si>
    <t>To record the inception of the lease on 4/1/2020</t>
  </si>
  <si>
    <t>2.</t>
  </si>
  <si>
    <t>General Fund</t>
  </si>
  <si>
    <t>3.</t>
  </si>
  <si>
    <t>4.</t>
  </si>
  <si>
    <t>5.</t>
  </si>
  <si>
    <t>Replace expenditures with capital assets – intangible right-to use lease asset</t>
  </si>
  <si>
    <t>6.</t>
  </si>
  <si>
    <t>Accumulated depreciation - lease asset (intangible right-to-use)</t>
  </si>
  <si>
    <t>7.</t>
  </si>
  <si>
    <t>Government-wide adjustments</t>
  </si>
  <si>
    <t>Accumulated amortization - lease asset</t>
  </si>
  <si>
    <t>GASB Statement No. 84, paragraph 21.a.   The number comes from tab "2. Lease Liability Schedules."</t>
  </si>
  <si>
    <t>GASB Statement No. 84, paragraph 21.e.  The number comes from tab "2. Lease Liability Schedules."</t>
  </si>
  <si>
    <r>
      <t>·</t>
    </r>
    <r>
      <rPr>
        <sz val="7"/>
        <color theme="1"/>
        <rFont val="Times New Roman"/>
        <family val="1"/>
      </rPr>
      <t xml:space="preserve">         </t>
    </r>
    <r>
      <rPr>
        <sz val="11"/>
        <color theme="1"/>
        <rFont val="Calibri"/>
        <family val="2"/>
        <scheme val="minor"/>
      </rPr>
      <t>Government lessee has a December 31 fiscal year end.</t>
    </r>
  </si>
  <si>
    <r>
      <t>·</t>
    </r>
    <r>
      <rPr>
        <sz val="7"/>
        <color theme="1"/>
        <rFont val="Times New Roman"/>
        <family val="1"/>
      </rPr>
      <t xml:space="preserve">         </t>
    </r>
    <r>
      <rPr>
        <sz val="11"/>
        <color theme="1"/>
        <rFont val="Calibri"/>
        <family val="2"/>
        <scheme val="minor"/>
      </rPr>
      <t>Government lessee enters into 5 year non-cancellable lease for capital equipment (60 months) with no options to extend, on February 1, 2020, which will commence on April 1, 2020.</t>
    </r>
  </si>
  <si>
    <r>
      <t>·</t>
    </r>
    <r>
      <rPr>
        <sz val="7"/>
        <color theme="1"/>
        <rFont val="Times New Roman"/>
        <family val="1"/>
      </rPr>
      <t xml:space="preserve">         </t>
    </r>
    <r>
      <rPr>
        <sz val="11"/>
        <color theme="1"/>
        <rFont val="Calibri"/>
        <family val="2"/>
        <scheme val="minor"/>
      </rPr>
      <t>Monthly payments due at beginning of each month for $1,000.  Total due $60,000.   First payment due on April 1, 2020.</t>
    </r>
  </si>
  <si>
    <r>
      <t>·</t>
    </r>
    <r>
      <rPr>
        <sz val="7"/>
        <color theme="1"/>
        <rFont val="Times New Roman"/>
        <family val="1"/>
      </rPr>
      <t xml:space="preserve">         </t>
    </r>
    <r>
      <rPr>
        <sz val="11"/>
        <color theme="1"/>
        <rFont val="Calibri"/>
        <family val="2"/>
        <scheme val="minor"/>
      </rPr>
      <t>Government lessee incurs $2,500 transportation costs and other expenditures to make equipment ready for use.</t>
    </r>
  </si>
  <si>
    <r>
      <t>·</t>
    </r>
    <r>
      <rPr>
        <sz val="7"/>
        <color theme="1"/>
        <rFont val="Times New Roman"/>
        <family val="1"/>
      </rPr>
      <t xml:space="preserve">         </t>
    </r>
    <r>
      <rPr>
        <sz val="11"/>
        <color theme="1"/>
        <rFont val="Calibri"/>
        <family val="2"/>
        <scheme val="minor"/>
      </rPr>
      <t>At the end of the lease term, the government lessee has option to purchase the equipment for $2,000 that it is reasonably certain it will exercise.</t>
    </r>
  </si>
  <si>
    <r>
      <t>·</t>
    </r>
    <r>
      <rPr>
        <sz val="7"/>
        <color theme="1"/>
        <rFont val="Times New Roman"/>
        <family val="1"/>
      </rPr>
      <t xml:space="preserve">         </t>
    </r>
    <r>
      <rPr>
        <sz val="11"/>
        <color theme="1"/>
        <rFont val="Calibri"/>
        <family val="2"/>
        <scheme val="minor"/>
      </rPr>
      <t>The government lessee estimates that the useful life of the capital equipment will be 7 years (84 months).</t>
    </r>
  </si>
  <si>
    <r>
      <t>·</t>
    </r>
    <r>
      <rPr>
        <sz val="7"/>
        <color theme="1"/>
        <rFont val="Times New Roman"/>
        <family val="1"/>
      </rPr>
      <t xml:space="preserve">         </t>
    </r>
    <r>
      <rPr>
        <sz val="11"/>
        <color theme="1"/>
        <rFont val="Calibri"/>
        <family val="2"/>
        <scheme val="minor"/>
      </rPr>
      <t>Government lessor has a December 31 fiscal year end.</t>
    </r>
  </si>
  <si>
    <r>
      <t>·</t>
    </r>
    <r>
      <rPr>
        <sz val="7"/>
        <color theme="1"/>
        <rFont val="Times New Roman"/>
        <family val="1"/>
      </rPr>
      <t xml:space="preserve">         </t>
    </r>
    <r>
      <rPr>
        <sz val="11"/>
        <color theme="1"/>
        <rFont val="Calibri"/>
        <family val="2"/>
        <scheme val="minor"/>
      </rPr>
      <t>Government enters into a 10 year non-cancellable lease with a third party (not part of the lessor government's financial reporting entity) and leases two floors of one of its buildings to the third party.  The lease begins on July 1, 2020.</t>
    </r>
  </si>
  <si>
    <r>
      <t>·</t>
    </r>
    <r>
      <rPr>
        <sz val="7"/>
        <color theme="1"/>
        <rFont val="Times New Roman"/>
        <family val="1"/>
      </rPr>
      <t xml:space="preserve">         </t>
    </r>
    <r>
      <rPr>
        <sz val="11"/>
        <color theme="1"/>
        <rFont val="Calibri"/>
        <family val="2"/>
        <scheme val="minor"/>
      </rPr>
      <t>Monthly payments are due at beginning of the month for $3,000.  Government lessor receives the last month's rent upon inception of lease.  First payment due July 1, 2020.</t>
    </r>
  </si>
  <si>
    <r>
      <t>·</t>
    </r>
    <r>
      <rPr>
        <sz val="7"/>
        <color theme="1"/>
        <rFont val="Times New Roman"/>
        <family val="1"/>
      </rPr>
      <t xml:space="preserve">         </t>
    </r>
    <r>
      <rPr>
        <sz val="11"/>
        <color theme="1"/>
        <rFont val="Calibri"/>
        <family val="2"/>
        <scheme val="minor"/>
      </rPr>
      <t>Total due from lessee at inception is $357,000 ($360,000 less $3,000 the last month's payment received at inception).</t>
    </r>
  </si>
  <si>
    <r>
      <t>·</t>
    </r>
    <r>
      <rPr>
        <sz val="7"/>
        <color theme="1"/>
        <rFont val="Times New Roman"/>
        <family val="1"/>
      </rPr>
      <t xml:space="preserve">         </t>
    </r>
    <r>
      <rPr>
        <sz val="11"/>
        <color theme="1"/>
        <rFont val="Calibri"/>
        <family val="2"/>
        <scheme val="minor"/>
      </rPr>
      <t>The interest rate assumed to be charged by the government is 2.5%, its estimated return on its investments.</t>
    </r>
  </si>
  <si>
    <r>
      <t>·</t>
    </r>
    <r>
      <rPr>
        <sz val="7"/>
        <color theme="1"/>
        <rFont val="Times New Roman"/>
        <family val="1"/>
      </rPr>
      <t xml:space="preserve">         </t>
    </r>
    <r>
      <rPr>
        <sz val="11"/>
        <color theme="1"/>
        <rFont val="Calibri"/>
        <family val="2"/>
        <scheme val="minor"/>
      </rPr>
      <t>The government continues to report the entire building as a capital asset and continues to depreciate the building on a straight-line basis.</t>
    </r>
  </si>
  <si>
    <t>To record the last month's rent received prior to beginning of lease term.</t>
  </si>
  <si>
    <t>To record the inception of the lease on 7/1/2020.</t>
  </si>
  <si>
    <t>To record depreciation expense for the building for the current fiscal year.</t>
  </si>
  <si>
    <t>To record payment for transportation costs and other expenditures to make equipment ready for use.</t>
  </si>
  <si>
    <t>Replace other financing sources with permanent account – lease liability.</t>
  </si>
  <si>
    <t>Eliminate temporary accounts – principal repayment.</t>
  </si>
  <si>
    <r>
      <t xml:space="preserve">To record debt service payments for the fiscal year.  </t>
    </r>
    <r>
      <rPr>
        <b/>
        <i/>
        <sz val="11"/>
        <color theme="1"/>
        <rFont val="Calibri"/>
        <family val="2"/>
        <scheme val="minor"/>
      </rPr>
      <t>The numbers come from tab "2. Lease Liability Schedules."</t>
    </r>
  </si>
  <si>
    <r>
      <t xml:space="preserve">Record amortization expense for the fiscal year.  </t>
    </r>
    <r>
      <rPr>
        <b/>
        <i/>
        <sz val="11"/>
        <color theme="1"/>
        <rFont val="Calibri"/>
        <family val="2"/>
        <scheme val="minor"/>
      </rPr>
      <t>The numbers come from tab "3. Lease Asset Amort Schedules."</t>
    </r>
  </si>
  <si>
    <t>Exps to get asset in place</t>
  </si>
  <si>
    <t>Debt service pmts</t>
  </si>
  <si>
    <t>Lease principal payments</t>
  </si>
  <si>
    <t>Total Gov't-Wide</t>
  </si>
  <si>
    <r>
      <t xml:space="preserve">To record lease payments received for the fiscal year.  </t>
    </r>
    <r>
      <rPr>
        <b/>
        <i/>
        <sz val="11"/>
        <color theme="1"/>
        <rFont val="Calibri"/>
        <family val="2"/>
        <scheme val="minor"/>
      </rPr>
      <t>The number comes from tab "5. Lease Receivable Schedules."</t>
    </r>
  </si>
  <si>
    <r>
      <t xml:space="preserve">GASB Statement No. 84, paragraph 44.a.  </t>
    </r>
    <r>
      <rPr>
        <b/>
        <i/>
        <sz val="11"/>
        <color theme="1"/>
        <rFont val="Calibri"/>
        <family val="2"/>
        <scheme val="minor"/>
      </rPr>
      <t>The number comes from tab "5. Lease Receivable Schedules."</t>
    </r>
  </si>
  <si>
    <r>
      <t xml:space="preserve">To recognize lease revenue for the fiscal year.  </t>
    </r>
    <r>
      <rPr>
        <b/>
        <i/>
        <sz val="11"/>
        <color theme="1"/>
        <rFont val="Calibri"/>
        <family val="2"/>
        <scheme val="minor"/>
      </rPr>
      <t>The number comes from tab "6. Def Inflow Amort Schedules."</t>
    </r>
  </si>
  <si>
    <t>Lease Resource</t>
  </si>
  <si>
    <t>GASB 87 Lease Adjustment - Government as a Lessee</t>
  </si>
  <si>
    <t>GASB 87 Lease Adjustment</t>
  </si>
  <si>
    <t>Lease Liability Payment Calculations</t>
  </si>
  <si>
    <t>GASB 87 Lease Adjustment - Government as a Lessor</t>
  </si>
  <si>
    <t>Lease Receivable Receipt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</si>
</sst>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0.0%"/>
    <numFmt numFmtId="168" formatCode="[$-409]mmmm\,\ yyyy"/>
    <numFmt numFmtId="169" formatCode="0.00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i/>
      <u/>
      <sz val="11"/>
      <color theme="1"/>
      <name val="Calibri"/>
      <family val="2"/>
      <scheme val="minor"/>
    </font>
    <font>
      <b/>
      <i/>
      <sz val="11"/>
      <color theme="1"/>
      <name val="Calibri"/>
      <family val="2"/>
      <scheme val="minor"/>
    </font>
    <font>
      <b/>
      <u/>
      <sz val="11"/>
      <color theme="1"/>
      <name val="Calibri"/>
      <family val="2"/>
      <scheme val="minor"/>
    </font>
    <font>
      <b/>
      <sz val="11"/>
      <color theme="0"/>
      <name val="Calibri"/>
      <family val="2"/>
      <scheme val="minor"/>
    </font>
    <font>
      <sz val="11"/>
      <color theme="0"/>
      <name val="Calibri"/>
      <family val="2"/>
      <scheme val="minor"/>
    </font>
    <font>
      <b/>
      <u/>
      <sz val="11"/>
      <color theme="0"/>
      <name val="Calibri"/>
      <family val="2"/>
      <scheme val="minor"/>
    </font>
    <font>
      <b/>
      <u val="singleAccounting"/>
      <sz val="11"/>
      <color theme="1"/>
      <name val="Calibri"/>
      <family val="2"/>
      <scheme val="minor"/>
    </font>
    <font>
      <sz val="11"/>
      <color theme="1"/>
      <name val="Symbol"/>
      <family val="1"/>
      <charset val="2"/>
    </font>
    <font>
      <sz val="7"/>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64" fontId="0" fillId="0" borderId="0" xfId="1" applyNumberFormat="1" applyFont="1"/>
    <xf numFmtId="166" fontId="0" fillId="0" borderId="0" xfId="3" applyNumberFormat="1" applyFont="1"/>
    <xf numFmtId="8" fontId="0" fillId="0" borderId="0" xfId="0" applyNumberFormat="1"/>
    <xf numFmtId="0" fontId="2" fillId="0" borderId="0" xfId="0" applyFont="1"/>
    <xf numFmtId="0" fontId="0" fillId="0" borderId="0" xfId="0" applyAlignment="1">
      <alignment wrapText="1"/>
    </xf>
    <xf numFmtId="43" fontId="0" fillId="0" borderId="0" xfId="0" applyNumberFormat="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0" xfId="0" applyBorder="1" applyAlignment="1">
      <alignment horizontal="center"/>
    </xf>
    <xf numFmtId="0" fontId="0" fillId="0" borderId="7" xfId="0" applyBorder="1"/>
    <xf numFmtId="0" fontId="0" fillId="0" borderId="8" xfId="0" applyBorder="1"/>
    <xf numFmtId="0" fontId="2" fillId="0" borderId="0" xfId="0" applyFont="1" applyAlignment="1">
      <alignment horizontal="right" indent="2"/>
    </xf>
    <xf numFmtId="0" fontId="2" fillId="0" borderId="3" xfId="0" applyFont="1" applyBorder="1"/>
    <xf numFmtId="8" fontId="3" fillId="0" borderId="0" xfId="2" quotePrefix="1" applyNumberFormat="1" applyFont="1" applyBorder="1"/>
    <xf numFmtId="0" fontId="2" fillId="0" borderId="8"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3" fillId="0" borderId="0" xfId="0" applyFont="1"/>
    <xf numFmtId="0" fontId="5" fillId="0" borderId="0" xfId="0" applyFont="1"/>
    <xf numFmtId="0" fontId="6" fillId="0" borderId="0" xfId="0" applyFont="1"/>
    <xf numFmtId="41" fontId="0" fillId="0" borderId="0" xfId="0" applyNumberFormat="1" applyBorder="1"/>
    <xf numFmtId="41" fontId="0" fillId="0" borderId="6" xfId="0" applyNumberFormat="1" applyBorder="1"/>
    <xf numFmtId="41" fontId="0" fillId="2" borderId="6" xfId="0" applyNumberFormat="1" applyFill="1" applyBorder="1"/>
    <xf numFmtId="41" fontId="2" fillId="0" borderId="8" xfId="0" applyNumberFormat="1" applyFont="1" applyBorder="1"/>
    <xf numFmtId="42" fontId="0" fillId="0" borderId="0" xfId="0" applyNumberFormat="1" applyBorder="1"/>
    <xf numFmtId="42" fontId="0" fillId="0" borderId="6" xfId="0" applyNumberFormat="1" applyBorder="1"/>
    <xf numFmtId="42" fontId="0" fillId="0" borderId="0" xfId="2" applyNumberFormat="1" applyFont="1" applyBorder="1"/>
    <xf numFmtId="42" fontId="0" fillId="0" borderId="6" xfId="2" applyNumberFormat="1" applyFont="1" applyBorder="1"/>
    <xf numFmtId="42" fontId="2" fillId="0" borderId="8" xfId="0" applyNumberFormat="1" applyFont="1" applyBorder="1"/>
    <xf numFmtId="0" fontId="0" fillId="0" borderId="0" xfId="0" applyAlignment="1">
      <alignment horizontal="left" indent="2"/>
    </xf>
    <xf numFmtId="0" fontId="0" fillId="0" borderId="0" xfId="0" applyAlignment="1">
      <alignment horizontal="left" wrapText="1" indent="2"/>
    </xf>
    <xf numFmtId="42" fontId="0" fillId="0" borderId="0" xfId="0" applyNumberFormat="1"/>
    <xf numFmtId="42" fontId="0" fillId="0" borderId="10" xfId="0" applyNumberFormat="1" applyBorder="1"/>
    <xf numFmtId="41" fontId="0" fillId="0" borderId="0" xfId="0" applyNumberFormat="1"/>
    <xf numFmtId="0" fontId="0" fillId="0" borderId="1" xfId="0" applyBorder="1" applyAlignment="1">
      <alignment horizontal="center" wrapText="1"/>
    </xf>
    <xf numFmtId="0" fontId="0" fillId="0" borderId="1" xfId="0" applyBorder="1"/>
    <xf numFmtId="41" fontId="0" fillId="0" borderId="1" xfId="0" applyNumberFormat="1" applyBorder="1"/>
    <xf numFmtId="0" fontId="0" fillId="0" borderId="0" xfId="0" applyAlignment="1">
      <alignment horizontal="right"/>
    </xf>
    <xf numFmtId="42" fontId="0" fillId="0" borderId="13" xfId="0" applyNumberFormat="1" applyBorder="1"/>
    <xf numFmtId="43" fontId="2" fillId="2" borderId="0" xfId="0" applyNumberFormat="1" applyFont="1" applyFill="1"/>
    <xf numFmtId="0" fontId="0" fillId="2" borderId="0" xfId="0" applyFill="1"/>
    <xf numFmtId="0" fontId="4" fillId="2" borderId="0" xfId="0" applyFont="1" applyFill="1" applyBorder="1" applyAlignment="1">
      <alignment horizontal="center"/>
    </xf>
    <xf numFmtId="164" fontId="2" fillId="2" borderId="0" xfId="0" applyNumberFormat="1" applyFont="1" applyFill="1"/>
    <xf numFmtId="42" fontId="2" fillId="0" borderId="12" xfId="0" applyNumberFormat="1" applyFont="1" applyBorder="1"/>
    <xf numFmtId="42" fontId="0" fillId="0" borderId="11" xfId="0" applyNumberFormat="1" applyBorder="1"/>
    <xf numFmtId="0" fontId="0" fillId="0" borderId="11" xfId="0" applyBorder="1"/>
    <xf numFmtId="0" fontId="0" fillId="0" borderId="13" xfId="0" applyBorder="1"/>
    <xf numFmtId="41" fontId="0" fillId="0" borderId="6" xfId="2" applyNumberFormat="1" applyFont="1" applyBorder="1"/>
    <xf numFmtId="0" fontId="7" fillId="0" borderId="0" xfId="0" applyFont="1"/>
    <xf numFmtId="42" fontId="3" fillId="0" borderId="0" xfId="0" applyNumberFormat="1" applyFont="1"/>
    <xf numFmtId="42" fontId="2" fillId="2" borderId="9" xfId="0" applyNumberFormat="1" applyFont="1" applyFill="1" applyBorder="1"/>
    <xf numFmtId="42" fontId="2" fillId="2" borderId="8" xfId="0" applyNumberFormat="1" applyFont="1" applyFill="1" applyBorder="1"/>
    <xf numFmtId="43" fontId="0" fillId="0" borderId="0" xfId="1" applyFont="1"/>
    <xf numFmtId="42" fontId="2" fillId="0" borderId="9" xfId="0" applyNumberFormat="1" applyFont="1" applyBorder="1"/>
    <xf numFmtId="42" fontId="0" fillId="0" borderId="8" xfId="0" applyNumberFormat="1" applyBorder="1"/>
    <xf numFmtId="0" fontId="0" fillId="0" borderId="9" xfId="0" applyBorder="1"/>
    <xf numFmtId="6" fontId="0" fillId="0" borderId="0" xfId="2" applyNumberFormat="1" applyFont="1"/>
    <xf numFmtId="41" fontId="0" fillId="2" borderId="0" xfId="0" applyNumberFormat="1" applyFill="1" applyBorder="1"/>
    <xf numFmtId="0" fontId="0" fillId="0" borderId="1" xfId="0" applyBorder="1" applyAlignment="1">
      <alignment horizontal="right"/>
    </xf>
    <xf numFmtId="0" fontId="3" fillId="2" borderId="0" xfId="0" applyFont="1" applyFill="1"/>
    <xf numFmtId="6" fontId="0" fillId="0" borderId="0" xfId="0" applyNumberFormat="1"/>
    <xf numFmtId="41" fontId="0" fillId="0" borderId="0" xfId="2" applyNumberFormat="1" applyFont="1" applyBorder="1"/>
    <xf numFmtId="41" fontId="2" fillId="2" borderId="0" xfId="2" applyNumberFormat="1" applyFont="1" applyFill="1" applyBorder="1"/>
    <xf numFmtId="41" fontId="3" fillId="0" borderId="0" xfId="0" applyNumberFormat="1" applyFont="1" applyBorder="1"/>
    <xf numFmtId="0" fontId="6" fillId="0" borderId="0" xfId="0" applyFont="1" applyAlignment="1">
      <alignment horizontal="right"/>
    </xf>
    <xf numFmtId="0" fontId="2" fillId="0" borderId="1" xfId="0" applyNumberFormat="1" applyFont="1" applyBorder="1" applyAlignment="1">
      <alignment horizontal="center"/>
    </xf>
    <xf numFmtId="0" fontId="2" fillId="0" borderId="1" xfId="0" applyFont="1" applyBorder="1" applyAlignment="1">
      <alignment horizontal="center"/>
    </xf>
    <xf numFmtId="0" fontId="0" fillId="0" borderId="3" xfId="0" applyFill="1" applyBorder="1"/>
    <xf numFmtId="42" fontId="0" fillId="0" borderId="3" xfId="3" applyNumberFormat="1" applyFont="1" applyFill="1" applyBorder="1"/>
    <xf numFmtId="0" fontId="0" fillId="0" borderId="0" xfId="0" applyFill="1" applyBorder="1"/>
    <xf numFmtId="165" fontId="0" fillId="0" borderId="0" xfId="2" applyNumberFormat="1" applyFont="1" applyFill="1" applyBorder="1"/>
    <xf numFmtId="0" fontId="0" fillId="0" borderId="0" xfId="0" applyNumberFormat="1" applyBorder="1"/>
    <xf numFmtId="168" fontId="0" fillId="0" borderId="0" xfId="0" applyNumberFormat="1" applyBorder="1" applyAlignment="1">
      <alignment horizontal="center"/>
    </xf>
    <xf numFmtId="42" fontId="0" fillId="2" borderId="0" xfId="0" applyNumberFormat="1" applyFill="1"/>
    <xf numFmtId="8" fontId="0" fillId="0" borderId="0" xfId="2" applyNumberFormat="1" applyFont="1" applyBorder="1"/>
    <xf numFmtId="0" fontId="2" fillId="0" borderId="0" xfId="0" applyNumberFormat="1" applyFont="1" applyAlignment="1">
      <alignment horizontal="right" indent="2"/>
    </xf>
    <xf numFmtId="0" fontId="0" fillId="2" borderId="0" xfId="0" applyFill="1" applyBorder="1" applyAlignment="1">
      <alignment horizontal="center"/>
    </xf>
    <xf numFmtId="0" fontId="0" fillId="0" borderId="0" xfId="0" applyAlignment="1">
      <alignment horizontal="center"/>
    </xf>
    <xf numFmtId="165" fontId="0" fillId="2" borderId="0" xfId="2" applyNumberFormat="1" applyFont="1" applyFill="1"/>
    <xf numFmtId="164" fontId="0" fillId="2" borderId="0" xfId="1" applyNumberFormat="1" applyFont="1" applyFill="1"/>
    <xf numFmtId="167" fontId="0" fillId="2" borderId="0" xfId="3" applyNumberFormat="1" applyFont="1" applyFill="1"/>
    <xf numFmtId="0" fontId="0" fillId="0" borderId="5" xfId="0" applyBorder="1" applyAlignment="1">
      <alignment horizontal="center"/>
    </xf>
    <xf numFmtId="0" fontId="4" fillId="0" borderId="5" xfId="0" applyFont="1" applyBorder="1" applyAlignment="1">
      <alignment horizontal="center"/>
    </xf>
    <xf numFmtId="14" fontId="0" fillId="2" borderId="0" xfId="0" applyNumberFormat="1" applyFill="1"/>
    <xf numFmtId="10" fontId="0" fillId="2" borderId="0" xfId="3" applyNumberFormat="1" applyFont="1" applyFill="1"/>
    <xf numFmtId="169" fontId="0" fillId="0" borderId="0" xfId="3" applyNumberFormat="1" applyFont="1" applyFill="1"/>
    <xf numFmtId="0" fontId="2" fillId="0" borderId="0" xfId="0" applyFont="1" applyFill="1"/>
    <xf numFmtId="6" fontId="2" fillId="0" borderId="1" xfId="0" quotePrefix="1" applyNumberFormat="1" applyFont="1" applyFill="1" applyBorder="1"/>
    <xf numFmtId="0" fontId="2" fillId="0" borderId="3" xfId="0" applyFont="1" applyBorder="1" applyAlignment="1">
      <alignment horizontal="center"/>
    </xf>
    <xf numFmtId="0" fontId="2" fillId="0" borderId="1" xfId="0" applyFont="1" applyFill="1" applyBorder="1" applyAlignment="1">
      <alignment horizontal="center" wrapText="1"/>
    </xf>
    <xf numFmtId="41" fontId="2" fillId="0" borderId="1" xfId="0" applyNumberFormat="1" applyFont="1" applyFill="1" applyBorder="1"/>
    <xf numFmtId="0" fontId="0" fillId="0" borderId="1" xfId="0" applyFill="1" applyBorder="1" applyAlignment="1">
      <alignment horizontal="center" wrapText="1"/>
    </xf>
    <xf numFmtId="41" fontId="0" fillId="0" borderId="1" xfId="0" applyNumberFormat="1" applyFill="1" applyBorder="1"/>
    <xf numFmtId="164" fontId="0" fillId="2" borderId="0" xfId="1" applyNumberFormat="1" applyFont="1" applyFill="1" applyBorder="1"/>
    <xf numFmtId="0" fontId="0" fillId="2" borderId="0" xfId="2" applyNumberFormat="1" applyFont="1" applyFill="1" applyBorder="1"/>
    <xf numFmtId="42" fontId="0" fillId="0" borderId="0" xfId="0" applyNumberFormat="1" applyFill="1"/>
    <xf numFmtId="0" fontId="0" fillId="0" borderId="0" xfId="0" applyFill="1"/>
    <xf numFmtId="42" fontId="2" fillId="0" borderId="1" xfId="0" quotePrefix="1" applyNumberFormat="1" applyFont="1" applyFill="1" applyBorder="1"/>
    <xf numFmtId="42" fontId="2" fillId="0" borderId="0" xfId="0" quotePrefix="1" applyNumberFormat="1" applyFont="1"/>
    <xf numFmtId="41" fontId="0" fillId="2" borderId="0" xfId="2" applyNumberFormat="1" applyFont="1" applyFill="1" applyBorder="1"/>
    <xf numFmtId="6" fontId="2" fillId="0" borderId="0" xfId="0" quotePrefix="1" applyNumberFormat="1" applyFont="1" applyFill="1" applyBorder="1"/>
    <xf numFmtId="6" fontId="2" fillId="0" borderId="14" xfId="0" quotePrefix="1" applyNumberFormat="1" applyFont="1" applyFill="1" applyBorder="1"/>
    <xf numFmtId="42" fontId="0" fillId="2" borderId="0" xfId="2" applyNumberFormat="1" applyFont="1" applyFill="1"/>
    <xf numFmtId="0" fontId="5" fillId="0" borderId="0" xfId="0" applyFont="1" applyAlignment="1">
      <alignment horizontal="right"/>
    </xf>
    <xf numFmtId="0" fontId="3" fillId="0" borderId="0" xfId="0" applyFont="1" applyAlignment="1">
      <alignment horizontal="right"/>
    </xf>
    <xf numFmtId="0" fontId="0" fillId="0" borderId="8" xfId="0" applyBorder="1" applyAlignment="1">
      <alignment horizontal="center"/>
    </xf>
    <xf numFmtId="42" fontId="2" fillId="0" borderId="0" xfId="2" applyNumberFormat="1" applyFont="1" applyBorder="1"/>
    <xf numFmtId="42" fontId="2" fillId="0" borderId="6" xfId="2" applyNumberFormat="1" applyFont="1" applyFill="1" applyBorder="1"/>
    <xf numFmtId="41" fontId="0" fillId="0" borderId="6" xfId="0" applyNumberFormat="1" applyFill="1" applyBorder="1"/>
    <xf numFmtId="0" fontId="8" fillId="3" borderId="12" xfId="0" quotePrefix="1" applyFont="1" applyFill="1" applyBorder="1" applyAlignment="1">
      <alignment horizontal="centerContinuous"/>
    </xf>
    <xf numFmtId="0" fontId="9" fillId="3" borderId="13" xfId="0" applyFont="1" applyFill="1" applyBorder="1" applyAlignment="1">
      <alignment horizontal="centerContinuous"/>
    </xf>
    <xf numFmtId="42" fontId="2" fillId="0" borderId="0" xfId="0" applyNumberFormat="1" applyFont="1" applyFill="1"/>
    <xf numFmtId="43" fontId="2" fillId="0" borderId="0" xfId="0" applyNumberFormat="1" applyFont="1" applyFill="1" applyAlignment="1">
      <alignment horizontal="centerContinuous"/>
    </xf>
    <xf numFmtId="0" fontId="0" fillId="0" borderId="0" xfId="0" applyFill="1" applyAlignment="1">
      <alignment horizontal="centerContinuous"/>
    </xf>
    <xf numFmtId="0" fontId="7" fillId="0" borderId="0" xfId="0" applyFont="1" applyFill="1" applyBorder="1" applyAlignment="1">
      <alignment horizontal="center"/>
    </xf>
    <xf numFmtId="0" fontId="8" fillId="3" borderId="0" xfId="0" applyFont="1" applyFill="1"/>
    <xf numFmtId="0" fontId="9" fillId="3" borderId="0" xfId="0" applyFont="1" applyFill="1" applyAlignment="1">
      <alignment horizontal="center"/>
    </xf>
    <xf numFmtId="42" fontId="9" fillId="3" borderId="0" xfId="0" applyNumberFormat="1" applyFont="1" applyFill="1"/>
    <xf numFmtId="41" fontId="9" fillId="3" borderId="0" xfId="0" applyNumberFormat="1" applyFont="1" applyFill="1"/>
    <xf numFmtId="42" fontId="9" fillId="3" borderId="11" xfId="0" applyNumberFormat="1" applyFont="1" applyFill="1" applyBorder="1"/>
    <xf numFmtId="0" fontId="10" fillId="3" borderId="0" xfId="0" applyFont="1" applyFill="1" applyBorder="1" applyAlignment="1">
      <alignment horizontal="center"/>
    </xf>
    <xf numFmtId="0" fontId="10" fillId="3" borderId="0" xfId="0" applyFont="1" applyFill="1"/>
    <xf numFmtId="42" fontId="11" fillId="0" borderId="0" xfId="0" applyNumberFormat="1" applyFont="1" applyAlignment="1">
      <alignment horizontal="center"/>
    </xf>
    <xf numFmtId="0" fontId="0" fillId="0" borderId="0" xfId="0" applyBorder="1" applyAlignment="1">
      <alignment horizontal="left"/>
    </xf>
    <xf numFmtId="0" fontId="0" fillId="0" borderId="0" xfId="0" applyBorder="1" applyAlignment="1">
      <alignment horizontal="left" indent="2"/>
    </xf>
    <xf numFmtId="0" fontId="0" fillId="0" borderId="0" xfId="0" quotePrefix="1" applyAlignment="1">
      <alignment horizontal="center"/>
    </xf>
    <xf numFmtId="0" fontId="3" fillId="0" borderId="0" xfId="0" applyFont="1" applyBorder="1"/>
    <xf numFmtId="0" fontId="2" fillId="0" borderId="0" xfId="0" applyFont="1" applyBorder="1" applyAlignment="1">
      <alignment horizontal="center"/>
    </xf>
    <xf numFmtId="0" fontId="3" fillId="0" borderId="0" xfId="0" applyFont="1" applyFill="1" applyBorder="1"/>
    <xf numFmtId="0" fontId="2" fillId="0" borderId="0" xfId="0" applyFont="1" applyAlignment="1">
      <alignment horizontal="center"/>
    </xf>
    <xf numFmtId="0" fontId="0" fillId="0" borderId="0" xfId="0" applyBorder="1" applyAlignment="1">
      <alignment horizontal="left" wrapText="1" indent="2"/>
    </xf>
    <xf numFmtId="0" fontId="0" fillId="0" borderId="16" xfId="0" applyBorder="1"/>
    <xf numFmtId="0" fontId="0" fillId="0" borderId="17" xfId="0" applyBorder="1"/>
    <xf numFmtId="0" fontId="0" fillId="0" borderId="19" xfId="0" applyBorder="1"/>
    <xf numFmtId="0" fontId="0" fillId="0" borderId="20" xfId="0" applyBorder="1"/>
    <xf numFmtId="0" fontId="0" fillId="0" borderId="21" xfId="0" applyBorder="1"/>
    <xf numFmtId="0" fontId="0" fillId="0" borderId="22" xfId="0" applyBorder="1"/>
    <xf numFmtId="0" fontId="12" fillId="0" borderId="15" xfId="0" applyFont="1" applyBorder="1" applyAlignment="1">
      <alignment horizontal="left" vertical="center"/>
    </xf>
    <xf numFmtId="0" fontId="12" fillId="0" borderId="18" xfId="0" applyFont="1" applyBorder="1" applyAlignment="1">
      <alignment horizontal="left" vertical="center"/>
    </xf>
    <xf numFmtId="165" fontId="0" fillId="0" borderId="0" xfId="2" applyNumberFormat="1" applyFont="1" applyBorder="1"/>
    <xf numFmtId="164" fontId="0" fillId="0" borderId="0" xfId="1" applyNumberFormat="1" applyFont="1" applyBorder="1"/>
    <xf numFmtId="0" fontId="0" fillId="0" borderId="18" xfId="0" applyBorder="1" applyAlignment="1">
      <alignment horizontal="left" indent="6"/>
    </xf>
    <xf numFmtId="0" fontId="0" fillId="0" borderId="0" xfId="0" applyBorder="1" applyAlignment="1">
      <alignment horizontal="left" indent="6"/>
    </xf>
    <xf numFmtId="0" fontId="12" fillId="0" borderId="20" xfId="0" applyFont="1" applyBorder="1" applyAlignment="1">
      <alignment horizontal="left" vertical="center" wrapText="1"/>
    </xf>
    <xf numFmtId="0" fontId="0" fillId="0" borderId="21" xfId="0" applyBorder="1" applyAlignment="1">
      <alignment wrapText="1"/>
    </xf>
    <xf numFmtId="0" fontId="0" fillId="0" borderId="22" xfId="0" applyBorder="1" applyAlignment="1">
      <alignment wrapText="1"/>
    </xf>
    <xf numFmtId="0" fontId="12" fillId="0" borderId="15" xfId="0" applyFont="1" applyBorder="1" applyAlignment="1">
      <alignment horizontal="left" vertical="center" wrapText="1"/>
    </xf>
    <xf numFmtId="0" fontId="0" fillId="0" borderId="16" xfId="0" applyBorder="1" applyAlignment="1">
      <alignment wrapText="1"/>
    </xf>
    <xf numFmtId="0" fontId="0" fillId="0" borderId="17" xfId="0" applyBorder="1" applyAlignment="1">
      <alignment wrapText="1"/>
    </xf>
    <xf numFmtId="0" fontId="12" fillId="0" borderId="18" xfId="0" applyFont="1" applyBorder="1" applyAlignment="1">
      <alignment horizontal="left" vertical="center" wrapText="1"/>
    </xf>
    <xf numFmtId="0" fontId="0" fillId="0" borderId="0" xfId="0" applyBorder="1" applyAlignment="1">
      <alignment wrapText="1"/>
    </xf>
    <xf numFmtId="0" fontId="0" fillId="0" borderId="19" xfId="0" applyBorder="1" applyAlignment="1">
      <alignmen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gfoa.org/accounting-lease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476250</xdr:colOff>
      <xdr:row>1</xdr:row>
      <xdr:rowOff>95249</xdr:rowOff>
    </xdr:from>
    <xdr:to>
      <xdr:col>14</xdr:col>
      <xdr:colOff>352425</xdr:colOff>
      <xdr:row>27</xdr:row>
      <xdr:rowOff>0</xdr:rowOff>
    </xdr:to>
    <xdr:sp macro="" textlink="">
      <xdr:nvSpPr>
        <xdr:cNvPr id="2" name="TextBox 1">
          <a:hlinkClick xmlns:r="http://schemas.openxmlformats.org/officeDocument/2006/relationships" r:id="rId1" tooltip="GFOA Advisory Accounting for Leases"/>
          <a:extLst>
            <a:ext uri="{FF2B5EF4-FFF2-40B4-BE49-F238E27FC236}">
              <a16:creationId xmlns:a16="http://schemas.microsoft.com/office/drawing/2014/main" id="{00000000-0008-0000-0000-000002000000}"/>
            </a:ext>
          </a:extLst>
        </xdr:cNvPr>
        <xdr:cNvSpPr txBox="1"/>
      </xdr:nvSpPr>
      <xdr:spPr>
        <a:xfrm>
          <a:off x="476250" y="285749"/>
          <a:ext cx="8410575" cy="4857751"/>
        </a:xfrm>
        <a:prstGeom prst="rect">
          <a:avLst/>
        </a:prstGeom>
        <a:solidFill>
          <a:srgbClr val="FFFF00"/>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GASB Statement Number 87, Leases, is effective for fiscal years beginning after December 15, 2019.  GASB 87 eliminates </a:t>
          </a:r>
          <a:r>
            <a:rPr lang="en-US" sz="1100" i="1">
              <a:solidFill>
                <a:schemeClr val="dk1"/>
              </a:solidFill>
              <a:effectLst/>
              <a:latin typeface="+mn-lt"/>
              <a:ea typeface="+mn-ea"/>
              <a:cs typeface="+mn-cs"/>
            </a:rPr>
            <a:t>operating leases</a:t>
          </a:r>
          <a:r>
            <a:rPr lang="en-US" sz="1100">
              <a:solidFill>
                <a:schemeClr val="dk1"/>
              </a:solidFill>
              <a:effectLst/>
              <a:latin typeface="+mn-lt"/>
              <a:ea typeface="+mn-ea"/>
              <a:cs typeface="+mn-cs"/>
            </a:rPr>
            <a:t>, all contracts that meet the definition of lease are to be accounted for as assets and liabilities by lessees, similar in some ways to </a:t>
          </a:r>
          <a:r>
            <a:rPr lang="en-US" sz="1100" i="1">
              <a:solidFill>
                <a:schemeClr val="dk1"/>
              </a:solidFill>
              <a:effectLst/>
              <a:latin typeface="+mn-lt"/>
              <a:ea typeface="+mn-ea"/>
              <a:cs typeface="+mn-cs"/>
            </a:rPr>
            <a:t>capital leases</a:t>
          </a:r>
          <a:r>
            <a:rPr lang="en-US" sz="1100">
              <a:solidFill>
                <a:schemeClr val="dk1"/>
              </a:solidFill>
              <a:effectLst/>
              <a:latin typeface="+mn-lt"/>
              <a:ea typeface="+mn-ea"/>
              <a:cs typeface="+mn-cs"/>
            </a:rPr>
            <a:t>.   Governments need to evaluate contracts in which the government pays another entity to use an asset (government as a lessee) or another entity pays the government to use the government’s asset (government as a lessor) to determine if those contracts meet the definition of a GASB 87 lease.  GFOA has prepared an </a:t>
          </a:r>
          <a:r>
            <a:rPr lang="en-US" sz="1100" u="sng">
              <a:solidFill>
                <a:schemeClr val="dk1"/>
              </a:solidFill>
              <a:effectLst/>
              <a:latin typeface="+mn-lt"/>
              <a:ea typeface="+mn-ea"/>
              <a:cs typeface="+mn-cs"/>
              <a:hlinkClick xmlns:r="http://schemas.openxmlformats.org/officeDocument/2006/relationships" r:id=""/>
            </a:rPr>
            <a:t>advisory</a:t>
          </a:r>
          <a:r>
            <a:rPr lang="en-US" sz="1100">
              <a:solidFill>
                <a:schemeClr val="dk1"/>
              </a:solidFill>
              <a:effectLst/>
              <a:latin typeface="+mn-lt"/>
              <a:ea typeface="+mn-ea"/>
              <a:cs typeface="+mn-cs"/>
            </a:rPr>
            <a:t> to help governments prepare for the implementation of GASB 87.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governments that are a lessee or lessor in accordance with GASB 87, there are journal entries that have to be made when the lease begins and throughout the lease term.  GFOA has prepared an example of the entries needed from both the lessee and lessor perspective.  In order to prepare the journal entries, present value calculations of the lease payments are required to made (lessees and lessors), lease repayment schedules need to be prepared (lessees and lessors), and amortization schedules of the intangible right-to-use asset (lessees) and the deferred inflows of resources (lessors) need to be prepared.  This tool provides the calculations needed to prepare the necessary entries for the government as a lessee and as a lessor at the beginning of the lease term and throughout the life of the lease.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This tool is an example of a government entering into one lease, it does not include adjustments for lease modifications, full or partial terminations or other situations that could affect the amounts reported for leases that are described in GASB 87.  The intent of this tool is to 1) demonstrate how governments can perform the basic calculations needed for applying the lease standard with existing technology and 2) understand the data that is being produced.  Of course, governments will have to adjust the appropriate tabs based on their own facts and circumstances.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tabs numbered 1. through 3. contain the example of accounting for a lease when a government is a lessee, and tabs numbered 4. through 6. are the example with the government as a lessor.  The cells that are highlighted yellow are the variables that were used in the lessee and lessor examples, which were based on the assumptions used.  The other cells in the spreadsheet are the results of calculations.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Tabs 1. and 4. are summary tabs for the government as a lessee and lessor, respectively.  These tabs include the journal entries needed to record the lease transactions for both the general fund (or any governmental fund) and the government-wide adjustments.  The journal entries are presented in column format and the traditional T-account format.</a:t>
          </a:r>
        </a:p>
      </xdr:txBody>
    </xdr:sp>
    <xdr:clientData/>
  </xdr:twoCellAnchor>
  <xdr:twoCellAnchor>
    <xdr:from>
      <xdr:col>0</xdr:col>
      <xdr:colOff>495300</xdr:colOff>
      <xdr:row>30</xdr:row>
      <xdr:rowOff>9525</xdr:rowOff>
    </xdr:from>
    <xdr:to>
      <xdr:col>14</xdr:col>
      <xdr:colOff>523875</xdr:colOff>
      <xdr:row>35</xdr:row>
      <xdr:rowOff>114300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95300" y="5724525"/>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79</xdr:row>
      <xdr:rowOff>0</xdr:rowOff>
    </xdr:from>
    <xdr:to>
      <xdr:col>8</xdr:col>
      <xdr:colOff>681037</xdr:colOff>
      <xdr:row>84</xdr:row>
      <xdr:rowOff>104775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45281" y="16287750"/>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899584</xdr:colOff>
      <xdr:row>14</xdr:row>
      <xdr:rowOff>169333</xdr:rowOff>
    </xdr:from>
    <xdr:to>
      <xdr:col>9</xdr:col>
      <xdr:colOff>391583</xdr:colOff>
      <xdr:row>24</xdr:row>
      <xdr:rowOff>31750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H="1">
          <a:off x="3873501" y="3090333"/>
          <a:ext cx="5693832" cy="252941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465665</xdr:colOff>
      <xdr:row>20</xdr:row>
      <xdr:rowOff>560916</xdr:rowOff>
    </xdr:from>
    <xdr:to>
      <xdr:col>15</xdr:col>
      <xdr:colOff>373336</xdr:colOff>
      <xdr:row>36</xdr:row>
      <xdr:rowOff>137584</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8678332" y="4370916"/>
          <a:ext cx="5993087" cy="340783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878417</xdr:colOff>
      <xdr:row>24</xdr:row>
      <xdr:rowOff>137583</xdr:rowOff>
    </xdr:from>
    <xdr:to>
      <xdr:col>9</xdr:col>
      <xdr:colOff>31750</xdr:colOff>
      <xdr:row>26</xdr:row>
      <xdr:rowOff>137585</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flipH="1">
          <a:off x="3852334" y="5471583"/>
          <a:ext cx="5175249" cy="381002"/>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349250</xdr:colOff>
      <xdr:row>29</xdr:row>
      <xdr:rowOff>10584</xdr:rowOff>
    </xdr:from>
    <xdr:to>
      <xdr:col>5</xdr:col>
      <xdr:colOff>63500</xdr:colOff>
      <xdr:row>42</xdr:row>
      <xdr:rowOff>21166</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a:xfrm rot="16200000" flipH="1">
          <a:off x="3296709" y="6334125"/>
          <a:ext cx="2497666" cy="2444750"/>
        </a:xfrm>
        <a:prstGeom prst="curvedConnector3">
          <a:avLst>
            <a:gd name="adj1" fmla="val 55932"/>
          </a:avLst>
        </a:prstGeom>
        <a:ln w="2222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867834</xdr:colOff>
      <xdr:row>41</xdr:row>
      <xdr:rowOff>52917</xdr:rowOff>
    </xdr:from>
    <xdr:to>
      <xdr:col>8</xdr:col>
      <xdr:colOff>31751</xdr:colOff>
      <xdr:row>44</xdr:row>
      <xdr:rowOff>116416</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flipH="1">
          <a:off x="4751917" y="8646584"/>
          <a:ext cx="3492501" cy="634999"/>
        </a:xfrm>
        <a:prstGeom prst="straightConnector1">
          <a:avLst/>
        </a:prstGeom>
        <a:ln w="15875" cmpd="sng">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899583</xdr:colOff>
      <xdr:row>43</xdr:row>
      <xdr:rowOff>137584</xdr:rowOff>
    </xdr:from>
    <xdr:to>
      <xdr:col>8</xdr:col>
      <xdr:colOff>95251</xdr:colOff>
      <xdr:row>44</xdr:row>
      <xdr:rowOff>148166</xdr:rowOff>
    </xdr:to>
    <xdr:cxnSp macro="">
      <xdr:nvCxnSpPr>
        <xdr:cNvPr id="21" name="Straight Arrow Connector 20">
          <a:extLst>
            <a:ext uri="{FF2B5EF4-FFF2-40B4-BE49-F238E27FC236}">
              <a16:creationId xmlns:a16="http://schemas.microsoft.com/office/drawing/2014/main" id="{00000000-0008-0000-0200-000015000000}"/>
            </a:ext>
          </a:extLst>
        </xdr:cNvPr>
        <xdr:cNvCxnSpPr/>
      </xdr:nvCxnSpPr>
      <xdr:spPr>
        <a:xfrm flipH="1">
          <a:off x="5693833" y="9112251"/>
          <a:ext cx="2614085" cy="201082"/>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910168</xdr:colOff>
      <xdr:row>107</xdr:row>
      <xdr:rowOff>95249</xdr:rowOff>
    </xdr:from>
    <xdr:to>
      <xdr:col>3</xdr:col>
      <xdr:colOff>275167</xdr:colOff>
      <xdr:row>112</xdr:row>
      <xdr:rowOff>0</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640418" y="27548416"/>
          <a:ext cx="2582332" cy="867834"/>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en-US" sz="1100" b="1">
              <a:solidFill>
                <a:schemeClr val="bg1"/>
              </a:solidFill>
            </a:rPr>
            <a:t>The final $3,000 payment represents</a:t>
          </a:r>
          <a:r>
            <a:rPr lang="en-US" sz="1100" b="1" baseline="0">
              <a:solidFill>
                <a:schemeClr val="bg1"/>
              </a:solidFill>
            </a:rPr>
            <a:t> the $1,000 payment due for the 60th month, plus the $2,000 purchase option due at the end of the lease term</a:t>
          </a:r>
          <a:endParaRPr lang="en-US" sz="1100" b="1">
            <a:solidFill>
              <a:schemeClr val="bg1"/>
            </a:solidFill>
          </a:endParaRPr>
        </a:p>
      </xdr:txBody>
    </xdr:sp>
    <xdr:clientData/>
  </xdr:twoCellAnchor>
  <xdr:twoCellAnchor>
    <xdr:from>
      <xdr:col>1</xdr:col>
      <xdr:colOff>1820333</xdr:colOff>
      <xdr:row>102</xdr:row>
      <xdr:rowOff>169333</xdr:rowOff>
    </xdr:from>
    <xdr:to>
      <xdr:col>2</xdr:col>
      <xdr:colOff>402166</xdr:colOff>
      <xdr:row>107</xdr:row>
      <xdr:rowOff>95250</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550583" y="26670000"/>
          <a:ext cx="889000" cy="8784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794809</xdr:colOff>
      <xdr:row>27</xdr:row>
      <xdr:rowOff>95251</xdr:rowOff>
    </xdr:from>
    <xdr:to>
      <xdr:col>7</xdr:col>
      <xdr:colOff>476251</xdr:colOff>
      <xdr:row>34</xdr:row>
      <xdr:rowOff>42333</xdr:rowOff>
    </xdr:to>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4678892" y="6000751"/>
          <a:ext cx="3226859" cy="1301749"/>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en-US" sz="1100" b="1"/>
            <a:t>The $1,000 contractual monthly payment is based on the</a:t>
          </a:r>
          <a:r>
            <a:rPr lang="en-US" sz="1100" b="1" baseline="0"/>
            <a:t> </a:t>
          </a:r>
          <a:r>
            <a:rPr lang="en-US" sz="1100" b="1"/>
            <a:t>present value of $60,000 due over the 60 months of the</a:t>
          </a:r>
          <a:r>
            <a:rPr lang="en-US" sz="1100" b="1" baseline="0"/>
            <a:t> lease.  Since the lessee government is also liable for the $2,000 purchase option due on the 60th month, the total lease liability to amortize at inception is $57,517.</a:t>
          </a:r>
          <a:endParaRPr lang="en-US" sz="1100" b="1"/>
        </a:p>
      </xdr:txBody>
    </xdr:sp>
    <xdr:clientData/>
  </xdr:twoCellAnchor>
  <xdr:twoCellAnchor>
    <xdr:from>
      <xdr:col>2</xdr:col>
      <xdr:colOff>772583</xdr:colOff>
      <xdr:row>29</xdr:row>
      <xdr:rowOff>63500</xdr:rowOff>
    </xdr:from>
    <xdr:to>
      <xdr:col>3</xdr:col>
      <xdr:colOff>730251</xdr:colOff>
      <xdr:row>31</xdr:row>
      <xdr:rowOff>95249</xdr:rowOff>
    </xdr:to>
    <xdr:cxnSp macro="">
      <xdr:nvCxnSpPr>
        <xdr:cNvPr id="20" name="Straight Arrow Connector 19">
          <a:extLst>
            <a:ext uri="{FF2B5EF4-FFF2-40B4-BE49-F238E27FC236}">
              <a16:creationId xmlns:a16="http://schemas.microsoft.com/office/drawing/2014/main" id="{00000000-0008-0000-0200-000014000000}"/>
            </a:ext>
          </a:extLst>
        </xdr:cNvPr>
        <xdr:cNvCxnSpPr/>
      </xdr:nvCxnSpPr>
      <xdr:spPr>
        <a:xfrm>
          <a:off x="3746500" y="6360583"/>
          <a:ext cx="867834" cy="423333"/>
        </a:xfrm>
        <a:prstGeom prst="straightConnector1">
          <a:avLst/>
        </a:prstGeom>
        <a:ln w="2222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63499</xdr:colOff>
      <xdr:row>5</xdr:row>
      <xdr:rowOff>21166</xdr:rowOff>
    </xdr:from>
    <xdr:to>
      <xdr:col>16</xdr:col>
      <xdr:colOff>300832</xdr:colOff>
      <xdr:row>20</xdr:row>
      <xdr:rowOff>306915</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9239249" y="973666"/>
          <a:ext cx="5973500" cy="3407833"/>
        </a:xfrm>
        <a:prstGeom prst="rect">
          <a:avLst/>
        </a:prstGeom>
      </xdr:spPr>
    </xdr:pic>
    <xdr:clientData/>
  </xdr:twoCellAnchor>
  <xdr:twoCellAnchor editAs="oneCell">
    <xdr:from>
      <xdr:col>16</xdr:col>
      <xdr:colOff>412751</xdr:colOff>
      <xdr:row>5</xdr:row>
      <xdr:rowOff>31750</xdr:rowOff>
    </xdr:from>
    <xdr:to>
      <xdr:col>26</xdr:col>
      <xdr:colOff>31752</xdr:colOff>
      <xdr:row>20</xdr:row>
      <xdr:rowOff>262439</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3"/>
        <a:stretch>
          <a:fillRect/>
        </a:stretch>
      </xdr:blipFill>
      <xdr:spPr>
        <a:xfrm>
          <a:off x="15324668" y="984250"/>
          <a:ext cx="5916084" cy="3352773"/>
        </a:xfrm>
        <a:prstGeom prst="rect">
          <a:avLst/>
        </a:prstGeom>
      </xdr:spPr>
    </xdr:pic>
    <xdr:clientData/>
  </xdr:twoCellAnchor>
  <xdr:twoCellAnchor editAs="oneCell">
    <xdr:from>
      <xdr:col>16</xdr:col>
      <xdr:colOff>21166</xdr:colOff>
      <xdr:row>20</xdr:row>
      <xdr:rowOff>529166</xdr:rowOff>
    </xdr:from>
    <xdr:to>
      <xdr:col>25</xdr:col>
      <xdr:colOff>442156</xdr:colOff>
      <xdr:row>36</xdr:row>
      <xdr:rowOff>158751</xdr:rowOff>
    </xdr:to>
    <xdr:pic>
      <xdr:nvPicPr>
        <xdr:cNvPr id="28" name="Picture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4"/>
        <a:stretch>
          <a:fillRect/>
        </a:stretch>
      </xdr:blipFill>
      <xdr:spPr>
        <a:xfrm>
          <a:off x="14933083" y="4339166"/>
          <a:ext cx="6104240" cy="3460751"/>
        </a:xfrm>
        <a:prstGeom prst="rect">
          <a:avLst/>
        </a:prstGeom>
      </xdr:spPr>
    </xdr:pic>
    <xdr:clientData/>
  </xdr:twoCellAnchor>
  <xdr:twoCellAnchor>
    <xdr:from>
      <xdr:col>1</xdr:col>
      <xdr:colOff>0</xdr:colOff>
      <xdr:row>114</xdr:row>
      <xdr:rowOff>0</xdr:rowOff>
    </xdr:from>
    <xdr:to>
      <xdr:col>9</xdr:col>
      <xdr:colOff>117475</xdr:colOff>
      <xdr:row>119</xdr:row>
      <xdr:rowOff>104775</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730250" y="22775333"/>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102</xdr:row>
      <xdr:rowOff>0</xdr:rowOff>
    </xdr:from>
    <xdr:to>
      <xdr:col>8</xdr:col>
      <xdr:colOff>180975</xdr:colOff>
      <xdr:row>107</xdr:row>
      <xdr:rowOff>104775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23875" y="19621500"/>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73</xdr:row>
      <xdr:rowOff>0</xdr:rowOff>
    </xdr:from>
    <xdr:to>
      <xdr:col>8</xdr:col>
      <xdr:colOff>552450</xdr:colOff>
      <xdr:row>78</xdr:row>
      <xdr:rowOff>104775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00025" y="14830425"/>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881595</xdr:colOff>
      <xdr:row>18</xdr:row>
      <xdr:rowOff>52917</xdr:rowOff>
    </xdr:from>
    <xdr:to>
      <xdr:col>8</xdr:col>
      <xdr:colOff>402166</xdr:colOff>
      <xdr:row>24</xdr:row>
      <xdr:rowOff>20108</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4247095" y="3524250"/>
          <a:ext cx="5224988" cy="1681691"/>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455083</xdr:colOff>
      <xdr:row>25</xdr:row>
      <xdr:rowOff>10585</xdr:rowOff>
    </xdr:from>
    <xdr:to>
      <xdr:col>5</xdr:col>
      <xdr:colOff>74083</xdr:colOff>
      <xdr:row>35</xdr:row>
      <xdr:rowOff>105835</xdr:rowOff>
    </xdr:to>
    <xdr:cxnSp macro="">
      <xdr:nvCxnSpPr>
        <xdr:cNvPr id="4" name="Straight Arrow Connector 3">
          <a:extLst>
            <a:ext uri="{FF2B5EF4-FFF2-40B4-BE49-F238E27FC236}">
              <a16:creationId xmlns:a16="http://schemas.microsoft.com/office/drawing/2014/main" id="{00000000-0008-0000-0500-000004000000}"/>
            </a:ext>
          </a:extLst>
        </xdr:cNvPr>
        <xdr:cNvCxnSpPr/>
      </xdr:nvCxnSpPr>
      <xdr:spPr>
        <a:xfrm>
          <a:off x="3820583" y="5344585"/>
          <a:ext cx="2286000" cy="2000250"/>
        </a:xfrm>
        <a:prstGeom prst="curvedConnector3">
          <a:avLst>
            <a:gd name="adj1" fmla="val 87037"/>
          </a:avLst>
        </a:prstGeom>
        <a:ln w="222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328081</xdr:colOff>
      <xdr:row>8</xdr:row>
      <xdr:rowOff>105833</xdr:rowOff>
    </xdr:from>
    <xdr:to>
      <xdr:col>14</xdr:col>
      <xdr:colOff>603248</xdr:colOff>
      <xdr:row>21</xdr:row>
      <xdr:rowOff>404220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9397998" y="1640416"/>
          <a:ext cx="5164667" cy="2806637"/>
        </a:xfrm>
        <a:prstGeom prst="rect">
          <a:avLst/>
        </a:prstGeom>
      </xdr:spPr>
    </xdr:pic>
    <xdr:clientData/>
  </xdr:twoCellAnchor>
  <xdr:twoCellAnchor editAs="oneCell">
    <xdr:from>
      <xdr:col>8</xdr:col>
      <xdr:colOff>190500</xdr:colOff>
      <xdr:row>21</xdr:row>
      <xdr:rowOff>518584</xdr:rowOff>
    </xdr:from>
    <xdr:to>
      <xdr:col>14</xdr:col>
      <xdr:colOff>489960</xdr:colOff>
      <xdr:row>36</xdr:row>
      <xdr:rowOff>74083</xdr:rowOff>
    </xdr:to>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a:stretch>
          <a:fillRect/>
        </a:stretch>
      </xdr:blipFill>
      <xdr:spPr>
        <a:xfrm>
          <a:off x="9260417" y="4561417"/>
          <a:ext cx="5188960" cy="2984499"/>
        </a:xfrm>
        <a:prstGeom prst="rect">
          <a:avLst/>
        </a:prstGeom>
      </xdr:spPr>
    </xdr:pic>
    <xdr:clientData/>
  </xdr:twoCellAnchor>
  <xdr:twoCellAnchor>
    <xdr:from>
      <xdr:col>3</xdr:col>
      <xdr:colOff>10583</xdr:colOff>
      <xdr:row>24</xdr:row>
      <xdr:rowOff>105834</xdr:rowOff>
    </xdr:from>
    <xdr:to>
      <xdr:col>8</xdr:col>
      <xdr:colOff>190500</xdr:colOff>
      <xdr:row>28</xdr:row>
      <xdr:rowOff>105834</xdr:rowOff>
    </xdr:to>
    <xdr:cxnSp macro="">
      <xdr:nvCxnSpPr>
        <xdr:cNvPr id="12" name="Straight Arrow Connector 11">
          <a:extLst>
            <a:ext uri="{FF2B5EF4-FFF2-40B4-BE49-F238E27FC236}">
              <a16:creationId xmlns:a16="http://schemas.microsoft.com/office/drawing/2014/main" id="{00000000-0008-0000-0500-00000C000000}"/>
            </a:ext>
          </a:extLst>
        </xdr:cNvPr>
        <xdr:cNvCxnSpPr>
          <a:stCxn id="10" idx="1"/>
        </xdr:cNvCxnSpPr>
      </xdr:nvCxnSpPr>
      <xdr:spPr>
        <a:xfrm flipH="1" flipV="1">
          <a:off x="4265083" y="5291667"/>
          <a:ext cx="4995334" cy="76200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161</xdr:row>
      <xdr:rowOff>0</xdr:rowOff>
    </xdr:from>
    <xdr:to>
      <xdr:col>8</xdr:col>
      <xdr:colOff>149225</xdr:colOff>
      <xdr:row>166</xdr:row>
      <xdr:rowOff>104775</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656167" y="15663333"/>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138</xdr:row>
      <xdr:rowOff>0</xdr:rowOff>
    </xdr:from>
    <xdr:to>
      <xdr:col>9</xdr:col>
      <xdr:colOff>238125</xdr:colOff>
      <xdr:row>143</xdr:row>
      <xdr:rowOff>104775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0" y="26479500"/>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
  <sheetViews>
    <sheetView workbookViewId="0">
      <selection activeCell="Q16" sqref="Q16"/>
    </sheetView>
  </sheetViews>
  <sheetFormatPr defaultColWidth="8.81640625" defaultRowHeight="14.5" x14ac:dyDescent="0.35"/>
  <sheetData/>
  <pageMargins left="0.28000000000000003" right="0.23" top="0.75" bottom="0.54" header="0.3" footer="0.3"/>
  <pageSetup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Q79"/>
  <sheetViews>
    <sheetView topLeftCell="A46" zoomScale="80" zoomScaleNormal="80" workbookViewId="0">
      <selection activeCell="B80" sqref="B80"/>
    </sheetView>
  </sheetViews>
  <sheetFormatPr defaultColWidth="8.81640625" defaultRowHeight="14.5" x14ac:dyDescent="0.35"/>
  <cols>
    <col min="1" max="1" width="5.1796875" customWidth="1"/>
    <col min="2" max="2" width="48.36328125" customWidth="1"/>
    <col min="3" max="6" width="13.453125" customWidth="1"/>
    <col min="7" max="7" width="2.81640625" customWidth="1"/>
    <col min="8" max="12" width="13.453125" customWidth="1"/>
    <col min="13" max="13" width="2.81640625" customWidth="1"/>
    <col min="14" max="14" width="14.36328125" customWidth="1"/>
    <col min="15" max="17" width="13.453125" customWidth="1"/>
  </cols>
  <sheetData>
    <row r="1" spans="2:10" x14ac:dyDescent="0.35">
      <c r="B1" s="4" t="s">
        <v>161</v>
      </c>
    </row>
    <row r="2" spans="2:10" x14ac:dyDescent="0.35">
      <c r="B2" s="4" t="s">
        <v>162</v>
      </c>
    </row>
    <row r="5" spans="2:10" ht="15" thickBot="1" x14ac:dyDescent="0.4">
      <c r="B5" s="53" t="s">
        <v>44</v>
      </c>
    </row>
    <row r="6" spans="2:10" x14ac:dyDescent="0.35">
      <c r="B6" s="151" t="s">
        <v>134</v>
      </c>
      <c r="C6" s="152"/>
      <c r="D6" s="152"/>
      <c r="E6" s="152"/>
      <c r="F6" s="152"/>
      <c r="G6" s="152"/>
      <c r="H6" s="152"/>
      <c r="I6" s="152"/>
      <c r="J6" s="153"/>
    </row>
    <row r="7" spans="2:10" x14ac:dyDescent="0.35">
      <c r="B7" s="154" t="s">
        <v>135</v>
      </c>
      <c r="C7" s="155"/>
      <c r="D7" s="155"/>
      <c r="E7" s="155"/>
      <c r="F7" s="155"/>
      <c r="G7" s="155"/>
      <c r="H7" s="155"/>
      <c r="I7" s="155"/>
      <c r="J7" s="156"/>
    </row>
    <row r="8" spans="2:10" x14ac:dyDescent="0.35">
      <c r="B8" s="154" t="s">
        <v>136</v>
      </c>
      <c r="C8" s="155"/>
      <c r="D8" s="155"/>
      <c r="E8" s="155"/>
      <c r="F8" s="155"/>
      <c r="G8" s="155"/>
      <c r="H8" s="155"/>
      <c r="I8" s="155"/>
      <c r="J8" s="156"/>
    </row>
    <row r="9" spans="2:10" x14ac:dyDescent="0.35">
      <c r="B9" s="154" t="s">
        <v>137</v>
      </c>
      <c r="C9" s="155"/>
      <c r="D9" s="155"/>
      <c r="E9" s="155"/>
      <c r="F9" s="155"/>
      <c r="G9" s="155"/>
      <c r="H9" s="155"/>
      <c r="I9" s="155"/>
      <c r="J9" s="156"/>
    </row>
    <row r="10" spans="2:10" x14ac:dyDescent="0.35">
      <c r="B10" s="154" t="s">
        <v>138</v>
      </c>
      <c r="C10" s="155"/>
      <c r="D10" s="155"/>
      <c r="E10" s="155"/>
      <c r="F10" s="155"/>
      <c r="G10" s="155"/>
      <c r="H10" s="155"/>
      <c r="I10" s="155"/>
      <c r="J10" s="156"/>
    </row>
    <row r="11" spans="2:10" ht="15" thickBot="1" x14ac:dyDescent="0.4">
      <c r="B11" s="148" t="s">
        <v>139</v>
      </c>
      <c r="C11" s="149"/>
      <c r="D11" s="149"/>
      <c r="E11" s="149"/>
      <c r="F11" s="149"/>
      <c r="G11" s="149"/>
      <c r="H11" s="149"/>
      <c r="I11" s="149"/>
      <c r="J11" s="150"/>
    </row>
    <row r="14" spans="2:10" x14ac:dyDescent="0.35">
      <c r="B14" s="4" t="s">
        <v>25</v>
      </c>
    </row>
    <row r="15" spans="2:10" x14ac:dyDescent="0.35">
      <c r="B15" s="34" t="s">
        <v>26</v>
      </c>
      <c r="C15" s="61">
        <f>+'2. Lease Liablity Schedules'!C25</f>
        <v>55791.488581021324</v>
      </c>
      <c r="D15" s="54" t="s">
        <v>132</v>
      </c>
      <c r="E15" s="36"/>
      <c r="F15" s="36"/>
      <c r="G15" s="36"/>
      <c r="H15" s="36"/>
    </row>
    <row r="16" spans="2:10" ht="29" x14ac:dyDescent="0.35">
      <c r="B16" s="35" t="s">
        <v>89</v>
      </c>
      <c r="C16" s="65">
        <f>+'2. Lease Liablity Schedules'!C27</f>
        <v>1725.2175687683282</v>
      </c>
      <c r="D16" s="54" t="s">
        <v>133</v>
      </c>
      <c r="E16" s="54"/>
      <c r="F16" s="36"/>
      <c r="G16" s="36"/>
      <c r="H16" s="36"/>
    </row>
    <row r="17" spans="2:17" x14ac:dyDescent="0.35">
      <c r="C17" s="36"/>
      <c r="D17" s="36"/>
      <c r="E17" s="36"/>
      <c r="F17" s="36"/>
      <c r="G17" s="36"/>
      <c r="H17" s="36"/>
    </row>
    <row r="18" spans="2:17" ht="15" thickBot="1" x14ac:dyDescent="0.4">
      <c r="B18" s="4" t="s">
        <v>50</v>
      </c>
      <c r="C18" s="37">
        <f>SUM(C15:C17)</f>
        <v>57516.70614978965</v>
      </c>
      <c r="D18" s="36"/>
      <c r="E18" s="36"/>
      <c r="F18" s="36"/>
      <c r="G18" s="36"/>
      <c r="H18" s="36"/>
    </row>
    <row r="19" spans="2:17" ht="15" thickTop="1" x14ac:dyDescent="0.35">
      <c r="C19" s="36"/>
      <c r="D19" s="36"/>
      <c r="E19" s="36"/>
      <c r="F19" s="36"/>
      <c r="G19" s="36"/>
      <c r="H19" s="36"/>
    </row>
    <row r="20" spans="2:17" x14ac:dyDescent="0.35">
      <c r="C20" s="36"/>
      <c r="D20" s="36"/>
      <c r="E20" s="36"/>
      <c r="F20" s="36"/>
      <c r="G20" s="36"/>
      <c r="H20" s="36"/>
    </row>
    <row r="21" spans="2:17" x14ac:dyDescent="0.35">
      <c r="B21" s="4" t="s">
        <v>28</v>
      </c>
      <c r="C21" s="36"/>
      <c r="D21" s="36"/>
      <c r="E21" s="36"/>
      <c r="F21" s="36"/>
      <c r="G21" s="36"/>
      <c r="H21" s="36"/>
    </row>
    <row r="22" spans="2:17" x14ac:dyDescent="0.35">
      <c r="B22" s="34" t="s">
        <v>51</v>
      </c>
      <c r="C22" s="36">
        <f>+C18</f>
        <v>57516.70614978965</v>
      </c>
      <c r="D22" s="54" t="s">
        <v>92</v>
      </c>
      <c r="E22" s="36"/>
      <c r="F22" s="36"/>
      <c r="G22" s="36"/>
      <c r="H22" s="54"/>
    </row>
    <row r="23" spans="2:17" ht="43.5" x14ac:dyDescent="0.35">
      <c r="B23" s="35" t="s">
        <v>52</v>
      </c>
      <c r="C23" s="78">
        <v>2500</v>
      </c>
      <c r="D23" s="54" t="s">
        <v>93</v>
      </c>
      <c r="E23" s="36"/>
      <c r="F23" s="36"/>
      <c r="G23" s="36"/>
      <c r="H23" s="54"/>
    </row>
    <row r="24" spans="2:17" x14ac:dyDescent="0.35">
      <c r="C24" s="36"/>
      <c r="D24" s="36"/>
      <c r="E24" s="36"/>
      <c r="F24" s="36"/>
      <c r="G24" s="36"/>
      <c r="H24" s="36"/>
    </row>
    <row r="25" spans="2:17" ht="15" thickBot="1" x14ac:dyDescent="0.4">
      <c r="B25" s="4" t="s">
        <v>29</v>
      </c>
      <c r="C25" s="37">
        <f>SUM(C22:C24)</f>
        <v>60016.70614978965</v>
      </c>
      <c r="D25" s="36"/>
      <c r="E25" s="36"/>
      <c r="F25" s="36"/>
      <c r="G25" s="36"/>
      <c r="H25" s="36"/>
    </row>
    <row r="26" spans="2:17" ht="15" thickTop="1" x14ac:dyDescent="0.35">
      <c r="B26" s="4"/>
      <c r="C26" s="29"/>
      <c r="D26" s="36"/>
      <c r="E26" s="36"/>
      <c r="F26" s="36"/>
      <c r="G26" s="36"/>
      <c r="H26" s="36"/>
    </row>
    <row r="27" spans="2:17" x14ac:dyDescent="0.35">
      <c r="C27" s="36"/>
      <c r="D27" s="36"/>
      <c r="E27" s="36"/>
      <c r="F27" s="36"/>
      <c r="G27" s="36"/>
      <c r="H27" s="36"/>
    </row>
    <row r="28" spans="2:17" x14ac:dyDescent="0.35">
      <c r="C28" s="48" t="s">
        <v>53</v>
      </c>
      <c r="D28" s="49"/>
      <c r="E28" s="49"/>
      <c r="F28" s="43"/>
      <c r="G28" s="36"/>
      <c r="H28" s="48" t="s">
        <v>46</v>
      </c>
      <c r="I28" s="50"/>
      <c r="J28" s="50"/>
      <c r="K28" s="50"/>
      <c r="L28" s="51"/>
    </row>
    <row r="29" spans="2:17" x14ac:dyDescent="0.35">
      <c r="B29" s="69" t="s">
        <v>81</v>
      </c>
      <c r="C29" s="70">
        <v>1</v>
      </c>
      <c r="D29" s="70">
        <v>2</v>
      </c>
      <c r="E29" s="70">
        <v>3</v>
      </c>
      <c r="F29" s="43"/>
      <c r="G29" s="36"/>
      <c r="H29" s="70">
        <v>4</v>
      </c>
      <c r="I29" s="71">
        <v>5</v>
      </c>
      <c r="J29" s="71">
        <v>6</v>
      </c>
      <c r="K29" s="71">
        <v>7</v>
      </c>
      <c r="L29" s="51"/>
    </row>
    <row r="30" spans="2:17" ht="29" x14ac:dyDescent="0.35">
      <c r="C30" s="39" t="s">
        <v>33</v>
      </c>
      <c r="D30" s="39" t="s">
        <v>154</v>
      </c>
      <c r="E30" s="39" t="s">
        <v>155</v>
      </c>
      <c r="F30" s="94" t="s">
        <v>38</v>
      </c>
      <c r="G30" s="96"/>
      <c r="H30" s="96" t="s">
        <v>54</v>
      </c>
      <c r="I30" s="96" t="s">
        <v>39</v>
      </c>
      <c r="J30" s="96" t="s">
        <v>156</v>
      </c>
      <c r="K30" s="96" t="s">
        <v>47</v>
      </c>
      <c r="L30" s="94" t="s">
        <v>157</v>
      </c>
      <c r="M30" s="96"/>
      <c r="N30" s="94" t="s">
        <v>55</v>
      </c>
    </row>
    <row r="31" spans="2:17" x14ac:dyDescent="0.35">
      <c r="B31" s="40" t="s">
        <v>30</v>
      </c>
      <c r="C31" s="41"/>
      <c r="D31" s="41">
        <f>-C23</f>
        <v>-2500</v>
      </c>
      <c r="E31" s="41">
        <f>-E36-E37</f>
        <v>-9000</v>
      </c>
      <c r="F31" s="95">
        <f>SUM(C31:E31)</f>
        <v>-11500</v>
      </c>
      <c r="G31" s="97"/>
      <c r="H31" s="97"/>
      <c r="I31" s="97"/>
      <c r="J31" s="97"/>
      <c r="K31" s="97"/>
      <c r="L31" s="95">
        <f>SUM(H31:K31)</f>
        <v>0</v>
      </c>
      <c r="M31" s="97"/>
      <c r="N31" s="95">
        <f>+L31+F31</f>
        <v>-11500</v>
      </c>
      <c r="O31" s="38"/>
      <c r="P31" s="38"/>
      <c r="Q31" s="38"/>
    </row>
    <row r="32" spans="2:17" x14ac:dyDescent="0.35">
      <c r="B32" s="40" t="s">
        <v>31</v>
      </c>
      <c r="C32" s="41"/>
      <c r="D32" s="41"/>
      <c r="E32" s="41"/>
      <c r="F32" s="95">
        <f t="shared" ref="F32:F39" si="0">SUM(C32:E32)</f>
        <v>0</v>
      </c>
      <c r="G32" s="97"/>
      <c r="H32" s="97"/>
      <c r="I32" s="97">
        <f>-I35</f>
        <v>60016.70614978965</v>
      </c>
      <c r="J32" s="97"/>
      <c r="K32" s="97"/>
      <c r="L32" s="95">
        <f t="shared" ref="L32:L39" si="1">SUM(H32:K32)</f>
        <v>60016.70614978965</v>
      </c>
      <c r="M32" s="97"/>
      <c r="N32" s="95">
        <f t="shared" ref="N32:N39" si="2">+L32+F32</f>
        <v>60016.70614978965</v>
      </c>
      <c r="O32" s="38"/>
      <c r="P32" s="38"/>
      <c r="Q32" s="38"/>
    </row>
    <row r="33" spans="1:17" x14ac:dyDescent="0.35">
      <c r="B33" s="40" t="s">
        <v>131</v>
      </c>
      <c r="C33" s="41"/>
      <c r="D33" s="41"/>
      <c r="E33" s="41"/>
      <c r="F33" s="95">
        <f t="shared" si="0"/>
        <v>0</v>
      </c>
      <c r="G33" s="97"/>
      <c r="H33" s="97"/>
      <c r="I33" s="97"/>
      <c r="J33" s="97"/>
      <c r="K33" s="97">
        <f>-K39</f>
        <v>-6426</v>
      </c>
      <c r="L33" s="95">
        <f t="shared" ref="L33" si="3">SUM(H33:K33)</f>
        <v>-6426</v>
      </c>
      <c r="M33" s="97"/>
      <c r="N33" s="95">
        <f t="shared" ref="N33" si="4">+L33+F33</f>
        <v>-6426</v>
      </c>
      <c r="O33" s="38"/>
      <c r="P33" s="38"/>
      <c r="Q33" s="38"/>
    </row>
    <row r="34" spans="1:17" x14ac:dyDescent="0.35">
      <c r="B34" s="40" t="s">
        <v>56</v>
      </c>
      <c r="C34" s="41"/>
      <c r="D34" s="41"/>
      <c r="E34" s="41"/>
      <c r="F34" s="95">
        <f t="shared" si="0"/>
        <v>0</v>
      </c>
      <c r="G34" s="97"/>
      <c r="H34" s="97">
        <f>-H38</f>
        <v>-57516.70614978965</v>
      </c>
      <c r="I34" s="97"/>
      <c r="J34" s="97">
        <f>-J36</f>
        <v>7930</v>
      </c>
      <c r="K34" s="97"/>
      <c r="L34" s="95">
        <f t="shared" si="1"/>
        <v>-49586.70614978965</v>
      </c>
      <c r="M34" s="97"/>
      <c r="N34" s="95">
        <f t="shared" si="2"/>
        <v>-49586.70614978965</v>
      </c>
      <c r="O34" s="38"/>
      <c r="P34" s="38"/>
      <c r="Q34" s="38"/>
    </row>
    <row r="35" spans="1:17" x14ac:dyDescent="0.35">
      <c r="B35" s="40" t="s">
        <v>34</v>
      </c>
      <c r="C35" s="41">
        <f>-C38</f>
        <v>57516.70614978965</v>
      </c>
      <c r="D35" s="41">
        <f>-D31</f>
        <v>2500</v>
      </c>
      <c r="E35" s="41"/>
      <c r="F35" s="95">
        <f t="shared" si="0"/>
        <v>60016.70614978965</v>
      </c>
      <c r="G35" s="97"/>
      <c r="H35" s="97"/>
      <c r="I35" s="97">
        <f>-F35</f>
        <v>-60016.70614978965</v>
      </c>
      <c r="J35" s="97"/>
      <c r="K35" s="97"/>
      <c r="L35" s="95">
        <f t="shared" si="1"/>
        <v>-60016.70614978965</v>
      </c>
      <c r="M35" s="97"/>
      <c r="N35" s="95">
        <f t="shared" si="2"/>
        <v>0</v>
      </c>
      <c r="O35" s="38"/>
      <c r="P35" s="38"/>
      <c r="Q35" s="38"/>
    </row>
    <row r="36" spans="1:17" x14ac:dyDescent="0.35">
      <c r="B36" s="40" t="s">
        <v>35</v>
      </c>
      <c r="C36" s="41"/>
      <c r="D36" s="41"/>
      <c r="E36" s="41">
        <f>+'2. Lease Liablity Schedules'!H52</f>
        <v>7930</v>
      </c>
      <c r="F36" s="95">
        <f t="shared" si="0"/>
        <v>7930</v>
      </c>
      <c r="G36" s="97"/>
      <c r="H36" s="97"/>
      <c r="I36" s="97"/>
      <c r="J36" s="97">
        <f>-F36</f>
        <v>-7930</v>
      </c>
      <c r="K36" s="97"/>
      <c r="L36" s="95">
        <f t="shared" si="1"/>
        <v>-7930</v>
      </c>
      <c r="M36" s="97"/>
      <c r="N36" s="95">
        <f t="shared" si="2"/>
        <v>0</v>
      </c>
      <c r="O36" s="38"/>
      <c r="P36" s="38"/>
      <c r="Q36" s="38"/>
    </row>
    <row r="37" spans="1:17" x14ac:dyDescent="0.35">
      <c r="B37" s="40" t="s">
        <v>36</v>
      </c>
      <c r="C37" s="41"/>
      <c r="D37" s="41"/>
      <c r="E37" s="41">
        <f>+'2. Lease Liablity Schedules'!G52</f>
        <v>1070</v>
      </c>
      <c r="F37" s="95">
        <f t="shared" si="0"/>
        <v>1070</v>
      </c>
      <c r="G37" s="97"/>
      <c r="H37" s="97"/>
      <c r="I37" s="97"/>
      <c r="J37" s="97"/>
      <c r="K37" s="97"/>
      <c r="L37" s="95">
        <f t="shared" si="1"/>
        <v>0</v>
      </c>
      <c r="M37" s="97"/>
      <c r="N37" s="95">
        <f t="shared" si="2"/>
        <v>1070</v>
      </c>
      <c r="O37" s="38"/>
      <c r="P37" s="38"/>
      <c r="Q37" s="38"/>
    </row>
    <row r="38" spans="1:17" x14ac:dyDescent="0.35">
      <c r="B38" s="40" t="s">
        <v>45</v>
      </c>
      <c r="C38" s="41">
        <f>-C18</f>
        <v>-57516.70614978965</v>
      </c>
      <c r="D38" s="41"/>
      <c r="E38" s="41"/>
      <c r="F38" s="95">
        <f t="shared" si="0"/>
        <v>-57516.70614978965</v>
      </c>
      <c r="G38" s="97"/>
      <c r="H38" s="97">
        <f>-F38</f>
        <v>57516.70614978965</v>
      </c>
      <c r="I38" s="97"/>
      <c r="J38" s="97"/>
      <c r="K38" s="97"/>
      <c r="L38" s="95">
        <f t="shared" si="1"/>
        <v>57516.70614978965</v>
      </c>
      <c r="M38" s="97"/>
      <c r="N38" s="95">
        <f t="shared" si="2"/>
        <v>0</v>
      </c>
      <c r="O38" s="38"/>
      <c r="P38" s="38"/>
      <c r="Q38" s="38"/>
    </row>
    <row r="39" spans="1:17" x14ac:dyDescent="0.35">
      <c r="B39" s="40" t="s">
        <v>48</v>
      </c>
      <c r="C39" s="41"/>
      <c r="D39" s="41"/>
      <c r="E39" s="41"/>
      <c r="F39" s="95">
        <f t="shared" si="0"/>
        <v>0</v>
      </c>
      <c r="G39" s="97"/>
      <c r="H39" s="97"/>
      <c r="I39" s="97"/>
      <c r="J39" s="97"/>
      <c r="K39" s="97">
        <f>SUM('3. Lease Asset Amort Schedules'!D14:D22)</f>
        <v>6426</v>
      </c>
      <c r="L39" s="95">
        <f t="shared" si="1"/>
        <v>6426</v>
      </c>
      <c r="M39" s="97"/>
      <c r="N39" s="95">
        <f t="shared" si="2"/>
        <v>6426</v>
      </c>
      <c r="O39" s="38"/>
      <c r="P39" s="38"/>
      <c r="Q39" s="38"/>
    </row>
    <row r="40" spans="1:17" x14ac:dyDescent="0.35">
      <c r="B40" s="42" t="s">
        <v>32</v>
      </c>
      <c r="C40" s="41">
        <f>SUM(C31:C39)</f>
        <v>0</v>
      </c>
      <c r="D40" s="41">
        <f t="shared" ref="D40:N40" si="5">SUM(D31:D39)</f>
        <v>0</v>
      </c>
      <c r="E40" s="41">
        <f t="shared" si="5"/>
        <v>0</v>
      </c>
      <c r="F40" s="95">
        <f t="shared" si="5"/>
        <v>0</v>
      </c>
      <c r="G40" s="97"/>
      <c r="H40" s="97">
        <f t="shared" si="5"/>
        <v>0</v>
      </c>
      <c r="I40" s="97">
        <f t="shared" si="5"/>
        <v>0</v>
      </c>
      <c r="J40" s="97">
        <f t="shared" si="5"/>
        <v>0</v>
      </c>
      <c r="K40" s="97">
        <f t="shared" si="5"/>
        <v>0</v>
      </c>
      <c r="L40" s="95">
        <f t="shared" si="5"/>
        <v>0</v>
      </c>
      <c r="M40" s="97"/>
      <c r="N40" s="95">
        <f t="shared" si="5"/>
        <v>0</v>
      </c>
      <c r="O40" s="38"/>
      <c r="P40" s="38"/>
      <c r="Q40" s="38"/>
    </row>
    <row r="41" spans="1:17" x14ac:dyDescent="0.35">
      <c r="C41" s="38"/>
      <c r="D41" s="38"/>
      <c r="E41" s="38"/>
      <c r="F41" s="38"/>
      <c r="G41" s="38"/>
      <c r="H41" s="38"/>
      <c r="I41" s="38"/>
      <c r="J41" s="38"/>
      <c r="K41" s="38"/>
      <c r="L41" s="38"/>
      <c r="M41" s="38"/>
      <c r="N41" s="38"/>
      <c r="O41" s="38"/>
      <c r="P41" s="38"/>
      <c r="Q41" s="38"/>
    </row>
    <row r="42" spans="1:17" x14ac:dyDescent="0.35">
      <c r="B42" s="4" t="s">
        <v>80</v>
      </c>
      <c r="C42" s="38"/>
      <c r="D42" s="38"/>
      <c r="E42" s="38"/>
      <c r="F42" s="36"/>
      <c r="G42" s="36"/>
      <c r="H42" s="36"/>
      <c r="I42" s="36"/>
      <c r="J42" s="36"/>
      <c r="K42" s="36"/>
      <c r="L42" s="36"/>
      <c r="M42" s="38"/>
      <c r="N42" s="38"/>
      <c r="O42" s="38"/>
      <c r="P42" s="38"/>
      <c r="Q42" s="38"/>
    </row>
    <row r="43" spans="1:17" x14ac:dyDescent="0.35">
      <c r="B43" s="4" t="s">
        <v>82</v>
      </c>
      <c r="C43" s="36"/>
      <c r="D43" s="36"/>
      <c r="E43" s="36"/>
      <c r="F43" s="36"/>
      <c r="G43" s="36"/>
      <c r="H43" s="36"/>
      <c r="I43" s="36"/>
      <c r="J43" s="36"/>
      <c r="K43" s="36"/>
      <c r="L43" s="36"/>
    </row>
    <row r="44" spans="1:17" x14ac:dyDescent="0.35">
      <c r="C44" s="36"/>
      <c r="D44" s="36"/>
      <c r="E44" s="36"/>
      <c r="F44" s="36"/>
      <c r="G44" s="36"/>
      <c r="H44" s="36"/>
      <c r="I44" s="36"/>
      <c r="J44" s="36"/>
      <c r="K44" s="36"/>
      <c r="L44" s="36"/>
    </row>
    <row r="45" spans="1:17" x14ac:dyDescent="0.35">
      <c r="C45" s="36"/>
      <c r="D45" s="36"/>
      <c r="E45" s="36"/>
      <c r="F45" s="36"/>
      <c r="G45" s="36"/>
      <c r="H45" s="36"/>
      <c r="I45" s="36"/>
      <c r="J45" s="36"/>
      <c r="K45" s="36"/>
      <c r="L45" s="36"/>
    </row>
    <row r="46" spans="1:17" ht="16" x14ac:dyDescent="0.5">
      <c r="B46" s="11"/>
      <c r="C46" s="127" t="s">
        <v>117</v>
      </c>
      <c r="D46" s="127" t="s">
        <v>118</v>
      </c>
      <c r="E46" s="36"/>
      <c r="F46" s="36"/>
      <c r="G46" s="36"/>
      <c r="H46" s="36"/>
    </row>
    <row r="47" spans="1:17" x14ac:dyDescent="0.35">
      <c r="B47" s="132" t="s">
        <v>122</v>
      </c>
      <c r="C47" s="36"/>
      <c r="D47" s="36"/>
      <c r="E47" s="36"/>
      <c r="F47" s="36"/>
      <c r="G47" s="36"/>
      <c r="H47" s="36"/>
    </row>
    <row r="48" spans="1:17" x14ac:dyDescent="0.35">
      <c r="A48" s="130" t="s">
        <v>119</v>
      </c>
      <c r="B48" s="128" t="s">
        <v>34</v>
      </c>
      <c r="C48" s="36">
        <v>57517</v>
      </c>
      <c r="D48" s="36"/>
      <c r="E48" s="36"/>
      <c r="F48" s="36"/>
      <c r="G48" s="36"/>
      <c r="H48" s="36"/>
      <c r="I48" s="36"/>
      <c r="J48" s="36"/>
      <c r="K48" s="36"/>
      <c r="L48" s="36"/>
      <c r="M48" s="36"/>
      <c r="N48" s="36"/>
      <c r="O48" s="36"/>
    </row>
    <row r="49" spans="1:15" x14ac:dyDescent="0.35">
      <c r="A49" s="82"/>
      <c r="B49" s="129" t="s">
        <v>45</v>
      </c>
      <c r="C49" s="36"/>
      <c r="D49" s="36">
        <v>57517</v>
      </c>
      <c r="E49" s="36"/>
      <c r="F49" s="36"/>
      <c r="G49" s="36"/>
      <c r="H49" s="36"/>
      <c r="I49" s="36"/>
      <c r="J49" s="36"/>
      <c r="K49" s="36"/>
      <c r="L49" s="36"/>
      <c r="M49" s="36"/>
      <c r="N49" s="36"/>
      <c r="O49" s="36"/>
    </row>
    <row r="50" spans="1:15" x14ac:dyDescent="0.35">
      <c r="A50" s="82"/>
      <c r="B50" s="131" t="s">
        <v>120</v>
      </c>
      <c r="C50" s="36"/>
      <c r="D50" s="36"/>
      <c r="E50" s="36"/>
      <c r="F50" s="36"/>
      <c r="G50" s="36"/>
      <c r="H50" s="36"/>
      <c r="I50" s="36"/>
      <c r="J50" s="36"/>
      <c r="K50" s="36"/>
      <c r="L50" s="36"/>
      <c r="M50" s="36"/>
      <c r="N50" s="36"/>
      <c r="O50" s="36"/>
    </row>
    <row r="51" spans="1:15" x14ac:dyDescent="0.35">
      <c r="A51" s="82"/>
      <c r="B51" s="11"/>
      <c r="C51" s="36"/>
      <c r="D51" s="36"/>
      <c r="E51" s="36"/>
      <c r="F51" s="36"/>
      <c r="G51" s="36"/>
      <c r="H51" s="36"/>
      <c r="I51" s="36"/>
      <c r="J51" s="36"/>
      <c r="K51" s="36"/>
      <c r="L51" s="36"/>
      <c r="M51" s="36"/>
      <c r="N51" s="36"/>
      <c r="O51" s="36"/>
    </row>
    <row r="52" spans="1:15" x14ac:dyDescent="0.35">
      <c r="A52" s="130" t="s">
        <v>121</v>
      </c>
      <c r="B52" s="128" t="s">
        <v>34</v>
      </c>
      <c r="C52" s="36">
        <v>2500</v>
      </c>
      <c r="D52" s="36"/>
      <c r="E52" s="36"/>
      <c r="F52" s="36"/>
      <c r="G52" s="36"/>
      <c r="H52" s="36"/>
      <c r="I52" s="36"/>
      <c r="J52" s="36"/>
      <c r="K52" s="36"/>
      <c r="L52" s="36"/>
      <c r="M52" s="36"/>
      <c r="N52" s="36"/>
      <c r="O52" s="36"/>
    </row>
    <row r="53" spans="1:15" x14ac:dyDescent="0.35">
      <c r="A53" s="82"/>
      <c r="B53" s="129" t="s">
        <v>30</v>
      </c>
      <c r="C53" s="36"/>
      <c r="D53" s="36">
        <v>2500</v>
      </c>
      <c r="E53" s="36"/>
      <c r="F53" s="36"/>
      <c r="G53" s="36"/>
      <c r="H53" s="36"/>
      <c r="I53" s="36"/>
      <c r="J53" s="36"/>
      <c r="K53" s="36"/>
      <c r="L53" s="36"/>
      <c r="M53" s="36"/>
      <c r="N53" s="36"/>
      <c r="O53" s="36"/>
    </row>
    <row r="54" spans="1:15" x14ac:dyDescent="0.35">
      <c r="A54" s="82"/>
      <c r="B54" s="131" t="s">
        <v>149</v>
      </c>
      <c r="C54" s="36"/>
      <c r="D54" s="36"/>
      <c r="E54" s="36"/>
      <c r="F54" s="36"/>
      <c r="G54" s="36"/>
      <c r="H54" s="36"/>
      <c r="I54" s="36"/>
      <c r="J54" s="36"/>
      <c r="K54" s="36"/>
      <c r="L54" s="36"/>
      <c r="M54" s="36"/>
      <c r="N54" s="36"/>
      <c r="O54" s="36"/>
    </row>
    <row r="55" spans="1:15" x14ac:dyDescent="0.35">
      <c r="A55" s="82"/>
      <c r="B55" s="11"/>
      <c r="C55" s="36"/>
      <c r="D55" s="36"/>
      <c r="E55" s="36"/>
      <c r="F55" s="36"/>
      <c r="G55" s="36"/>
      <c r="H55" s="36"/>
      <c r="I55" s="36"/>
      <c r="J55" s="36"/>
      <c r="K55" s="36"/>
      <c r="L55" s="36"/>
      <c r="M55" s="36"/>
      <c r="N55" s="36"/>
      <c r="O55" s="36"/>
    </row>
    <row r="56" spans="1:15" x14ac:dyDescent="0.35">
      <c r="A56" s="130" t="s">
        <v>123</v>
      </c>
      <c r="B56" s="11" t="s">
        <v>35</v>
      </c>
      <c r="C56" s="36">
        <v>7930</v>
      </c>
      <c r="D56" s="36"/>
      <c r="E56" s="36"/>
      <c r="F56" s="36"/>
      <c r="G56" s="36"/>
      <c r="H56" s="36"/>
      <c r="I56" s="36"/>
      <c r="J56" s="36"/>
      <c r="K56" s="36"/>
      <c r="L56" s="36"/>
      <c r="M56" s="36"/>
      <c r="N56" s="36"/>
      <c r="O56" s="36"/>
    </row>
    <row r="57" spans="1:15" x14ac:dyDescent="0.35">
      <c r="A57" s="82"/>
      <c r="B57" s="11" t="s">
        <v>36</v>
      </c>
      <c r="C57" s="38">
        <v>1070</v>
      </c>
      <c r="D57" s="36"/>
      <c r="E57" s="36"/>
      <c r="F57" s="36"/>
      <c r="G57" s="36"/>
      <c r="H57" s="36"/>
      <c r="I57" s="36"/>
      <c r="J57" s="36"/>
      <c r="K57" s="36"/>
      <c r="L57" s="36"/>
      <c r="M57" s="36"/>
      <c r="N57" s="36"/>
      <c r="O57" s="36"/>
    </row>
    <row r="58" spans="1:15" x14ac:dyDescent="0.35">
      <c r="A58" s="82"/>
      <c r="B58" s="129" t="s">
        <v>30</v>
      </c>
      <c r="C58" s="36"/>
      <c r="D58" s="36">
        <v>9000</v>
      </c>
      <c r="E58" s="36"/>
      <c r="F58" s="36"/>
      <c r="G58" s="36"/>
      <c r="H58" s="36"/>
      <c r="I58" s="36"/>
      <c r="J58" s="36"/>
      <c r="K58" s="36"/>
      <c r="L58" s="36"/>
      <c r="M58" s="36"/>
      <c r="N58" s="36"/>
      <c r="O58" s="36"/>
    </row>
    <row r="59" spans="1:15" x14ac:dyDescent="0.35">
      <c r="A59" s="82"/>
      <c r="B59" s="133" t="s">
        <v>152</v>
      </c>
      <c r="C59" s="36"/>
      <c r="D59" s="36"/>
      <c r="E59" s="36"/>
      <c r="F59" s="36"/>
      <c r="G59" s="36"/>
      <c r="H59" s="36"/>
      <c r="I59" s="36"/>
      <c r="J59" s="36"/>
      <c r="K59" s="36"/>
      <c r="L59" s="36"/>
      <c r="M59" s="36"/>
      <c r="N59" s="36"/>
      <c r="O59" s="36"/>
    </row>
    <row r="60" spans="1:15" x14ac:dyDescent="0.35">
      <c r="A60" s="82"/>
      <c r="C60" s="36"/>
      <c r="D60" s="36"/>
      <c r="E60" s="36"/>
      <c r="F60" s="36"/>
      <c r="G60" s="36"/>
      <c r="H60" s="36"/>
      <c r="I60" s="36"/>
      <c r="J60" s="36"/>
      <c r="K60" s="36"/>
      <c r="L60" s="36"/>
      <c r="M60" s="36"/>
      <c r="N60" s="36"/>
      <c r="O60" s="36"/>
    </row>
    <row r="61" spans="1:15" x14ac:dyDescent="0.35">
      <c r="A61" s="82"/>
      <c r="B61" s="134" t="s">
        <v>130</v>
      </c>
      <c r="C61" s="36"/>
      <c r="D61" s="36"/>
      <c r="E61" s="36"/>
      <c r="F61" s="36"/>
      <c r="G61" s="36"/>
      <c r="H61" s="36"/>
      <c r="I61" s="36"/>
      <c r="J61" s="36"/>
      <c r="K61" s="36"/>
      <c r="L61" s="36"/>
      <c r="M61" s="36"/>
      <c r="N61" s="36"/>
      <c r="O61" s="36"/>
    </row>
    <row r="62" spans="1:15" x14ac:dyDescent="0.35">
      <c r="A62" s="130" t="s">
        <v>124</v>
      </c>
      <c r="B62" s="128" t="s">
        <v>45</v>
      </c>
      <c r="C62" s="36">
        <v>57517</v>
      </c>
      <c r="D62" s="36"/>
      <c r="E62" s="36"/>
      <c r="F62" s="36"/>
      <c r="G62" s="36"/>
      <c r="H62" s="36"/>
      <c r="I62" s="36"/>
      <c r="J62" s="36"/>
      <c r="K62" s="36"/>
      <c r="L62" s="36"/>
      <c r="M62" s="36"/>
      <c r="N62" s="36"/>
      <c r="O62" s="36"/>
    </row>
    <row r="63" spans="1:15" x14ac:dyDescent="0.35">
      <c r="A63" s="82"/>
      <c r="B63" s="129" t="s">
        <v>56</v>
      </c>
      <c r="C63" s="36"/>
      <c r="D63" s="36">
        <v>57517</v>
      </c>
      <c r="E63" s="36"/>
      <c r="F63" s="36"/>
      <c r="G63" s="36"/>
      <c r="H63" s="36"/>
      <c r="I63" s="36"/>
      <c r="J63" s="36"/>
      <c r="K63" s="36"/>
      <c r="L63" s="36"/>
      <c r="M63" s="36"/>
      <c r="N63" s="36"/>
      <c r="O63" s="36"/>
    </row>
    <row r="64" spans="1:15" x14ac:dyDescent="0.35">
      <c r="A64" s="82"/>
      <c r="B64" s="131" t="s">
        <v>150</v>
      </c>
      <c r="C64" s="36"/>
      <c r="D64" s="36"/>
      <c r="E64" s="36"/>
      <c r="F64" s="36"/>
      <c r="G64" s="36"/>
      <c r="H64" s="36"/>
      <c r="I64" s="36"/>
      <c r="J64" s="36"/>
      <c r="K64" s="36"/>
      <c r="L64" s="36"/>
      <c r="M64" s="36"/>
      <c r="N64" s="36"/>
      <c r="O64" s="36"/>
    </row>
    <row r="65" spans="1:15" x14ac:dyDescent="0.35">
      <c r="A65" s="82"/>
      <c r="B65" s="11"/>
      <c r="C65" s="36"/>
      <c r="D65" s="36"/>
      <c r="E65" s="36"/>
      <c r="F65" s="36"/>
      <c r="G65" s="36"/>
      <c r="H65" s="36"/>
      <c r="I65" s="36"/>
      <c r="J65" s="36"/>
      <c r="K65" s="36"/>
      <c r="L65" s="36"/>
      <c r="M65" s="36"/>
      <c r="N65" s="36"/>
      <c r="O65" s="36"/>
    </row>
    <row r="66" spans="1:15" x14ac:dyDescent="0.35">
      <c r="A66" s="130" t="s">
        <v>125</v>
      </c>
      <c r="B66" s="11" t="s">
        <v>31</v>
      </c>
      <c r="C66" s="36">
        <v>60017</v>
      </c>
      <c r="D66" s="36"/>
      <c r="E66" s="36"/>
      <c r="F66" s="36"/>
      <c r="G66" s="36"/>
      <c r="H66" s="36"/>
      <c r="I66" s="36"/>
      <c r="J66" s="36"/>
      <c r="K66" s="36"/>
      <c r="L66" s="36"/>
      <c r="M66" s="36"/>
      <c r="N66" s="36"/>
      <c r="O66" s="36"/>
    </row>
    <row r="67" spans="1:15" x14ac:dyDescent="0.35">
      <c r="A67" s="82"/>
      <c r="B67" s="129" t="s">
        <v>34</v>
      </c>
      <c r="C67" s="36"/>
      <c r="D67" s="36">
        <v>60017</v>
      </c>
      <c r="E67" s="36"/>
      <c r="F67" s="36"/>
      <c r="G67" s="36"/>
      <c r="H67" s="36"/>
      <c r="I67" s="36"/>
      <c r="J67" s="36"/>
      <c r="K67" s="36"/>
      <c r="L67" s="36"/>
      <c r="M67" s="36"/>
      <c r="N67" s="36"/>
      <c r="O67" s="36"/>
    </row>
    <row r="68" spans="1:15" x14ac:dyDescent="0.35">
      <c r="A68" s="82"/>
      <c r="B68" s="131" t="s">
        <v>126</v>
      </c>
      <c r="C68" s="36"/>
      <c r="D68" s="36"/>
      <c r="E68" s="36"/>
      <c r="F68" s="36"/>
      <c r="G68" s="36"/>
      <c r="H68" s="36"/>
      <c r="I68" s="36"/>
      <c r="J68" s="36"/>
      <c r="K68" s="36"/>
      <c r="L68" s="36"/>
      <c r="M68" s="36"/>
      <c r="N68" s="36"/>
      <c r="O68" s="36"/>
    </row>
    <row r="69" spans="1:15" x14ac:dyDescent="0.35">
      <c r="A69" s="82"/>
      <c r="B69" s="11"/>
      <c r="C69" s="36"/>
      <c r="D69" s="36"/>
      <c r="E69" s="36"/>
      <c r="F69" s="36"/>
      <c r="G69" s="36"/>
      <c r="H69" s="36"/>
      <c r="I69" s="36"/>
      <c r="J69" s="36"/>
      <c r="K69" s="36"/>
      <c r="L69" s="36"/>
      <c r="M69" s="36"/>
      <c r="N69" s="36"/>
      <c r="O69" s="36"/>
    </row>
    <row r="70" spans="1:15" x14ac:dyDescent="0.35">
      <c r="A70" s="130" t="s">
        <v>127</v>
      </c>
      <c r="B70" s="128" t="s">
        <v>56</v>
      </c>
      <c r="C70" s="36">
        <v>7930</v>
      </c>
      <c r="D70" s="36"/>
      <c r="E70" s="36"/>
      <c r="F70" s="36"/>
      <c r="G70" s="36"/>
      <c r="H70" s="36"/>
      <c r="I70" s="36"/>
      <c r="J70" s="36"/>
      <c r="K70" s="36"/>
      <c r="L70" s="36"/>
      <c r="M70" s="36"/>
      <c r="N70" s="36"/>
      <c r="O70" s="36"/>
    </row>
    <row r="71" spans="1:15" x14ac:dyDescent="0.35">
      <c r="A71" s="82"/>
      <c r="B71" s="129" t="s">
        <v>35</v>
      </c>
      <c r="C71" s="36"/>
      <c r="D71" s="36">
        <v>7930</v>
      </c>
      <c r="E71" s="36"/>
      <c r="F71" s="36"/>
      <c r="G71" s="36"/>
      <c r="H71" s="36"/>
      <c r="I71" s="36"/>
      <c r="J71" s="36"/>
      <c r="K71" s="36"/>
      <c r="L71" s="36"/>
      <c r="M71" s="36"/>
      <c r="N71" s="36"/>
      <c r="O71" s="36"/>
    </row>
    <row r="72" spans="1:15" x14ac:dyDescent="0.35">
      <c r="A72" s="82"/>
      <c r="B72" s="22" t="s">
        <v>151</v>
      </c>
      <c r="C72" s="36"/>
      <c r="D72" s="36"/>
      <c r="E72" s="36"/>
      <c r="F72" s="36"/>
      <c r="G72" s="36"/>
      <c r="H72" s="36"/>
      <c r="I72" s="36"/>
      <c r="J72" s="36"/>
      <c r="K72" s="36"/>
      <c r="L72" s="36"/>
      <c r="M72" s="36"/>
      <c r="N72" s="36"/>
      <c r="O72" s="36"/>
    </row>
    <row r="73" spans="1:15" x14ac:dyDescent="0.35">
      <c r="A73" s="82"/>
      <c r="C73" s="36"/>
      <c r="D73" s="36"/>
      <c r="E73" s="36"/>
      <c r="F73" s="36"/>
      <c r="G73" s="36"/>
      <c r="H73" s="36"/>
      <c r="I73" s="36"/>
      <c r="J73" s="36"/>
      <c r="K73" s="36"/>
      <c r="L73" s="36"/>
      <c r="M73" s="36"/>
      <c r="N73" s="36"/>
      <c r="O73" s="36"/>
    </row>
    <row r="74" spans="1:15" x14ac:dyDescent="0.35">
      <c r="A74" s="130" t="s">
        <v>129</v>
      </c>
      <c r="B74" s="11" t="s">
        <v>48</v>
      </c>
      <c r="C74" s="36">
        <v>6426</v>
      </c>
      <c r="D74" s="36"/>
      <c r="E74" s="36"/>
      <c r="F74" s="36"/>
      <c r="G74" s="36"/>
      <c r="H74" s="36"/>
      <c r="I74" s="36"/>
      <c r="J74" s="36"/>
      <c r="K74" s="36"/>
      <c r="L74" s="36"/>
      <c r="M74" s="36"/>
      <c r="N74" s="36"/>
      <c r="O74" s="36"/>
    </row>
    <row r="75" spans="1:15" ht="29" x14ac:dyDescent="0.35">
      <c r="A75" s="82"/>
      <c r="B75" s="135" t="s">
        <v>128</v>
      </c>
      <c r="C75" s="36"/>
      <c r="D75" s="36">
        <v>6426</v>
      </c>
      <c r="E75" s="36"/>
      <c r="F75" s="36"/>
      <c r="G75" s="36"/>
      <c r="H75" s="36"/>
      <c r="I75" s="36"/>
      <c r="J75" s="36"/>
      <c r="K75" s="36"/>
      <c r="L75" s="36"/>
      <c r="M75" s="36"/>
      <c r="N75" s="36"/>
      <c r="O75" s="36"/>
    </row>
    <row r="76" spans="1:15" x14ac:dyDescent="0.35">
      <c r="A76" s="82"/>
      <c r="B76" s="22" t="s">
        <v>153</v>
      </c>
      <c r="C76" s="36"/>
      <c r="D76" s="36"/>
      <c r="E76" s="36"/>
      <c r="F76" s="36"/>
      <c r="G76" s="36"/>
      <c r="H76" s="36"/>
      <c r="I76" s="36"/>
      <c r="J76" s="36"/>
      <c r="K76" s="36"/>
      <c r="L76" s="36"/>
      <c r="M76" s="36"/>
      <c r="N76" s="36"/>
      <c r="O76" s="36"/>
    </row>
    <row r="77" spans="1:15" x14ac:dyDescent="0.35">
      <c r="A77" s="82"/>
      <c r="C77" s="36"/>
      <c r="D77" s="36"/>
      <c r="E77" s="36"/>
      <c r="F77" s="36"/>
      <c r="G77" s="36"/>
      <c r="H77" s="36"/>
      <c r="I77" s="36"/>
      <c r="J77" s="36"/>
      <c r="K77" s="36"/>
      <c r="L77" s="36"/>
      <c r="M77" s="36"/>
      <c r="N77" s="36"/>
      <c r="O77" s="36"/>
    </row>
    <row r="78" spans="1:15" x14ac:dyDescent="0.35">
      <c r="A78" s="82"/>
      <c r="C78" s="36"/>
      <c r="D78" s="36"/>
      <c r="E78" s="36"/>
      <c r="F78" s="36"/>
      <c r="G78" s="36"/>
      <c r="H78" s="36"/>
      <c r="I78" s="36"/>
      <c r="J78" s="36"/>
      <c r="K78" s="36"/>
      <c r="L78" s="36"/>
      <c r="M78" s="36"/>
      <c r="N78" s="36"/>
      <c r="O78" s="36"/>
    </row>
    <row r="79" spans="1:15" x14ac:dyDescent="0.35">
      <c r="A79" s="82"/>
      <c r="C79" s="36"/>
      <c r="D79" s="36"/>
      <c r="E79" s="36"/>
      <c r="F79" s="36"/>
      <c r="G79" s="36"/>
      <c r="H79" s="36"/>
      <c r="I79" s="36"/>
      <c r="J79" s="36"/>
      <c r="K79" s="36"/>
      <c r="L79" s="36"/>
      <c r="M79" s="36"/>
      <c r="N79" s="36"/>
      <c r="O79" s="36"/>
    </row>
  </sheetData>
  <mergeCells count="6">
    <mergeCell ref="B11:J11"/>
    <mergeCell ref="B6:J6"/>
    <mergeCell ref="B7:J7"/>
    <mergeCell ref="B8:J8"/>
    <mergeCell ref="B9:J9"/>
    <mergeCell ref="B10:J10"/>
  </mergeCells>
  <pageMargins left="0.25" right="0.26" top="0.42" bottom="0.42" header="0.3" footer="0.17"/>
  <pageSetup scale="52" orientation="portrait" r:id="rId1"/>
  <headerFooter>
    <oddFooter>&amp;L&amp;Z&amp;F - &amp;A&amp;R&amp;D  &amp;T</oddFooter>
  </headerFooter>
  <ignoredErrors>
    <ignoredError sqref="A48:A7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106"/>
  <sheetViews>
    <sheetView tabSelected="1" zoomScale="90" zoomScaleNormal="90" workbookViewId="0">
      <selection activeCell="B115" sqref="B115"/>
    </sheetView>
  </sheetViews>
  <sheetFormatPr defaultColWidth="8.81640625" defaultRowHeight="14.5" x14ac:dyDescent="0.35"/>
  <cols>
    <col min="1" max="1" width="11" customWidth="1"/>
    <col min="2" max="2" width="33.6328125" customWidth="1"/>
    <col min="3" max="5" width="13.6328125" customWidth="1"/>
    <col min="6" max="6" width="14" customWidth="1"/>
    <col min="7" max="7" width="11.81640625" customWidth="1"/>
    <col min="8" max="8" width="11.6328125" customWidth="1"/>
    <col min="9" max="13" width="14.453125" customWidth="1"/>
    <col min="17" max="19" width="10" customWidth="1"/>
  </cols>
  <sheetData>
    <row r="1" spans="1:9" x14ac:dyDescent="0.35">
      <c r="A1" s="4" t="s">
        <v>161</v>
      </c>
    </row>
    <row r="2" spans="1:9" x14ac:dyDescent="0.35">
      <c r="A2" s="4" t="s">
        <v>163</v>
      </c>
    </row>
    <row r="3" spans="1:9" x14ac:dyDescent="0.35">
      <c r="A3" s="4" t="s">
        <v>164</v>
      </c>
    </row>
    <row r="5" spans="1:9" ht="15" thickBot="1" x14ac:dyDescent="0.4">
      <c r="A5" s="53" t="s">
        <v>44</v>
      </c>
    </row>
    <row r="6" spans="1:9" x14ac:dyDescent="0.35">
      <c r="A6" s="151" t="s">
        <v>134</v>
      </c>
      <c r="B6" s="152"/>
      <c r="C6" s="152"/>
      <c r="D6" s="152"/>
      <c r="E6" s="152"/>
      <c r="F6" s="152"/>
      <c r="G6" s="152"/>
      <c r="H6" s="152"/>
      <c r="I6" s="153"/>
    </row>
    <row r="7" spans="1:9" ht="35.25" customHeight="1" x14ac:dyDescent="0.35">
      <c r="A7" s="154" t="s">
        <v>135</v>
      </c>
      <c r="B7" s="155"/>
      <c r="C7" s="155"/>
      <c r="D7" s="155"/>
      <c r="E7" s="155"/>
      <c r="F7" s="155"/>
      <c r="G7" s="155"/>
      <c r="H7" s="155"/>
      <c r="I7" s="156"/>
    </row>
    <row r="8" spans="1:9" x14ac:dyDescent="0.35">
      <c r="A8" s="154" t="s">
        <v>136</v>
      </c>
      <c r="B8" s="155"/>
      <c r="C8" s="155"/>
      <c r="D8" s="155"/>
      <c r="E8" s="155"/>
      <c r="F8" s="155"/>
      <c r="G8" s="155"/>
      <c r="H8" s="155"/>
      <c r="I8" s="156"/>
    </row>
    <row r="9" spans="1:9" x14ac:dyDescent="0.35">
      <c r="A9" s="154" t="s">
        <v>137</v>
      </c>
      <c r="B9" s="155"/>
      <c r="C9" s="155"/>
      <c r="D9" s="155"/>
      <c r="E9" s="155"/>
      <c r="F9" s="155"/>
      <c r="G9" s="155"/>
      <c r="H9" s="155"/>
      <c r="I9" s="156"/>
    </row>
    <row r="10" spans="1:9" x14ac:dyDescent="0.35">
      <c r="A10" s="154" t="s">
        <v>138</v>
      </c>
      <c r="B10" s="155"/>
      <c r="C10" s="155"/>
      <c r="D10" s="155"/>
      <c r="E10" s="155"/>
      <c r="F10" s="155"/>
      <c r="G10" s="155"/>
      <c r="H10" s="155"/>
      <c r="I10" s="156"/>
    </row>
    <row r="11" spans="1:9" ht="15" thickBot="1" x14ac:dyDescent="0.4">
      <c r="A11" s="148" t="s">
        <v>139</v>
      </c>
      <c r="B11" s="149"/>
      <c r="C11" s="149"/>
      <c r="D11" s="149"/>
      <c r="E11" s="149"/>
      <c r="F11" s="149"/>
      <c r="G11" s="149"/>
      <c r="H11" s="149"/>
      <c r="I11" s="150"/>
    </row>
    <row r="13" spans="1:9" x14ac:dyDescent="0.35">
      <c r="C13" s="82" t="s">
        <v>110</v>
      </c>
      <c r="F13" s="82" t="s">
        <v>112</v>
      </c>
    </row>
    <row r="14" spans="1:9" x14ac:dyDescent="0.35">
      <c r="C14" s="110" t="s">
        <v>111</v>
      </c>
      <c r="F14" s="110" t="s">
        <v>113</v>
      </c>
    </row>
    <row r="15" spans="1:9" x14ac:dyDescent="0.35">
      <c r="C15" s="1"/>
      <c r="D15" s="108" t="s">
        <v>11</v>
      </c>
    </row>
    <row r="16" spans="1:9" x14ac:dyDescent="0.35">
      <c r="A16" s="80" t="s">
        <v>2</v>
      </c>
      <c r="B16" t="s">
        <v>0</v>
      </c>
      <c r="C16" s="83">
        <v>1000</v>
      </c>
      <c r="D16" s="109" t="s">
        <v>10</v>
      </c>
      <c r="F16" s="107">
        <v>0</v>
      </c>
    </row>
    <row r="17" spans="1:6" x14ac:dyDescent="0.35">
      <c r="A17" s="80" t="s">
        <v>3</v>
      </c>
      <c r="B17" t="s">
        <v>1</v>
      </c>
      <c r="C17" s="84">
        <v>60</v>
      </c>
      <c r="D17" s="109" t="s">
        <v>9</v>
      </c>
      <c r="F17" s="84">
        <v>5</v>
      </c>
    </row>
    <row r="18" spans="1:6" x14ac:dyDescent="0.35">
      <c r="A18" s="80" t="s">
        <v>4</v>
      </c>
      <c r="B18" t="s">
        <v>6</v>
      </c>
      <c r="C18" s="89">
        <v>0.03</v>
      </c>
      <c r="D18" s="109"/>
      <c r="F18" s="89">
        <v>0.03</v>
      </c>
    </row>
    <row r="19" spans="1:6" x14ac:dyDescent="0.35">
      <c r="A19" s="80" t="s">
        <v>5</v>
      </c>
      <c r="B19" t="s">
        <v>7</v>
      </c>
      <c r="C19" s="2">
        <f>+C18/12</f>
        <v>2.5000000000000001E-3</v>
      </c>
      <c r="D19" s="109" t="s">
        <v>8</v>
      </c>
    </row>
    <row r="20" spans="1:6" x14ac:dyDescent="0.35">
      <c r="A20" s="80" t="s">
        <v>15</v>
      </c>
      <c r="B20" t="s">
        <v>12</v>
      </c>
      <c r="C20" s="107">
        <v>0</v>
      </c>
      <c r="D20" s="109" t="s">
        <v>13</v>
      </c>
      <c r="F20" s="83">
        <v>2000</v>
      </c>
    </row>
    <row r="21" spans="1:6" ht="58" x14ac:dyDescent="0.35">
      <c r="A21" s="80" t="s">
        <v>16</v>
      </c>
      <c r="B21" s="5" t="s">
        <v>107</v>
      </c>
      <c r="C21" s="45">
        <v>1</v>
      </c>
      <c r="D21" s="109" t="s">
        <v>14</v>
      </c>
      <c r="F21" s="45">
        <v>1</v>
      </c>
    </row>
    <row r="22" spans="1:6" x14ac:dyDescent="0.35">
      <c r="A22" s="80" t="s">
        <v>99</v>
      </c>
      <c r="B22" t="s">
        <v>101</v>
      </c>
      <c r="C22" s="88">
        <v>43922</v>
      </c>
      <c r="D22" s="109"/>
    </row>
    <row r="23" spans="1:6" ht="29" x14ac:dyDescent="0.35">
      <c r="A23" s="80" t="s">
        <v>102</v>
      </c>
      <c r="B23" s="5" t="s">
        <v>103</v>
      </c>
      <c r="C23" s="45">
        <v>1</v>
      </c>
      <c r="D23" s="109"/>
    </row>
    <row r="25" spans="1:6" x14ac:dyDescent="0.35">
      <c r="B25" s="91" t="s">
        <v>22</v>
      </c>
      <c r="C25" s="92">
        <f>PV(C19,C17,-C16,C20,C21)</f>
        <v>55791.488581021324</v>
      </c>
    </row>
    <row r="26" spans="1:6" x14ac:dyDescent="0.35">
      <c r="B26" s="91"/>
      <c r="C26" s="105"/>
    </row>
    <row r="27" spans="1:6" x14ac:dyDescent="0.35">
      <c r="B27" s="91" t="s">
        <v>77</v>
      </c>
      <c r="C27" s="92">
        <f>PV(F18,F17,F16,-F20,F21)</f>
        <v>1725.2175687683282</v>
      </c>
    </row>
    <row r="28" spans="1:6" x14ac:dyDescent="0.35">
      <c r="B28" s="91"/>
      <c r="C28" s="105"/>
    </row>
    <row r="29" spans="1:6" ht="15" thickBot="1" x14ac:dyDescent="0.4">
      <c r="B29" s="91" t="s">
        <v>78</v>
      </c>
      <c r="C29" s="106">
        <f>+C25+C27</f>
        <v>57516.70614978965</v>
      </c>
    </row>
    <row r="30" spans="1:6" ht="15" thickTop="1" x14ac:dyDescent="0.35"/>
    <row r="31" spans="1:6" x14ac:dyDescent="0.35">
      <c r="B31" s="4" t="s">
        <v>114</v>
      </c>
      <c r="C31" s="111">
        <f>PMT(C19,C17,-C25,0,1)</f>
        <v>999.99999999998317</v>
      </c>
    </row>
    <row r="33" spans="1:13" x14ac:dyDescent="0.35">
      <c r="B33" s="24" t="s">
        <v>27</v>
      </c>
    </row>
    <row r="39" spans="1:13" x14ac:dyDescent="0.35">
      <c r="A39" s="7"/>
      <c r="B39" s="93" t="s">
        <v>108</v>
      </c>
      <c r="C39" s="8"/>
      <c r="D39" s="8"/>
      <c r="E39" s="8"/>
      <c r="F39" s="9"/>
    </row>
    <row r="40" spans="1:13" x14ac:dyDescent="0.35">
      <c r="A40" s="10"/>
      <c r="B40" s="11"/>
      <c r="C40" s="79"/>
      <c r="D40" s="18"/>
      <c r="E40" s="11"/>
      <c r="F40" s="12"/>
    </row>
    <row r="41" spans="1:13" x14ac:dyDescent="0.35">
      <c r="A41" s="86" t="s">
        <v>17</v>
      </c>
      <c r="B41" s="11"/>
      <c r="C41" s="11"/>
      <c r="D41" s="11"/>
      <c r="E41" s="11"/>
      <c r="F41" s="12"/>
    </row>
    <row r="42" spans="1:13" x14ac:dyDescent="0.35">
      <c r="A42" s="87" t="s">
        <v>104</v>
      </c>
      <c r="B42" s="20" t="s">
        <v>98</v>
      </c>
      <c r="C42" s="20" t="s">
        <v>17</v>
      </c>
      <c r="D42" s="20" t="s">
        <v>19</v>
      </c>
      <c r="E42" s="20" t="s">
        <v>18</v>
      </c>
      <c r="F42" s="21" t="s">
        <v>20</v>
      </c>
      <c r="I42" s="114" t="s">
        <v>115</v>
      </c>
      <c r="J42" s="115"/>
    </row>
    <row r="43" spans="1:13" x14ac:dyDescent="0.35">
      <c r="A43" s="10"/>
      <c r="B43" s="11"/>
      <c r="C43" s="29"/>
      <c r="D43" s="29"/>
      <c r="E43" s="29"/>
      <c r="F43" s="112">
        <f>ROUND(C29,0)</f>
        <v>57517</v>
      </c>
      <c r="G43" s="6"/>
    </row>
    <row r="44" spans="1:13" x14ac:dyDescent="0.35">
      <c r="A44" s="86">
        <v>1</v>
      </c>
      <c r="B44" s="77">
        <f>+C22</f>
        <v>43922</v>
      </c>
      <c r="C44" s="31">
        <f>ROUND(+$C$31,0)</f>
        <v>1000</v>
      </c>
      <c r="D44" s="31">
        <v>0</v>
      </c>
      <c r="E44" s="31">
        <f>+C44-D44</f>
        <v>1000</v>
      </c>
      <c r="F44" s="26">
        <f>+F43-E44</f>
        <v>56517</v>
      </c>
      <c r="G44" s="6"/>
      <c r="H44" s="3"/>
      <c r="I44" s="114" t="s">
        <v>85</v>
      </c>
      <c r="J44" s="115"/>
    </row>
    <row r="45" spans="1:13" x14ac:dyDescent="0.35">
      <c r="A45" s="86">
        <v>2</v>
      </c>
      <c r="B45" s="77">
        <f>DATE(YEAR(B44),MONTH(B44)+$C$23,DAY(B44))</f>
        <v>43952</v>
      </c>
      <c r="C45" s="66">
        <f t="shared" ref="C45:C102" si="0">ROUND(+$C$31,0)</f>
        <v>1000</v>
      </c>
      <c r="D45" s="66">
        <f>ROUND(+F44*$C$19,0)</f>
        <v>141</v>
      </c>
      <c r="E45" s="66">
        <f>+C45-D45</f>
        <v>859</v>
      </c>
      <c r="F45" s="26">
        <f>+F44-E45</f>
        <v>55658</v>
      </c>
      <c r="G45" s="6"/>
    </row>
    <row r="46" spans="1:13" x14ac:dyDescent="0.35">
      <c r="A46" s="86">
        <v>3</v>
      </c>
      <c r="B46" s="77">
        <v>43983</v>
      </c>
      <c r="C46" s="66">
        <f t="shared" si="0"/>
        <v>1000</v>
      </c>
      <c r="D46" s="66">
        <f t="shared" ref="D46:D102" si="1">ROUND(+F45*$C$19,0)</f>
        <v>139</v>
      </c>
      <c r="E46" s="66">
        <f t="shared" ref="E46:E102" si="2">+C46-D46</f>
        <v>861</v>
      </c>
      <c r="F46" s="26">
        <f t="shared" ref="F46:F103" si="3">+F45-E46</f>
        <v>54797</v>
      </c>
      <c r="G46" s="6"/>
    </row>
    <row r="47" spans="1:13" x14ac:dyDescent="0.35">
      <c r="A47" s="86">
        <v>4</v>
      </c>
      <c r="B47" s="77">
        <v>44013</v>
      </c>
      <c r="C47" s="66">
        <f t="shared" si="0"/>
        <v>1000</v>
      </c>
      <c r="D47" s="66">
        <f t="shared" si="1"/>
        <v>137</v>
      </c>
      <c r="E47" s="66">
        <f t="shared" si="2"/>
        <v>863</v>
      </c>
      <c r="F47" s="26">
        <f t="shared" si="3"/>
        <v>53934</v>
      </c>
      <c r="G47" s="6"/>
      <c r="J47" s="126" t="s">
        <v>95</v>
      </c>
      <c r="K47" s="120"/>
      <c r="L47" s="120"/>
      <c r="M47" s="120"/>
    </row>
    <row r="48" spans="1:13" x14ac:dyDescent="0.35">
      <c r="A48" s="86">
        <v>5</v>
      </c>
      <c r="B48" s="77">
        <v>44044</v>
      </c>
      <c r="C48" s="66">
        <f t="shared" si="0"/>
        <v>1000</v>
      </c>
      <c r="D48" s="66">
        <f t="shared" si="1"/>
        <v>135</v>
      </c>
      <c r="E48" s="66">
        <f t="shared" si="2"/>
        <v>865</v>
      </c>
      <c r="F48" s="26">
        <f t="shared" si="3"/>
        <v>53069</v>
      </c>
      <c r="G48" s="6"/>
      <c r="J48" s="125" t="s">
        <v>116</v>
      </c>
      <c r="K48" s="125" t="s">
        <v>18</v>
      </c>
      <c r="L48" s="125" t="s">
        <v>19</v>
      </c>
      <c r="M48" s="125" t="s">
        <v>65</v>
      </c>
    </row>
    <row r="49" spans="1:14" x14ac:dyDescent="0.35">
      <c r="A49" s="86">
        <v>6</v>
      </c>
      <c r="B49" s="77">
        <v>44075</v>
      </c>
      <c r="C49" s="66">
        <f t="shared" si="0"/>
        <v>1000</v>
      </c>
      <c r="D49" s="66">
        <f t="shared" si="1"/>
        <v>133</v>
      </c>
      <c r="E49" s="66">
        <f t="shared" si="2"/>
        <v>867</v>
      </c>
      <c r="F49" s="26">
        <f t="shared" si="3"/>
        <v>52202</v>
      </c>
      <c r="G49" s="6"/>
      <c r="J49" s="121">
        <v>2021</v>
      </c>
      <c r="K49" s="122">
        <f>SUM(E53:E64)</f>
        <v>10657</v>
      </c>
      <c r="L49" s="122">
        <f>SUM(D53:D64)</f>
        <v>1343</v>
      </c>
      <c r="M49" s="122">
        <f>SUM(K49:L49)</f>
        <v>12000</v>
      </c>
      <c r="N49" s="36"/>
    </row>
    <row r="50" spans="1:14" x14ac:dyDescent="0.35">
      <c r="A50" s="86">
        <v>7</v>
      </c>
      <c r="B50" s="77">
        <v>44105</v>
      </c>
      <c r="C50" s="66">
        <f t="shared" si="0"/>
        <v>1000</v>
      </c>
      <c r="D50" s="66">
        <f t="shared" si="1"/>
        <v>131</v>
      </c>
      <c r="E50" s="66">
        <f t="shared" si="2"/>
        <v>869</v>
      </c>
      <c r="F50" s="113">
        <f t="shared" si="3"/>
        <v>51333</v>
      </c>
      <c r="G50" s="117" t="s">
        <v>37</v>
      </c>
      <c r="H50" s="118"/>
      <c r="J50" s="121">
        <v>2022</v>
      </c>
      <c r="K50" s="123">
        <f>SUM(E65:E76)</f>
        <v>10982</v>
      </c>
      <c r="L50" s="123">
        <f>SUM(D65:D76)</f>
        <v>1018</v>
      </c>
      <c r="M50" s="123">
        <f t="shared" ref="M50:M54" si="4">SUM(K50:L50)</f>
        <v>12000</v>
      </c>
      <c r="N50" s="36"/>
    </row>
    <row r="51" spans="1:14" x14ac:dyDescent="0.35">
      <c r="A51" s="86">
        <v>8</v>
      </c>
      <c r="B51" s="77">
        <v>44136</v>
      </c>
      <c r="C51" s="66">
        <f t="shared" si="0"/>
        <v>1000</v>
      </c>
      <c r="D51" s="66">
        <f t="shared" si="1"/>
        <v>128</v>
      </c>
      <c r="E51" s="66">
        <f t="shared" si="2"/>
        <v>872</v>
      </c>
      <c r="F51" s="113">
        <f t="shared" si="3"/>
        <v>50461</v>
      </c>
      <c r="G51" s="119" t="s">
        <v>19</v>
      </c>
      <c r="H51" s="119" t="s">
        <v>18</v>
      </c>
      <c r="J51" s="121">
        <v>2023</v>
      </c>
      <c r="K51" s="123">
        <f>SUM(E77:E88)</f>
        <v>11316</v>
      </c>
      <c r="L51" s="123">
        <f>SUM(D77:D88)</f>
        <v>684</v>
      </c>
      <c r="M51" s="123">
        <f t="shared" si="4"/>
        <v>12000</v>
      </c>
      <c r="N51" s="36"/>
    </row>
    <row r="52" spans="1:14" x14ac:dyDescent="0.35">
      <c r="A52" s="86">
        <v>9</v>
      </c>
      <c r="B52" s="77">
        <v>44166</v>
      </c>
      <c r="C52" s="66">
        <f t="shared" si="0"/>
        <v>1000</v>
      </c>
      <c r="D52" s="66">
        <f t="shared" si="1"/>
        <v>126</v>
      </c>
      <c r="E52" s="66">
        <f t="shared" si="2"/>
        <v>874</v>
      </c>
      <c r="F52" s="113">
        <f t="shared" si="3"/>
        <v>49587</v>
      </c>
      <c r="G52" s="116">
        <f>SUM(D44:D52)</f>
        <v>1070</v>
      </c>
      <c r="H52" s="116">
        <f>SUM(E44:E52)</f>
        <v>7930</v>
      </c>
      <c r="J52" s="121">
        <v>2024</v>
      </c>
      <c r="K52" s="123">
        <f>SUM(E89:E100)</f>
        <v>11660</v>
      </c>
      <c r="L52" s="123">
        <f>SUM(D89:D100)</f>
        <v>340</v>
      </c>
      <c r="M52" s="123">
        <f t="shared" si="4"/>
        <v>12000</v>
      </c>
      <c r="N52" s="36"/>
    </row>
    <row r="53" spans="1:14" x14ac:dyDescent="0.35">
      <c r="A53" s="86">
        <v>10</v>
      </c>
      <c r="B53" s="77">
        <v>44197</v>
      </c>
      <c r="C53" s="66">
        <f t="shared" si="0"/>
        <v>1000</v>
      </c>
      <c r="D53" s="66">
        <f t="shared" si="1"/>
        <v>124</v>
      </c>
      <c r="E53" s="66">
        <f t="shared" si="2"/>
        <v>876</v>
      </c>
      <c r="F53" s="26">
        <f t="shared" si="3"/>
        <v>48711</v>
      </c>
      <c r="G53" s="6"/>
      <c r="H53" s="6"/>
      <c r="J53" s="121">
        <v>2025</v>
      </c>
      <c r="K53" s="123">
        <f>SUM(E101:E103)</f>
        <v>4972</v>
      </c>
      <c r="L53" s="123">
        <f>SUM(D101:D103)</f>
        <v>28</v>
      </c>
      <c r="M53" s="123">
        <f t="shared" si="4"/>
        <v>5000</v>
      </c>
      <c r="N53" s="36"/>
    </row>
    <row r="54" spans="1:14" x14ac:dyDescent="0.35">
      <c r="A54" s="86">
        <v>11</v>
      </c>
      <c r="B54" s="77">
        <v>44228</v>
      </c>
      <c r="C54" s="66">
        <f t="shared" si="0"/>
        <v>1000</v>
      </c>
      <c r="D54" s="66">
        <f t="shared" si="1"/>
        <v>122</v>
      </c>
      <c r="E54" s="66">
        <f t="shared" si="2"/>
        <v>878</v>
      </c>
      <c r="F54" s="26">
        <f t="shared" si="3"/>
        <v>47833</v>
      </c>
      <c r="G54" s="6"/>
      <c r="H54" s="6"/>
      <c r="J54" s="121" t="s">
        <v>24</v>
      </c>
      <c r="K54" s="124">
        <f>SUM(K49:K53)</f>
        <v>49587</v>
      </c>
      <c r="L54" s="124">
        <f>SUM(L49:L53)</f>
        <v>3413</v>
      </c>
      <c r="M54" s="124">
        <f t="shared" si="4"/>
        <v>53000</v>
      </c>
      <c r="N54" s="36"/>
    </row>
    <row r="55" spans="1:14" x14ac:dyDescent="0.35">
      <c r="A55" s="86">
        <v>12</v>
      </c>
      <c r="B55" s="77">
        <v>44256</v>
      </c>
      <c r="C55" s="66">
        <f t="shared" si="0"/>
        <v>1000</v>
      </c>
      <c r="D55" s="66">
        <f t="shared" si="1"/>
        <v>120</v>
      </c>
      <c r="E55" s="66">
        <f t="shared" si="2"/>
        <v>880</v>
      </c>
      <c r="F55" s="26">
        <f t="shared" si="3"/>
        <v>46953</v>
      </c>
      <c r="G55" s="6"/>
      <c r="H55" s="6"/>
      <c r="K55" s="36"/>
      <c r="L55" s="36"/>
      <c r="M55" s="36"/>
      <c r="N55" s="36"/>
    </row>
    <row r="56" spans="1:14" x14ac:dyDescent="0.35">
      <c r="A56" s="86">
        <v>13</v>
      </c>
      <c r="B56" s="77">
        <v>44287</v>
      </c>
      <c r="C56" s="66">
        <f t="shared" si="0"/>
        <v>1000</v>
      </c>
      <c r="D56" s="66">
        <f t="shared" si="1"/>
        <v>117</v>
      </c>
      <c r="E56" s="66">
        <f t="shared" si="2"/>
        <v>883</v>
      </c>
      <c r="F56" s="26">
        <f t="shared" si="3"/>
        <v>46070</v>
      </c>
      <c r="G56" s="6"/>
      <c r="H56" s="6"/>
      <c r="K56" s="36"/>
      <c r="L56" s="36"/>
      <c r="M56" s="36"/>
      <c r="N56" s="36"/>
    </row>
    <row r="57" spans="1:14" x14ac:dyDescent="0.35">
      <c r="A57" s="86">
        <v>14</v>
      </c>
      <c r="B57" s="77">
        <v>44317</v>
      </c>
      <c r="C57" s="66">
        <f t="shared" si="0"/>
        <v>1000</v>
      </c>
      <c r="D57" s="66">
        <f t="shared" si="1"/>
        <v>115</v>
      </c>
      <c r="E57" s="66">
        <f t="shared" si="2"/>
        <v>885</v>
      </c>
      <c r="F57" s="26">
        <f t="shared" si="3"/>
        <v>45185</v>
      </c>
      <c r="G57" s="6"/>
      <c r="K57" s="36"/>
      <c r="L57" s="36"/>
      <c r="M57" s="36"/>
      <c r="N57" s="36"/>
    </row>
    <row r="58" spans="1:14" x14ac:dyDescent="0.35">
      <c r="A58" s="86">
        <v>15</v>
      </c>
      <c r="B58" s="77">
        <v>44348</v>
      </c>
      <c r="C58" s="66">
        <f t="shared" si="0"/>
        <v>1000</v>
      </c>
      <c r="D58" s="66">
        <f t="shared" si="1"/>
        <v>113</v>
      </c>
      <c r="E58" s="66">
        <f t="shared" si="2"/>
        <v>887</v>
      </c>
      <c r="F58" s="26">
        <f t="shared" si="3"/>
        <v>44298</v>
      </c>
      <c r="G58" s="6"/>
    </row>
    <row r="59" spans="1:14" x14ac:dyDescent="0.35">
      <c r="A59" s="86">
        <v>16</v>
      </c>
      <c r="B59" s="77">
        <v>44378</v>
      </c>
      <c r="C59" s="66">
        <f t="shared" si="0"/>
        <v>1000</v>
      </c>
      <c r="D59" s="66">
        <f t="shared" si="1"/>
        <v>111</v>
      </c>
      <c r="E59" s="66">
        <f t="shared" si="2"/>
        <v>889</v>
      </c>
      <c r="F59" s="26">
        <f t="shared" si="3"/>
        <v>43409</v>
      </c>
      <c r="G59" s="6"/>
    </row>
    <row r="60" spans="1:14" x14ac:dyDescent="0.35">
      <c r="A60" s="86">
        <v>17</v>
      </c>
      <c r="B60" s="77">
        <v>44409</v>
      </c>
      <c r="C60" s="66">
        <f t="shared" si="0"/>
        <v>1000</v>
      </c>
      <c r="D60" s="66">
        <f t="shared" si="1"/>
        <v>109</v>
      </c>
      <c r="E60" s="66">
        <f t="shared" si="2"/>
        <v>891</v>
      </c>
      <c r="F60" s="26">
        <f t="shared" si="3"/>
        <v>42518</v>
      </c>
      <c r="G60" s="6"/>
    </row>
    <row r="61" spans="1:14" x14ac:dyDescent="0.35">
      <c r="A61" s="86">
        <v>18</v>
      </c>
      <c r="B61" s="77">
        <v>44440</v>
      </c>
      <c r="C61" s="66">
        <f t="shared" si="0"/>
        <v>1000</v>
      </c>
      <c r="D61" s="66">
        <f t="shared" si="1"/>
        <v>106</v>
      </c>
      <c r="E61" s="66">
        <f t="shared" si="2"/>
        <v>894</v>
      </c>
      <c r="F61" s="26">
        <f t="shared" si="3"/>
        <v>41624</v>
      </c>
      <c r="G61" s="6"/>
    </row>
    <row r="62" spans="1:14" x14ac:dyDescent="0.35">
      <c r="A62" s="86">
        <v>19</v>
      </c>
      <c r="B62" s="77">
        <v>44470</v>
      </c>
      <c r="C62" s="66">
        <f t="shared" si="0"/>
        <v>1000</v>
      </c>
      <c r="D62" s="66">
        <f t="shared" si="1"/>
        <v>104</v>
      </c>
      <c r="E62" s="66">
        <f t="shared" si="2"/>
        <v>896</v>
      </c>
      <c r="F62" s="26">
        <f t="shared" si="3"/>
        <v>40728</v>
      </c>
      <c r="G62" s="6"/>
    </row>
    <row r="63" spans="1:14" x14ac:dyDescent="0.35">
      <c r="A63" s="86">
        <v>20</v>
      </c>
      <c r="B63" s="77">
        <v>44501</v>
      </c>
      <c r="C63" s="66">
        <f t="shared" si="0"/>
        <v>1000</v>
      </c>
      <c r="D63" s="66">
        <f t="shared" si="1"/>
        <v>102</v>
      </c>
      <c r="E63" s="66">
        <f t="shared" si="2"/>
        <v>898</v>
      </c>
      <c r="F63" s="26">
        <f t="shared" si="3"/>
        <v>39830</v>
      </c>
      <c r="G63" s="6"/>
    </row>
    <row r="64" spans="1:14" x14ac:dyDescent="0.35">
      <c r="A64" s="86">
        <v>21</v>
      </c>
      <c r="B64" s="77">
        <v>44531</v>
      </c>
      <c r="C64" s="66">
        <f t="shared" si="0"/>
        <v>1000</v>
      </c>
      <c r="D64" s="66">
        <f t="shared" si="1"/>
        <v>100</v>
      </c>
      <c r="E64" s="66">
        <f t="shared" si="2"/>
        <v>900</v>
      </c>
      <c r="F64" s="26">
        <f t="shared" si="3"/>
        <v>38930</v>
      </c>
      <c r="G64" s="6"/>
    </row>
    <row r="65" spans="1:7" x14ac:dyDescent="0.35">
      <c r="A65" s="86">
        <v>22</v>
      </c>
      <c r="B65" s="77">
        <v>44562</v>
      </c>
      <c r="C65" s="66">
        <f t="shared" si="0"/>
        <v>1000</v>
      </c>
      <c r="D65" s="66">
        <f t="shared" si="1"/>
        <v>97</v>
      </c>
      <c r="E65" s="66">
        <f t="shared" si="2"/>
        <v>903</v>
      </c>
      <c r="F65" s="26">
        <f t="shared" si="3"/>
        <v>38027</v>
      </c>
      <c r="G65" s="6"/>
    </row>
    <row r="66" spans="1:7" x14ac:dyDescent="0.35">
      <c r="A66" s="86">
        <v>23</v>
      </c>
      <c r="B66" s="77">
        <v>44593</v>
      </c>
      <c r="C66" s="66">
        <f t="shared" si="0"/>
        <v>1000</v>
      </c>
      <c r="D66" s="66">
        <f t="shared" si="1"/>
        <v>95</v>
      </c>
      <c r="E66" s="66">
        <f t="shared" si="2"/>
        <v>905</v>
      </c>
      <c r="F66" s="26">
        <f t="shared" si="3"/>
        <v>37122</v>
      </c>
      <c r="G66" s="6"/>
    </row>
    <row r="67" spans="1:7" x14ac:dyDescent="0.35">
      <c r="A67" s="86">
        <v>24</v>
      </c>
      <c r="B67" s="77">
        <v>44621</v>
      </c>
      <c r="C67" s="66">
        <f t="shared" si="0"/>
        <v>1000</v>
      </c>
      <c r="D67" s="66">
        <f t="shared" si="1"/>
        <v>93</v>
      </c>
      <c r="E67" s="66">
        <f t="shared" si="2"/>
        <v>907</v>
      </c>
      <c r="F67" s="26">
        <f t="shared" si="3"/>
        <v>36215</v>
      </c>
      <c r="G67" s="6"/>
    </row>
    <row r="68" spans="1:7" x14ac:dyDescent="0.35">
      <c r="A68" s="86">
        <v>25</v>
      </c>
      <c r="B68" s="77">
        <v>44652</v>
      </c>
      <c r="C68" s="66">
        <f t="shared" si="0"/>
        <v>1000</v>
      </c>
      <c r="D68" s="66">
        <f t="shared" si="1"/>
        <v>91</v>
      </c>
      <c r="E68" s="66">
        <f t="shared" si="2"/>
        <v>909</v>
      </c>
      <c r="F68" s="26">
        <f t="shared" si="3"/>
        <v>35306</v>
      </c>
      <c r="G68" s="6"/>
    </row>
    <row r="69" spans="1:7" x14ac:dyDescent="0.35">
      <c r="A69" s="86">
        <v>26</v>
      </c>
      <c r="B69" s="77">
        <v>44682</v>
      </c>
      <c r="C69" s="66">
        <f t="shared" si="0"/>
        <v>1000</v>
      </c>
      <c r="D69" s="66">
        <f t="shared" si="1"/>
        <v>88</v>
      </c>
      <c r="E69" s="66">
        <f t="shared" si="2"/>
        <v>912</v>
      </c>
      <c r="F69" s="26">
        <f t="shared" si="3"/>
        <v>34394</v>
      </c>
      <c r="G69" s="6"/>
    </row>
    <row r="70" spans="1:7" x14ac:dyDescent="0.35">
      <c r="A70" s="86">
        <v>27</v>
      </c>
      <c r="B70" s="77">
        <v>44713</v>
      </c>
      <c r="C70" s="66">
        <f t="shared" si="0"/>
        <v>1000</v>
      </c>
      <c r="D70" s="66">
        <f t="shared" si="1"/>
        <v>86</v>
      </c>
      <c r="E70" s="66">
        <f t="shared" si="2"/>
        <v>914</v>
      </c>
      <c r="F70" s="26">
        <f t="shared" si="3"/>
        <v>33480</v>
      </c>
      <c r="G70" s="6"/>
    </row>
    <row r="71" spans="1:7" x14ac:dyDescent="0.35">
      <c r="A71" s="86">
        <v>28</v>
      </c>
      <c r="B71" s="77">
        <v>44743</v>
      </c>
      <c r="C71" s="66">
        <f t="shared" si="0"/>
        <v>1000</v>
      </c>
      <c r="D71" s="66">
        <f t="shared" si="1"/>
        <v>84</v>
      </c>
      <c r="E71" s="66">
        <f t="shared" si="2"/>
        <v>916</v>
      </c>
      <c r="F71" s="26">
        <f t="shared" si="3"/>
        <v>32564</v>
      </c>
      <c r="G71" s="6"/>
    </row>
    <row r="72" spans="1:7" x14ac:dyDescent="0.35">
      <c r="A72" s="86">
        <v>29</v>
      </c>
      <c r="B72" s="77">
        <v>44774</v>
      </c>
      <c r="C72" s="66">
        <f t="shared" si="0"/>
        <v>1000</v>
      </c>
      <c r="D72" s="66">
        <f t="shared" si="1"/>
        <v>81</v>
      </c>
      <c r="E72" s="66">
        <f t="shared" si="2"/>
        <v>919</v>
      </c>
      <c r="F72" s="26">
        <f t="shared" si="3"/>
        <v>31645</v>
      </c>
      <c r="G72" s="6"/>
    </row>
    <row r="73" spans="1:7" x14ac:dyDescent="0.35">
      <c r="A73" s="86">
        <v>30</v>
      </c>
      <c r="B73" s="77">
        <v>44805</v>
      </c>
      <c r="C73" s="66">
        <f t="shared" si="0"/>
        <v>1000</v>
      </c>
      <c r="D73" s="66">
        <f t="shared" si="1"/>
        <v>79</v>
      </c>
      <c r="E73" s="66">
        <f t="shared" si="2"/>
        <v>921</v>
      </c>
      <c r="F73" s="26">
        <f t="shared" si="3"/>
        <v>30724</v>
      </c>
      <c r="G73" s="6"/>
    </row>
    <row r="74" spans="1:7" x14ac:dyDescent="0.35">
      <c r="A74" s="86">
        <v>31</v>
      </c>
      <c r="B74" s="77">
        <v>44835</v>
      </c>
      <c r="C74" s="66">
        <f t="shared" si="0"/>
        <v>1000</v>
      </c>
      <c r="D74" s="66">
        <f t="shared" si="1"/>
        <v>77</v>
      </c>
      <c r="E74" s="66">
        <f t="shared" si="2"/>
        <v>923</v>
      </c>
      <c r="F74" s="26">
        <f t="shared" si="3"/>
        <v>29801</v>
      </c>
      <c r="G74" s="6"/>
    </row>
    <row r="75" spans="1:7" x14ac:dyDescent="0.35">
      <c r="A75" s="86">
        <v>32</v>
      </c>
      <c r="B75" s="77">
        <v>44866</v>
      </c>
      <c r="C75" s="66">
        <f t="shared" si="0"/>
        <v>1000</v>
      </c>
      <c r="D75" s="66">
        <f t="shared" si="1"/>
        <v>75</v>
      </c>
      <c r="E75" s="66">
        <f t="shared" si="2"/>
        <v>925</v>
      </c>
      <c r="F75" s="26">
        <f t="shared" si="3"/>
        <v>28876</v>
      </c>
      <c r="G75" s="6"/>
    </row>
    <row r="76" spans="1:7" x14ac:dyDescent="0.35">
      <c r="A76" s="86">
        <v>33</v>
      </c>
      <c r="B76" s="77">
        <v>44896</v>
      </c>
      <c r="C76" s="66">
        <f t="shared" si="0"/>
        <v>1000</v>
      </c>
      <c r="D76" s="66">
        <f t="shared" si="1"/>
        <v>72</v>
      </c>
      <c r="E76" s="66">
        <f t="shared" si="2"/>
        <v>928</v>
      </c>
      <c r="F76" s="26">
        <f t="shared" si="3"/>
        <v>27948</v>
      </c>
      <c r="G76" s="6"/>
    </row>
    <row r="77" spans="1:7" x14ac:dyDescent="0.35">
      <c r="A77" s="86">
        <v>34</v>
      </c>
      <c r="B77" s="77">
        <v>44927</v>
      </c>
      <c r="C77" s="66">
        <f t="shared" si="0"/>
        <v>1000</v>
      </c>
      <c r="D77" s="66">
        <f t="shared" si="1"/>
        <v>70</v>
      </c>
      <c r="E77" s="66">
        <f t="shared" si="2"/>
        <v>930</v>
      </c>
      <c r="F77" s="26">
        <f t="shared" si="3"/>
        <v>27018</v>
      </c>
      <c r="G77" s="6"/>
    </row>
    <row r="78" spans="1:7" x14ac:dyDescent="0.35">
      <c r="A78" s="86">
        <v>35</v>
      </c>
      <c r="B78" s="77">
        <v>44958</v>
      </c>
      <c r="C78" s="66">
        <f t="shared" si="0"/>
        <v>1000</v>
      </c>
      <c r="D78" s="66">
        <f t="shared" si="1"/>
        <v>68</v>
      </c>
      <c r="E78" s="66">
        <f t="shared" si="2"/>
        <v>932</v>
      </c>
      <c r="F78" s="26">
        <f t="shared" si="3"/>
        <v>26086</v>
      </c>
      <c r="G78" s="6"/>
    </row>
    <row r="79" spans="1:7" x14ac:dyDescent="0.35">
      <c r="A79" s="86">
        <v>36</v>
      </c>
      <c r="B79" s="77">
        <v>44986</v>
      </c>
      <c r="C79" s="66">
        <f t="shared" si="0"/>
        <v>1000</v>
      </c>
      <c r="D79" s="66">
        <f t="shared" si="1"/>
        <v>65</v>
      </c>
      <c r="E79" s="66">
        <f t="shared" si="2"/>
        <v>935</v>
      </c>
      <c r="F79" s="26">
        <f t="shared" si="3"/>
        <v>25151</v>
      </c>
      <c r="G79" s="6"/>
    </row>
    <row r="80" spans="1:7" x14ac:dyDescent="0.35">
      <c r="A80" s="86">
        <v>37</v>
      </c>
      <c r="B80" s="77">
        <v>45017</v>
      </c>
      <c r="C80" s="66">
        <f t="shared" si="0"/>
        <v>1000</v>
      </c>
      <c r="D80" s="66">
        <f t="shared" si="1"/>
        <v>63</v>
      </c>
      <c r="E80" s="66">
        <f t="shared" si="2"/>
        <v>937</v>
      </c>
      <c r="F80" s="26">
        <f t="shared" si="3"/>
        <v>24214</v>
      </c>
      <c r="G80" s="6"/>
    </row>
    <row r="81" spans="1:7" x14ac:dyDescent="0.35">
      <c r="A81" s="86">
        <v>38</v>
      </c>
      <c r="B81" s="77">
        <v>45047</v>
      </c>
      <c r="C81" s="66">
        <f t="shared" si="0"/>
        <v>1000</v>
      </c>
      <c r="D81" s="66">
        <f t="shared" si="1"/>
        <v>61</v>
      </c>
      <c r="E81" s="66">
        <f t="shared" si="2"/>
        <v>939</v>
      </c>
      <c r="F81" s="26">
        <f t="shared" si="3"/>
        <v>23275</v>
      </c>
      <c r="G81" s="6"/>
    </row>
    <row r="82" spans="1:7" x14ac:dyDescent="0.35">
      <c r="A82" s="86">
        <v>39</v>
      </c>
      <c r="B82" s="77">
        <v>45078</v>
      </c>
      <c r="C82" s="66">
        <f t="shared" si="0"/>
        <v>1000</v>
      </c>
      <c r="D82" s="66">
        <f t="shared" si="1"/>
        <v>58</v>
      </c>
      <c r="E82" s="66">
        <f t="shared" si="2"/>
        <v>942</v>
      </c>
      <c r="F82" s="26">
        <f t="shared" si="3"/>
        <v>22333</v>
      </c>
      <c r="G82" s="6"/>
    </row>
    <row r="83" spans="1:7" x14ac:dyDescent="0.35">
      <c r="A83" s="86">
        <v>40</v>
      </c>
      <c r="B83" s="77">
        <v>45108</v>
      </c>
      <c r="C83" s="66">
        <f t="shared" si="0"/>
        <v>1000</v>
      </c>
      <c r="D83" s="66">
        <f t="shared" si="1"/>
        <v>56</v>
      </c>
      <c r="E83" s="66">
        <f t="shared" si="2"/>
        <v>944</v>
      </c>
      <c r="F83" s="26">
        <f t="shared" si="3"/>
        <v>21389</v>
      </c>
      <c r="G83" s="6"/>
    </row>
    <row r="84" spans="1:7" x14ac:dyDescent="0.35">
      <c r="A84" s="86">
        <v>41</v>
      </c>
      <c r="B84" s="77">
        <v>45139</v>
      </c>
      <c r="C84" s="66">
        <f t="shared" si="0"/>
        <v>1000</v>
      </c>
      <c r="D84" s="66">
        <f t="shared" si="1"/>
        <v>53</v>
      </c>
      <c r="E84" s="66">
        <f t="shared" si="2"/>
        <v>947</v>
      </c>
      <c r="F84" s="26">
        <f t="shared" si="3"/>
        <v>20442</v>
      </c>
      <c r="G84" s="6"/>
    </row>
    <row r="85" spans="1:7" x14ac:dyDescent="0.35">
      <c r="A85" s="86">
        <v>42</v>
      </c>
      <c r="B85" s="77">
        <v>45170</v>
      </c>
      <c r="C85" s="66">
        <f t="shared" si="0"/>
        <v>1000</v>
      </c>
      <c r="D85" s="66">
        <f t="shared" si="1"/>
        <v>51</v>
      </c>
      <c r="E85" s="66">
        <f t="shared" si="2"/>
        <v>949</v>
      </c>
      <c r="F85" s="26">
        <f t="shared" si="3"/>
        <v>19493</v>
      </c>
      <c r="G85" s="6"/>
    </row>
    <row r="86" spans="1:7" x14ac:dyDescent="0.35">
      <c r="A86" s="86">
        <v>43</v>
      </c>
      <c r="B86" s="77">
        <v>45200</v>
      </c>
      <c r="C86" s="66">
        <f t="shared" si="0"/>
        <v>1000</v>
      </c>
      <c r="D86" s="66">
        <f t="shared" si="1"/>
        <v>49</v>
      </c>
      <c r="E86" s="66">
        <f t="shared" si="2"/>
        <v>951</v>
      </c>
      <c r="F86" s="26">
        <f t="shared" si="3"/>
        <v>18542</v>
      </c>
      <c r="G86" s="6"/>
    </row>
    <row r="87" spans="1:7" x14ac:dyDescent="0.35">
      <c r="A87" s="86">
        <v>44</v>
      </c>
      <c r="B87" s="77">
        <v>45231</v>
      </c>
      <c r="C87" s="66">
        <f t="shared" si="0"/>
        <v>1000</v>
      </c>
      <c r="D87" s="66">
        <f t="shared" si="1"/>
        <v>46</v>
      </c>
      <c r="E87" s="66">
        <f t="shared" si="2"/>
        <v>954</v>
      </c>
      <c r="F87" s="26">
        <f t="shared" si="3"/>
        <v>17588</v>
      </c>
      <c r="G87" s="6"/>
    </row>
    <row r="88" spans="1:7" x14ac:dyDescent="0.35">
      <c r="A88" s="86">
        <v>45</v>
      </c>
      <c r="B88" s="77">
        <v>45261</v>
      </c>
      <c r="C88" s="66">
        <f t="shared" si="0"/>
        <v>1000</v>
      </c>
      <c r="D88" s="66">
        <f t="shared" si="1"/>
        <v>44</v>
      </c>
      <c r="E88" s="66">
        <f t="shared" si="2"/>
        <v>956</v>
      </c>
      <c r="F88" s="26">
        <f t="shared" si="3"/>
        <v>16632</v>
      </c>
      <c r="G88" s="6"/>
    </row>
    <row r="89" spans="1:7" x14ac:dyDescent="0.35">
      <c r="A89" s="86">
        <v>46</v>
      </c>
      <c r="B89" s="77">
        <v>45292</v>
      </c>
      <c r="C89" s="66">
        <f t="shared" si="0"/>
        <v>1000</v>
      </c>
      <c r="D89" s="66">
        <f t="shared" si="1"/>
        <v>42</v>
      </c>
      <c r="E89" s="66">
        <f t="shared" si="2"/>
        <v>958</v>
      </c>
      <c r="F89" s="26">
        <f t="shared" si="3"/>
        <v>15674</v>
      </c>
      <c r="G89" s="6"/>
    </row>
    <row r="90" spans="1:7" x14ac:dyDescent="0.35">
      <c r="A90" s="86">
        <v>47</v>
      </c>
      <c r="B90" s="77">
        <v>45323</v>
      </c>
      <c r="C90" s="66">
        <f t="shared" si="0"/>
        <v>1000</v>
      </c>
      <c r="D90" s="66">
        <f t="shared" si="1"/>
        <v>39</v>
      </c>
      <c r="E90" s="66">
        <f t="shared" si="2"/>
        <v>961</v>
      </c>
      <c r="F90" s="26">
        <f t="shared" si="3"/>
        <v>14713</v>
      </c>
      <c r="G90" s="6"/>
    </row>
    <row r="91" spans="1:7" x14ac:dyDescent="0.35">
      <c r="A91" s="86">
        <v>48</v>
      </c>
      <c r="B91" s="77">
        <v>45352</v>
      </c>
      <c r="C91" s="66">
        <f t="shared" si="0"/>
        <v>1000</v>
      </c>
      <c r="D91" s="66">
        <f t="shared" si="1"/>
        <v>37</v>
      </c>
      <c r="E91" s="66">
        <f t="shared" si="2"/>
        <v>963</v>
      </c>
      <c r="F91" s="26">
        <f t="shared" si="3"/>
        <v>13750</v>
      </c>
      <c r="G91" s="6"/>
    </row>
    <row r="92" spans="1:7" x14ac:dyDescent="0.35">
      <c r="A92" s="86">
        <v>49</v>
      </c>
      <c r="B92" s="77">
        <v>45383</v>
      </c>
      <c r="C92" s="66">
        <f t="shared" si="0"/>
        <v>1000</v>
      </c>
      <c r="D92" s="66">
        <f t="shared" si="1"/>
        <v>34</v>
      </c>
      <c r="E92" s="66">
        <f t="shared" si="2"/>
        <v>966</v>
      </c>
      <c r="F92" s="26">
        <f t="shared" si="3"/>
        <v>12784</v>
      </c>
      <c r="G92" s="6"/>
    </row>
    <row r="93" spans="1:7" x14ac:dyDescent="0.35">
      <c r="A93" s="86">
        <v>50</v>
      </c>
      <c r="B93" s="77">
        <v>45413</v>
      </c>
      <c r="C93" s="66">
        <f t="shared" si="0"/>
        <v>1000</v>
      </c>
      <c r="D93" s="66">
        <f t="shared" si="1"/>
        <v>32</v>
      </c>
      <c r="E93" s="66">
        <f t="shared" si="2"/>
        <v>968</v>
      </c>
      <c r="F93" s="26">
        <f t="shared" si="3"/>
        <v>11816</v>
      </c>
      <c r="G93" s="6"/>
    </row>
    <row r="94" spans="1:7" x14ac:dyDescent="0.35">
      <c r="A94" s="86">
        <v>51</v>
      </c>
      <c r="B94" s="77">
        <v>45444</v>
      </c>
      <c r="C94" s="66">
        <f t="shared" si="0"/>
        <v>1000</v>
      </c>
      <c r="D94" s="66">
        <f t="shared" si="1"/>
        <v>30</v>
      </c>
      <c r="E94" s="66">
        <f t="shared" si="2"/>
        <v>970</v>
      </c>
      <c r="F94" s="26">
        <f t="shared" si="3"/>
        <v>10846</v>
      </c>
      <c r="G94" s="6"/>
    </row>
    <row r="95" spans="1:7" x14ac:dyDescent="0.35">
      <c r="A95" s="86">
        <v>52</v>
      </c>
      <c r="B95" s="77">
        <v>45474</v>
      </c>
      <c r="C95" s="66">
        <f t="shared" si="0"/>
        <v>1000</v>
      </c>
      <c r="D95" s="66">
        <f t="shared" si="1"/>
        <v>27</v>
      </c>
      <c r="E95" s="66">
        <f t="shared" si="2"/>
        <v>973</v>
      </c>
      <c r="F95" s="26">
        <f t="shared" si="3"/>
        <v>9873</v>
      </c>
      <c r="G95" s="6"/>
    </row>
    <row r="96" spans="1:7" x14ac:dyDescent="0.35">
      <c r="A96" s="86">
        <v>53</v>
      </c>
      <c r="B96" s="77">
        <v>45505</v>
      </c>
      <c r="C96" s="66">
        <f t="shared" si="0"/>
        <v>1000</v>
      </c>
      <c r="D96" s="66">
        <f t="shared" si="1"/>
        <v>25</v>
      </c>
      <c r="E96" s="66">
        <f t="shared" si="2"/>
        <v>975</v>
      </c>
      <c r="F96" s="26">
        <f t="shared" si="3"/>
        <v>8898</v>
      </c>
      <c r="G96" s="6"/>
    </row>
    <row r="97" spans="1:7" x14ac:dyDescent="0.35">
      <c r="A97" s="86">
        <v>54</v>
      </c>
      <c r="B97" s="77">
        <v>45536</v>
      </c>
      <c r="C97" s="66">
        <f t="shared" si="0"/>
        <v>1000</v>
      </c>
      <c r="D97" s="66">
        <f t="shared" si="1"/>
        <v>22</v>
      </c>
      <c r="E97" s="66">
        <f t="shared" si="2"/>
        <v>978</v>
      </c>
      <c r="F97" s="26">
        <f t="shared" si="3"/>
        <v>7920</v>
      </c>
      <c r="G97" s="6"/>
    </row>
    <row r="98" spans="1:7" x14ac:dyDescent="0.35">
      <c r="A98" s="86">
        <v>55</v>
      </c>
      <c r="B98" s="77">
        <v>45566</v>
      </c>
      <c r="C98" s="66">
        <f t="shared" si="0"/>
        <v>1000</v>
      </c>
      <c r="D98" s="66">
        <f t="shared" si="1"/>
        <v>20</v>
      </c>
      <c r="E98" s="66">
        <f t="shared" si="2"/>
        <v>980</v>
      </c>
      <c r="F98" s="26">
        <f t="shared" si="3"/>
        <v>6940</v>
      </c>
      <c r="G98" s="6"/>
    </row>
    <row r="99" spans="1:7" x14ac:dyDescent="0.35">
      <c r="A99" s="86">
        <v>56</v>
      </c>
      <c r="B99" s="77">
        <v>45597</v>
      </c>
      <c r="C99" s="66">
        <f t="shared" si="0"/>
        <v>1000</v>
      </c>
      <c r="D99" s="66">
        <f t="shared" si="1"/>
        <v>17</v>
      </c>
      <c r="E99" s="66">
        <f t="shared" si="2"/>
        <v>983</v>
      </c>
      <c r="F99" s="26">
        <f t="shared" si="3"/>
        <v>5957</v>
      </c>
      <c r="G99" s="6"/>
    </row>
    <row r="100" spans="1:7" x14ac:dyDescent="0.35">
      <c r="A100" s="86">
        <v>57</v>
      </c>
      <c r="B100" s="77">
        <v>45627</v>
      </c>
      <c r="C100" s="66">
        <f t="shared" si="0"/>
        <v>1000</v>
      </c>
      <c r="D100" s="66">
        <f t="shared" si="1"/>
        <v>15</v>
      </c>
      <c r="E100" s="66">
        <f t="shared" si="2"/>
        <v>985</v>
      </c>
      <c r="F100" s="26">
        <f t="shared" si="3"/>
        <v>4972</v>
      </c>
      <c r="G100" s="6"/>
    </row>
    <row r="101" spans="1:7" x14ac:dyDescent="0.35">
      <c r="A101" s="86">
        <v>58</v>
      </c>
      <c r="B101" s="77">
        <v>45658</v>
      </c>
      <c r="C101" s="66">
        <f t="shared" si="0"/>
        <v>1000</v>
      </c>
      <c r="D101" s="66">
        <f t="shared" si="1"/>
        <v>12</v>
      </c>
      <c r="E101" s="66">
        <f t="shared" si="2"/>
        <v>988</v>
      </c>
      <c r="F101" s="26">
        <f t="shared" si="3"/>
        <v>3984</v>
      </c>
      <c r="G101" s="6"/>
    </row>
    <row r="102" spans="1:7" x14ac:dyDescent="0.35">
      <c r="A102" s="86">
        <v>59</v>
      </c>
      <c r="B102" s="77">
        <v>45689</v>
      </c>
      <c r="C102" s="66">
        <f t="shared" si="0"/>
        <v>1000</v>
      </c>
      <c r="D102" s="66">
        <f t="shared" si="1"/>
        <v>10</v>
      </c>
      <c r="E102" s="66">
        <f t="shared" si="2"/>
        <v>990</v>
      </c>
      <c r="F102" s="26">
        <f t="shared" si="3"/>
        <v>2994</v>
      </c>
      <c r="G102" s="6"/>
    </row>
    <row r="103" spans="1:7" x14ac:dyDescent="0.35">
      <c r="A103" s="86">
        <v>60</v>
      </c>
      <c r="B103" s="77">
        <v>45717</v>
      </c>
      <c r="C103" s="67">
        <f>ROUND(+$C$31,0)+2000</f>
        <v>3000</v>
      </c>
      <c r="D103" s="104">
        <f>ROUND(+F102*$C$19,0)-1</f>
        <v>6</v>
      </c>
      <c r="E103" s="66">
        <f t="shared" ref="E103" si="5">+C103-D103</f>
        <v>2994</v>
      </c>
      <c r="F103" s="27">
        <f t="shared" si="3"/>
        <v>0</v>
      </c>
      <c r="G103" s="22" t="s">
        <v>79</v>
      </c>
    </row>
    <row r="104" spans="1:7" x14ac:dyDescent="0.35">
      <c r="A104" s="10"/>
      <c r="B104" s="11"/>
      <c r="C104" s="25"/>
      <c r="D104" s="25"/>
      <c r="E104" s="25"/>
      <c r="F104" s="26"/>
      <c r="G104" s="6"/>
    </row>
    <row r="105" spans="1:7" x14ac:dyDescent="0.35">
      <c r="A105" s="14"/>
      <c r="B105" s="19" t="s">
        <v>24</v>
      </c>
      <c r="C105" s="28"/>
      <c r="D105" s="33">
        <f>SUM(D44:D104)</f>
        <v>4483</v>
      </c>
      <c r="E105" s="56">
        <f>SUM(E44:E104)</f>
        <v>57517</v>
      </c>
      <c r="F105" s="55">
        <f>SUM(D105:E105)</f>
        <v>62000</v>
      </c>
      <c r="G105" s="6"/>
    </row>
    <row r="106" spans="1:7" x14ac:dyDescent="0.35">
      <c r="C106" s="6"/>
      <c r="D106" s="6"/>
      <c r="E106" s="6"/>
      <c r="F106" s="6"/>
      <c r="G106" s="6"/>
    </row>
  </sheetData>
  <mergeCells count="6">
    <mergeCell ref="A11:I11"/>
    <mergeCell ref="A7:I7"/>
    <mergeCell ref="A6:I6"/>
    <mergeCell ref="A8:I8"/>
    <mergeCell ref="A9:I9"/>
    <mergeCell ref="A10:I10"/>
  </mergeCells>
  <pageMargins left="0.36" right="0.23" top="0.28999999999999998" bottom="0.25" header="0.21" footer="0.17"/>
  <pageSetup scale="33" orientation="landscape" r:id="rId1"/>
  <headerFooter>
    <oddFooter>&amp;R&amp;Z&amp;F -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J98"/>
  <sheetViews>
    <sheetView topLeftCell="A76" workbookViewId="0">
      <selection activeCell="C103" sqref="C103"/>
    </sheetView>
  </sheetViews>
  <sheetFormatPr defaultColWidth="8.81640625" defaultRowHeight="14.5" x14ac:dyDescent="0.35"/>
  <cols>
    <col min="1" max="1" width="2.453125" customWidth="1"/>
    <col min="2" max="2" width="5.36328125" customWidth="1"/>
    <col min="3" max="3" width="33.36328125" customWidth="1"/>
    <col min="4" max="4" width="13.453125" customWidth="1"/>
    <col min="5" max="5" width="15.36328125" customWidth="1"/>
    <col min="6" max="6" width="45.453125" bestFit="1" customWidth="1"/>
  </cols>
  <sheetData>
    <row r="1" spans="2:9" x14ac:dyDescent="0.35">
      <c r="C1" s="4" t="s">
        <v>161</v>
      </c>
    </row>
    <row r="2" spans="2:9" x14ac:dyDescent="0.35">
      <c r="C2" s="4" t="s">
        <v>163</v>
      </c>
    </row>
    <row r="4" spans="2:9" x14ac:dyDescent="0.35">
      <c r="B4" s="7"/>
      <c r="C4" s="17" t="s">
        <v>94</v>
      </c>
      <c r="D4" s="8"/>
      <c r="E4" s="9"/>
    </row>
    <row r="5" spans="2:9" x14ac:dyDescent="0.35">
      <c r="B5" s="7"/>
      <c r="C5" s="72" t="s">
        <v>42</v>
      </c>
      <c r="D5" s="73">
        <f>+'1. Lessee Summary'!C25</f>
        <v>60016.70614978965</v>
      </c>
      <c r="E5" s="9"/>
    </row>
    <row r="6" spans="2:9" x14ac:dyDescent="0.35">
      <c r="B6" s="10"/>
      <c r="C6" s="74" t="s">
        <v>40</v>
      </c>
      <c r="D6" s="98">
        <v>84</v>
      </c>
      <c r="E6" s="12"/>
    </row>
    <row r="7" spans="2:9" x14ac:dyDescent="0.35">
      <c r="B7" s="10"/>
      <c r="C7" s="74" t="s">
        <v>43</v>
      </c>
      <c r="D7" s="75">
        <f>ROUND(+D5/D6,0)</f>
        <v>714</v>
      </c>
      <c r="E7" s="12"/>
    </row>
    <row r="8" spans="2:9" x14ac:dyDescent="0.35">
      <c r="B8" s="10"/>
      <c r="C8" s="74" t="s">
        <v>41</v>
      </c>
      <c r="D8" s="75">
        <f>ROUND(+D7*12,0)</f>
        <v>8568</v>
      </c>
      <c r="E8" s="12"/>
    </row>
    <row r="9" spans="2:9" ht="29" x14ac:dyDescent="0.35">
      <c r="B9" s="10"/>
      <c r="C9" s="5" t="s">
        <v>103</v>
      </c>
      <c r="D9" s="99">
        <v>1</v>
      </c>
      <c r="E9" s="12"/>
    </row>
    <row r="10" spans="2:9" x14ac:dyDescent="0.35">
      <c r="B10" s="10"/>
      <c r="C10" s="74"/>
      <c r="D10" s="75"/>
      <c r="E10" s="12"/>
    </row>
    <row r="11" spans="2:9" x14ac:dyDescent="0.35">
      <c r="B11" s="10"/>
      <c r="C11" s="11"/>
      <c r="D11" s="11"/>
      <c r="E11" s="12"/>
    </row>
    <row r="12" spans="2:9" x14ac:dyDescent="0.35">
      <c r="B12" s="10"/>
      <c r="C12" s="20" t="s">
        <v>86</v>
      </c>
      <c r="D12" s="20" t="s">
        <v>87</v>
      </c>
      <c r="E12" s="21" t="s">
        <v>20</v>
      </c>
      <c r="G12" s="36"/>
    </row>
    <row r="13" spans="2:9" x14ac:dyDescent="0.35">
      <c r="B13" s="10"/>
      <c r="C13" s="11"/>
      <c r="D13" s="29"/>
      <c r="E13" s="30">
        <f>+D5</f>
        <v>60016.70614978965</v>
      </c>
    </row>
    <row r="14" spans="2:9" x14ac:dyDescent="0.35">
      <c r="B14" s="10">
        <v>1</v>
      </c>
      <c r="C14" s="77">
        <f>+'2. Lease Liablity Schedules'!C22</f>
        <v>43922</v>
      </c>
      <c r="D14" s="31">
        <f>+$D$7</f>
        <v>714</v>
      </c>
      <c r="E14" s="52">
        <f t="shared" ref="E14:E45" si="0">+E13-D14</f>
        <v>59302.70614978965</v>
      </c>
      <c r="I14" s="13"/>
    </row>
    <row r="15" spans="2:9" x14ac:dyDescent="0.35">
      <c r="B15" s="10">
        <v>2</v>
      </c>
      <c r="C15" s="77">
        <f>DATE(YEAR(C14),MONTH(C14)+$D$9,DAY(C14))</f>
        <v>43952</v>
      </c>
      <c r="D15" s="25">
        <f t="shared" ref="D15:D78" si="1">+$D$7</f>
        <v>714</v>
      </c>
      <c r="E15" s="26">
        <f t="shared" si="0"/>
        <v>58588.70614978965</v>
      </c>
      <c r="I15" s="13"/>
    </row>
    <row r="16" spans="2:9" x14ac:dyDescent="0.35">
      <c r="B16" s="10">
        <v>3</v>
      </c>
      <c r="C16" s="77">
        <v>43983</v>
      </c>
      <c r="D16" s="25">
        <f t="shared" si="1"/>
        <v>714</v>
      </c>
      <c r="E16" s="52">
        <f t="shared" si="0"/>
        <v>57874.70614978965</v>
      </c>
      <c r="I16" s="13"/>
    </row>
    <row r="17" spans="2:9" x14ac:dyDescent="0.35">
      <c r="B17" s="10">
        <v>4</v>
      </c>
      <c r="C17" s="77">
        <v>44013</v>
      </c>
      <c r="D17" s="25">
        <f t="shared" si="1"/>
        <v>714</v>
      </c>
      <c r="E17" s="26">
        <f t="shared" si="0"/>
        <v>57160.70614978965</v>
      </c>
      <c r="I17" s="13"/>
    </row>
    <row r="18" spans="2:9" x14ac:dyDescent="0.35">
      <c r="B18" s="10">
        <v>5</v>
      </c>
      <c r="C18" s="77">
        <v>44044</v>
      </c>
      <c r="D18" s="25">
        <f t="shared" si="1"/>
        <v>714</v>
      </c>
      <c r="E18" s="52">
        <f t="shared" si="0"/>
        <v>56446.70614978965</v>
      </c>
      <c r="I18" s="13"/>
    </row>
    <row r="19" spans="2:9" x14ac:dyDescent="0.35">
      <c r="B19" s="10">
        <v>6</v>
      </c>
      <c r="C19" s="77">
        <v>44075</v>
      </c>
      <c r="D19" s="25">
        <f t="shared" si="1"/>
        <v>714</v>
      </c>
      <c r="E19" s="26">
        <f t="shared" si="0"/>
        <v>55732.70614978965</v>
      </c>
      <c r="I19" s="13"/>
    </row>
    <row r="20" spans="2:9" x14ac:dyDescent="0.35">
      <c r="B20" s="10">
        <v>7</v>
      </c>
      <c r="C20" s="77">
        <v>44105</v>
      </c>
      <c r="D20" s="25">
        <f t="shared" si="1"/>
        <v>714</v>
      </c>
      <c r="E20" s="52">
        <f t="shared" si="0"/>
        <v>55018.70614978965</v>
      </c>
      <c r="I20" s="13"/>
    </row>
    <row r="21" spans="2:9" x14ac:dyDescent="0.35">
      <c r="B21" s="10">
        <v>8</v>
      </c>
      <c r="C21" s="77">
        <v>44136</v>
      </c>
      <c r="D21" s="25">
        <f t="shared" si="1"/>
        <v>714</v>
      </c>
      <c r="E21" s="26">
        <f t="shared" si="0"/>
        <v>54304.70614978965</v>
      </c>
      <c r="I21" s="13"/>
    </row>
    <row r="22" spans="2:9" x14ac:dyDescent="0.35">
      <c r="B22" s="10">
        <v>9</v>
      </c>
      <c r="C22" s="77">
        <v>44166</v>
      </c>
      <c r="D22" s="25">
        <f t="shared" si="1"/>
        <v>714</v>
      </c>
      <c r="E22" s="26">
        <f t="shared" si="0"/>
        <v>53590.70614978965</v>
      </c>
      <c r="I22" s="13"/>
    </row>
    <row r="23" spans="2:9" x14ac:dyDescent="0.35">
      <c r="B23" s="10">
        <v>10</v>
      </c>
      <c r="C23" s="77">
        <v>44197</v>
      </c>
      <c r="D23" s="25">
        <f t="shared" si="1"/>
        <v>714</v>
      </c>
      <c r="E23" s="52">
        <f t="shared" si="0"/>
        <v>52876.70614978965</v>
      </c>
      <c r="I23" s="13"/>
    </row>
    <row r="24" spans="2:9" x14ac:dyDescent="0.35">
      <c r="B24" s="10">
        <v>11</v>
      </c>
      <c r="C24" s="77">
        <v>44228</v>
      </c>
      <c r="D24" s="25">
        <f t="shared" si="1"/>
        <v>714</v>
      </c>
      <c r="E24" s="52">
        <f t="shared" si="0"/>
        <v>52162.70614978965</v>
      </c>
      <c r="I24" s="13"/>
    </row>
    <row r="25" spans="2:9" x14ac:dyDescent="0.35">
      <c r="B25" s="10">
        <v>12</v>
      </c>
      <c r="C25" s="77">
        <v>44256</v>
      </c>
      <c r="D25" s="25">
        <f t="shared" si="1"/>
        <v>714</v>
      </c>
      <c r="E25" s="52">
        <f t="shared" si="0"/>
        <v>51448.70614978965</v>
      </c>
      <c r="I25" s="13"/>
    </row>
    <row r="26" spans="2:9" x14ac:dyDescent="0.35">
      <c r="B26" s="10">
        <v>13</v>
      </c>
      <c r="C26" s="77">
        <v>44287</v>
      </c>
      <c r="D26" s="25">
        <f t="shared" si="1"/>
        <v>714</v>
      </c>
      <c r="E26" s="52">
        <f t="shared" si="0"/>
        <v>50734.70614978965</v>
      </c>
      <c r="I26" s="13"/>
    </row>
    <row r="27" spans="2:9" x14ac:dyDescent="0.35">
      <c r="B27" s="10">
        <v>14</v>
      </c>
      <c r="C27" s="77">
        <v>44317</v>
      </c>
      <c r="D27" s="25">
        <f t="shared" si="1"/>
        <v>714</v>
      </c>
      <c r="E27" s="26">
        <f t="shared" si="0"/>
        <v>50020.70614978965</v>
      </c>
      <c r="I27" s="13"/>
    </row>
    <row r="28" spans="2:9" x14ac:dyDescent="0.35">
      <c r="B28" s="10">
        <v>15</v>
      </c>
      <c r="C28" s="77">
        <v>44348</v>
      </c>
      <c r="D28" s="25">
        <f t="shared" si="1"/>
        <v>714</v>
      </c>
      <c r="E28" s="52">
        <f t="shared" si="0"/>
        <v>49306.70614978965</v>
      </c>
      <c r="I28" s="13"/>
    </row>
    <row r="29" spans="2:9" x14ac:dyDescent="0.35">
      <c r="B29" s="10">
        <v>16</v>
      </c>
      <c r="C29" s="77">
        <v>44378</v>
      </c>
      <c r="D29" s="25">
        <f t="shared" si="1"/>
        <v>714</v>
      </c>
      <c r="E29" s="26">
        <f t="shared" si="0"/>
        <v>48592.70614978965</v>
      </c>
      <c r="I29" s="13"/>
    </row>
    <row r="30" spans="2:9" x14ac:dyDescent="0.35">
      <c r="B30" s="10">
        <v>17</v>
      </c>
      <c r="C30" s="77">
        <v>44409</v>
      </c>
      <c r="D30" s="25">
        <f t="shared" si="1"/>
        <v>714</v>
      </c>
      <c r="E30" s="52">
        <f t="shared" si="0"/>
        <v>47878.70614978965</v>
      </c>
      <c r="I30" s="13"/>
    </row>
    <row r="31" spans="2:9" x14ac:dyDescent="0.35">
      <c r="B31" s="10">
        <v>18</v>
      </c>
      <c r="C31" s="77">
        <v>44440</v>
      </c>
      <c r="D31" s="25">
        <f t="shared" si="1"/>
        <v>714</v>
      </c>
      <c r="E31" s="26">
        <f t="shared" si="0"/>
        <v>47164.70614978965</v>
      </c>
      <c r="I31" s="13"/>
    </row>
    <row r="32" spans="2:9" x14ac:dyDescent="0.35">
      <c r="B32" s="10">
        <v>19</v>
      </c>
      <c r="C32" s="77">
        <v>44470</v>
      </c>
      <c r="D32" s="25">
        <f t="shared" si="1"/>
        <v>714</v>
      </c>
      <c r="E32" s="52">
        <f t="shared" si="0"/>
        <v>46450.70614978965</v>
      </c>
      <c r="I32" s="13"/>
    </row>
    <row r="33" spans="2:9" x14ac:dyDescent="0.35">
      <c r="B33" s="10">
        <v>20</v>
      </c>
      <c r="C33" s="77">
        <v>44501</v>
      </c>
      <c r="D33" s="25">
        <f t="shared" si="1"/>
        <v>714</v>
      </c>
      <c r="E33" s="26">
        <f t="shared" si="0"/>
        <v>45736.70614978965</v>
      </c>
      <c r="I33" s="13"/>
    </row>
    <row r="34" spans="2:9" x14ac:dyDescent="0.35">
      <c r="B34" s="10">
        <v>21</v>
      </c>
      <c r="C34" s="77">
        <v>44531</v>
      </c>
      <c r="D34" s="25">
        <f t="shared" si="1"/>
        <v>714</v>
      </c>
      <c r="E34" s="26">
        <f t="shared" si="0"/>
        <v>45022.70614978965</v>
      </c>
      <c r="I34" s="13"/>
    </row>
    <row r="35" spans="2:9" x14ac:dyDescent="0.35">
      <c r="B35" s="10">
        <v>22</v>
      </c>
      <c r="C35" s="77">
        <v>44562</v>
      </c>
      <c r="D35" s="25">
        <f t="shared" si="1"/>
        <v>714</v>
      </c>
      <c r="E35" s="26">
        <f t="shared" si="0"/>
        <v>44308.70614978965</v>
      </c>
      <c r="I35" s="13"/>
    </row>
    <row r="36" spans="2:9" x14ac:dyDescent="0.35">
      <c r="B36" s="10">
        <v>23</v>
      </c>
      <c r="C36" s="77">
        <v>44593</v>
      </c>
      <c r="D36" s="25">
        <f t="shared" si="1"/>
        <v>714</v>
      </c>
      <c r="E36" s="52">
        <f t="shared" si="0"/>
        <v>43594.70614978965</v>
      </c>
      <c r="I36" s="13"/>
    </row>
    <row r="37" spans="2:9" x14ac:dyDescent="0.35">
      <c r="B37" s="10">
        <v>24</v>
      </c>
      <c r="C37" s="77">
        <v>44621</v>
      </c>
      <c r="D37" s="25">
        <f t="shared" si="1"/>
        <v>714</v>
      </c>
      <c r="E37" s="26">
        <f t="shared" si="0"/>
        <v>42880.70614978965</v>
      </c>
      <c r="I37" s="13"/>
    </row>
    <row r="38" spans="2:9" x14ac:dyDescent="0.35">
      <c r="B38" s="10">
        <v>25</v>
      </c>
      <c r="C38" s="77">
        <v>44652</v>
      </c>
      <c r="D38" s="25">
        <f t="shared" si="1"/>
        <v>714</v>
      </c>
      <c r="E38" s="52">
        <f t="shared" si="0"/>
        <v>42166.70614978965</v>
      </c>
      <c r="I38" s="13"/>
    </row>
    <row r="39" spans="2:9" x14ac:dyDescent="0.35">
      <c r="B39" s="10">
        <v>26</v>
      </c>
      <c r="C39" s="77">
        <v>44682</v>
      </c>
      <c r="D39" s="25">
        <f t="shared" si="1"/>
        <v>714</v>
      </c>
      <c r="E39" s="26">
        <f t="shared" si="0"/>
        <v>41452.70614978965</v>
      </c>
      <c r="I39" s="13"/>
    </row>
    <row r="40" spans="2:9" x14ac:dyDescent="0.35">
      <c r="B40" s="10">
        <v>27</v>
      </c>
      <c r="C40" s="77">
        <v>44713</v>
      </c>
      <c r="D40" s="25">
        <f t="shared" si="1"/>
        <v>714</v>
      </c>
      <c r="E40" s="52">
        <f t="shared" si="0"/>
        <v>40738.70614978965</v>
      </c>
      <c r="I40" s="13"/>
    </row>
    <row r="41" spans="2:9" x14ac:dyDescent="0.35">
      <c r="B41" s="10">
        <v>28</v>
      </c>
      <c r="C41" s="77">
        <v>44743</v>
      </c>
      <c r="D41" s="25">
        <f t="shared" si="1"/>
        <v>714</v>
      </c>
      <c r="E41" s="26">
        <f t="shared" si="0"/>
        <v>40024.70614978965</v>
      </c>
      <c r="I41" s="13"/>
    </row>
    <row r="42" spans="2:9" x14ac:dyDescent="0.35">
      <c r="B42" s="10">
        <v>29</v>
      </c>
      <c r="C42" s="77">
        <v>44774</v>
      </c>
      <c r="D42" s="25">
        <f t="shared" si="1"/>
        <v>714</v>
      </c>
      <c r="E42" s="52">
        <f t="shared" si="0"/>
        <v>39310.70614978965</v>
      </c>
      <c r="I42" s="13"/>
    </row>
    <row r="43" spans="2:9" x14ac:dyDescent="0.35">
      <c r="B43" s="10">
        <v>30</v>
      </c>
      <c r="C43" s="77">
        <v>44805</v>
      </c>
      <c r="D43" s="25">
        <f t="shared" si="1"/>
        <v>714</v>
      </c>
      <c r="E43" s="26">
        <f t="shared" si="0"/>
        <v>38596.70614978965</v>
      </c>
      <c r="I43" s="13"/>
    </row>
    <row r="44" spans="2:9" x14ac:dyDescent="0.35">
      <c r="B44" s="10">
        <v>31</v>
      </c>
      <c r="C44" s="77">
        <v>44835</v>
      </c>
      <c r="D44" s="25">
        <f t="shared" si="1"/>
        <v>714</v>
      </c>
      <c r="E44" s="52">
        <f t="shared" si="0"/>
        <v>37882.70614978965</v>
      </c>
      <c r="I44" s="13"/>
    </row>
    <row r="45" spans="2:9" x14ac:dyDescent="0.35">
      <c r="B45" s="10">
        <v>32</v>
      </c>
      <c r="C45" s="77">
        <v>44866</v>
      </c>
      <c r="D45" s="25">
        <f t="shared" si="1"/>
        <v>714</v>
      </c>
      <c r="E45" s="26">
        <f t="shared" si="0"/>
        <v>37168.70614978965</v>
      </c>
      <c r="I45" s="13"/>
    </row>
    <row r="46" spans="2:9" x14ac:dyDescent="0.35">
      <c r="B46" s="10">
        <v>33</v>
      </c>
      <c r="C46" s="77">
        <v>44896</v>
      </c>
      <c r="D46" s="25">
        <f t="shared" si="1"/>
        <v>714</v>
      </c>
      <c r="E46" s="26">
        <f t="shared" ref="E46:E77" si="2">+E45-D46</f>
        <v>36454.70614978965</v>
      </c>
      <c r="I46" s="13"/>
    </row>
    <row r="47" spans="2:9" x14ac:dyDescent="0.35">
      <c r="B47" s="10">
        <v>34</v>
      </c>
      <c r="C47" s="77">
        <v>44927</v>
      </c>
      <c r="D47" s="25">
        <f t="shared" si="1"/>
        <v>714</v>
      </c>
      <c r="E47" s="26">
        <f t="shared" si="2"/>
        <v>35740.70614978965</v>
      </c>
      <c r="I47" s="13"/>
    </row>
    <row r="48" spans="2:9" x14ac:dyDescent="0.35">
      <c r="B48" s="10">
        <v>35</v>
      </c>
      <c r="C48" s="77">
        <v>44958</v>
      </c>
      <c r="D48" s="25">
        <f t="shared" si="1"/>
        <v>714</v>
      </c>
      <c r="E48" s="52">
        <f t="shared" si="2"/>
        <v>35026.70614978965</v>
      </c>
      <c r="I48" s="13"/>
    </row>
    <row r="49" spans="2:9" x14ac:dyDescent="0.35">
      <c r="B49" s="10">
        <v>36</v>
      </c>
      <c r="C49" s="77">
        <v>44986</v>
      </c>
      <c r="D49" s="25">
        <f t="shared" si="1"/>
        <v>714</v>
      </c>
      <c r="E49" s="26">
        <f t="shared" si="2"/>
        <v>34312.70614978965</v>
      </c>
      <c r="I49" s="13"/>
    </row>
    <row r="50" spans="2:9" x14ac:dyDescent="0.35">
      <c r="B50" s="10">
        <v>37</v>
      </c>
      <c r="C50" s="77">
        <v>45017</v>
      </c>
      <c r="D50" s="25">
        <f t="shared" si="1"/>
        <v>714</v>
      </c>
      <c r="E50" s="52">
        <f t="shared" si="2"/>
        <v>33598.70614978965</v>
      </c>
      <c r="I50" s="13"/>
    </row>
    <row r="51" spans="2:9" x14ac:dyDescent="0.35">
      <c r="B51" s="10">
        <v>38</v>
      </c>
      <c r="C51" s="77">
        <v>45047</v>
      </c>
      <c r="D51" s="25">
        <f t="shared" si="1"/>
        <v>714</v>
      </c>
      <c r="E51" s="26">
        <f t="shared" si="2"/>
        <v>32884.70614978965</v>
      </c>
      <c r="I51" s="13"/>
    </row>
    <row r="52" spans="2:9" x14ac:dyDescent="0.35">
      <c r="B52" s="10">
        <v>39</v>
      </c>
      <c r="C52" s="77">
        <v>45078</v>
      </c>
      <c r="D52" s="25">
        <f t="shared" si="1"/>
        <v>714</v>
      </c>
      <c r="E52" s="52">
        <f t="shared" si="2"/>
        <v>32170.70614978965</v>
      </c>
      <c r="I52" s="13"/>
    </row>
    <row r="53" spans="2:9" x14ac:dyDescent="0.35">
      <c r="B53" s="10">
        <v>40</v>
      </c>
      <c r="C53" s="77">
        <v>45108</v>
      </c>
      <c r="D53" s="25">
        <f t="shared" si="1"/>
        <v>714</v>
      </c>
      <c r="E53" s="26">
        <f t="shared" si="2"/>
        <v>31456.70614978965</v>
      </c>
      <c r="I53" s="13"/>
    </row>
    <row r="54" spans="2:9" x14ac:dyDescent="0.35">
      <c r="B54" s="10">
        <v>41</v>
      </c>
      <c r="C54" s="77">
        <v>45139</v>
      </c>
      <c r="D54" s="25">
        <f t="shared" si="1"/>
        <v>714</v>
      </c>
      <c r="E54" s="52">
        <f t="shared" si="2"/>
        <v>30742.70614978965</v>
      </c>
      <c r="I54" s="13"/>
    </row>
    <row r="55" spans="2:9" x14ac:dyDescent="0.35">
      <c r="B55" s="10">
        <v>42</v>
      </c>
      <c r="C55" s="77">
        <v>45170</v>
      </c>
      <c r="D55" s="25">
        <f t="shared" si="1"/>
        <v>714</v>
      </c>
      <c r="E55" s="26">
        <f t="shared" si="2"/>
        <v>30028.70614978965</v>
      </c>
      <c r="I55" s="13"/>
    </row>
    <row r="56" spans="2:9" x14ac:dyDescent="0.35">
      <c r="B56" s="10">
        <v>43</v>
      </c>
      <c r="C56" s="77">
        <v>45200</v>
      </c>
      <c r="D56" s="25">
        <f t="shared" si="1"/>
        <v>714</v>
      </c>
      <c r="E56" s="52">
        <f t="shared" si="2"/>
        <v>29314.70614978965</v>
      </c>
      <c r="I56" s="13"/>
    </row>
    <row r="57" spans="2:9" x14ac:dyDescent="0.35">
      <c r="B57" s="10">
        <v>44</v>
      </c>
      <c r="C57" s="77">
        <v>45231</v>
      </c>
      <c r="D57" s="25">
        <f t="shared" si="1"/>
        <v>714</v>
      </c>
      <c r="E57" s="26">
        <f t="shared" si="2"/>
        <v>28600.70614978965</v>
      </c>
      <c r="I57" s="13"/>
    </row>
    <row r="58" spans="2:9" x14ac:dyDescent="0.35">
      <c r="B58" s="10">
        <v>45</v>
      </c>
      <c r="C58" s="77">
        <v>45261</v>
      </c>
      <c r="D58" s="25">
        <f t="shared" si="1"/>
        <v>714</v>
      </c>
      <c r="E58" s="26">
        <f t="shared" si="2"/>
        <v>27886.70614978965</v>
      </c>
      <c r="I58" s="13"/>
    </row>
    <row r="59" spans="2:9" x14ac:dyDescent="0.35">
      <c r="B59" s="10">
        <v>46</v>
      </c>
      <c r="C59" s="77">
        <v>45292</v>
      </c>
      <c r="D59" s="25">
        <f t="shared" si="1"/>
        <v>714</v>
      </c>
      <c r="E59" s="26">
        <f t="shared" si="2"/>
        <v>27172.70614978965</v>
      </c>
      <c r="I59" s="13"/>
    </row>
    <row r="60" spans="2:9" x14ac:dyDescent="0.35">
      <c r="B60" s="10">
        <v>47</v>
      </c>
      <c r="C60" s="77">
        <v>45323</v>
      </c>
      <c r="D60" s="25">
        <f t="shared" si="1"/>
        <v>714</v>
      </c>
      <c r="E60" s="52">
        <f t="shared" si="2"/>
        <v>26458.70614978965</v>
      </c>
      <c r="I60" s="13"/>
    </row>
    <row r="61" spans="2:9" x14ac:dyDescent="0.35">
      <c r="B61" s="10">
        <v>48</v>
      </c>
      <c r="C61" s="77">
        <v>45352</v>
      </c>
      <c r="D61" s="25">
        <f t="shared" si="1"/>
        <v>714</v>
      </c>
      <c r="E61" s="26">
        <f t="shared" si="2"/>
        <v>25744.70614978965</v>
      </c>
      <c r="I61" s="13"/>
    </row>
    <row r="62" spans="2:9" x14ac:dyDescent="0.35">
      <c r="B62" s="10">
        <v>49</v>
      </c>
      <c r="C62" s="77">
        <v>45383</v>
      </c>
      <c r="D62" s="25">
        <f t="shared" si="1"/>
        <v>714</v>
      </c>
      <c r="E62" s="52">
        <f t="shared" si="2"/>
        <v>25030.70614978965</v>
      </c>
      <c r="I62" s="13"/>
    </row>
    <row r="63" spans="2:9" x14ac:dyDescent="0.35">
      <c r="B63" s="10">
        <v>50</v>
      </c>
      <c r="C63" s="77">
        <v>45413</v>
      </c>
      <c r="D63" s="25">
        <f t="shared" si="1"/>
        <v>714</v>
      </c>
      <c r="E63" s="26">
        <f t="shared" si="2"/>
        <v>24316.70614978965</v>
      </c>
      <c r="I63" s="13"/>
    </row>
    <row r="64" spans="2:9" x14ac:dyDescent="0.35">
      <c r="B64" s="10">
        <v>51</v>
      </c>
      <c r="C64" s="77">
        <v>45444</v>
      </c>
      <c r="D64" s="25">
        <f t="shared" si="1"/>
        <v>714</v>
      </c>
      <c r="E64" s="52">
        <f t="shared" si="2"/>
        <v>23602.70614978965</v>
      </c>
      <c r="I64" s="13"/>
    </row>
    <row r="65" spans="2:9" x14ac:dyDescent="0.35">
      <c r="B65" s="10">
        <v>52</v>
      </c>
      <c r="C65" s="77">
        <v>45474</v>
      </c>
      <c r="D65" s="25">
        <f t="shared" si="1"/>
        <v>714</v>
      </c>
      <c r="E65" s="26">
        <f t="shared" si="2"/>
        <v>22888.70614978965</v>
      </c>
      <c r="I65" s="13"/>
    </row>
    <row r="66" spans="2:9" x14ac:dyDescent="0.35">
      <c r="B66" s="10">
        <v>53</v>
      </c>
      <c r="C66" s="77">
        <v>45505</v>
      </c>
      <c r="D66" s="25">
        <f t="shared" si="1"/>
        <v>714</v>
      </c>
      <c r="E66" s="52">
        <f t="shared" si="2"/>
        <v>22174.70614978965</v>
      </c>
      <c r="I66" s="13"/>
    </row>
    <row r="67" spans="2:9" x14ac:dyDescent="0.35">
      <c r="B67" s="10">
        <v>54</v>
      </c>
      <c r="C67" s="77">
        <v>45536</v>
      </c>
      <c r="D67" s="25">
        <f t="shared" si="1"/>
        <v>714</v>
      </c>
      <c r="E67" s="26">
        <f t="shared" si="2"/>
        <v>21460.70614978965</v>
      </c>
      <c r="I67" s="13"/>
    </row>
    <row r="68" spans="2:9" x14ac:dyDescent="0.35">
      <c r="B68" s="10">
        <v>55</v>
      </c>
      <c r="C68" s="77">
        <v>45566</v>
      </c>
      <c r="D68" s="25">
        <f t="shared" si="1"/>
        <v>714</v>
      </c>
      <c r="E68" s="52">
        <f t="shared" si="2"/>
        <v>20746.70614978965</v>
      </c>
      <c r="I68" s="13"/>
    </row>
    <row r="69" spans="2:9" x14ac:dyDescent="0.35">
      <c r="B69" s="10">
        <v>56</v>
      </c>
      <c r="C69" s="77">
        <v>45597</v>
      </c>
      <c r="D69" s="25">
        <f t="shared" si="1"/>
        <v>714</v>
      </c>
      <c r="E69" s="26">
        <f t="shared" si="2"/>
        <v>20032.70614978965</v>
      </c>
      <c r="I69" s="13"/>
    </row>
    <row r="70" spans="2:9" x14ac:dyDescent="0.35">
      <c r="B70" s="10">
        <v>57</v>
      </c>
      <c r="C70" s="77">
        <v>45627</v>
      </c>
      <c r="D70" s="25">
        <f t="shared" si="1"/>
        <v>714</v>
      </c>
      <c r="E70" s="26">
        <f t="shared" si="2"/>
        <v>19318.70614978965</v>
      </c>
      <c r="I70" s="13"/>
    </row>
    <row r="71" spans="2:9" x14ac:dyDescent="0.35">
      <c r="B71" s="10">
        <v>58</v>
      </c>
      <c r="C71" s="77">
        <v>45658</v>
      </c>
      <c r="D71" s="25">
        <f t="shared" si="1"/>
        <v>714</v>
      </c>
      <c r="E71" s="26">
        <f t="shared" si="2"/>
        <v>18604.70614978965</v>
      </c>
      <c r="I71" s="13"/>
    </row>
    <row r="72" spans="2:9" x14ac:dyDescent="0.35">
      <c r="B72" s="10">
        <v>59</v>
      </c>
      <c r="C72" s="77">
        <v>45689</v>
      </c>
      <c r="D72" s="25">
        <f t="shared" si="1"/>
        <v>714</v>
      </c>
      <c r="E72" s="52">
        <f t="shared" si="2"/>
        <v>17890.70614978965</v>
      </c>
      <c r="I72" s="13"/>
    </row>
    <row r="73" spans="2:9" x14ac:dyDescent="0.35">
      <c r="B73" s="10">
        <v>60</v>
      </c>
      <c r="C73" s="77">
        <v>45717</v>
      </c>
      <c r="D73" s="25">
        <f t="shared" si="1"/>
        <v>714</v>
      </c>
      <c r="E73" s="26">
        <f t="shared" si="2"/>
        <v>17176.70614978965</v>
      </c>
      <c r="I73" s="13"/>
    </row>
    <row r="74" spans="2:9" x14ac:dyDescent="0.35">
      <c r="B74" s="10">
        <v>61</v>
      </c>
      <c r="C74" s="77">
        <v>45748</v>
      </c>
      <c r="D74" s="25">
        <f t="shared" si="1"/>
        <v>714</v>
      </c>
      <c r="E74" s="52">
        <f t="shared" si="2"/>
        <v>16462.70614978965</v>
      </c>
      <c r="I74" s="13"/>
    </row>
    <row r="75" spans="2:9" x14ac:dyDescent="0.35">
      <c r="B75" s="10">
        <v>62</v>
      </c>
      <c r="C75" s="77">
        <v>45778</v>
      </c>
      <c r="D75" s="25">
        <f t="shared" si="1"/>
        <v>714</v>
      </c>
      <c r="E75" s="52">
        <f t="shared" si="2"/>
        <v>15748.70614978965</v>
      </c>
      <c r="I75" s="13"/>
    </row>
    <row r="76" spans="2:9" x14ac:dyDescent="0.35">
      <c r="B76" s="10">
        <v>63</v>
      </c>
      <c r="C76" s="77">
        <v>45809</v>
      </c>
      <c r="D76" s="25">
        <f t="shared" si="1"/>
        <v>714</v>
      </c>
      <c r="E76" s="52">
        <f t="shared" si="2"/>
        <v>15034.70614978965</v>
      </c>
      <c r="I76" s="13"/>
    </row>
    <row r="77" spans="2:9" x14ac:dyDescent="0.35">
      <c r="B77" s="10">
        <v>64</v>
      </c>
      <c r="C77" s="77">
        <v>45839</v>
      </c>
      <c r="D77" s="25">
        <f t="shared" si="1"/>
        <v>714</v>
      </c>
      <c r="E77" s="26">
        <f t="shared" si="2"/>
        <v>14320.70614978965</v>
      </c>
      <c r="I77" s="13"/>
    </row>
    <row r="78" spans="2:9" x14ac:dyDescent="0.35">
      <c r="B78" s="10">
        <v>65</v>
      </c>
      <c r="C78" s="77">
        <v>45870</v>
      </c>
      <c r="D78" s="25">
        <f t="shared" si="1"/>
        <v>714</v>
      </c>
      <c r="E78" s="52">
        <f t="shared" ref="E78:E97" si="3">+E77-D78</f>
        <v>13606.70614978965</v>
      </c>
      <c r="I78" s="13"/>
    </row>
    <row r="79" spans="2:9" x14ac:dyDescent="0.35">
      <c r="B79" s="10">
        <v>66</v>
      </c>
      <c r="C79" s="77">
        <v>45901</v>
      </c>
      <c r="D79" s="25">
        <f t="shared" ref="D79:D96" si="4">+$D$7</f>
        <v>714</v>
      </c>
      <c r="E79" s="26">
        <f t="shared" si="3"/>
        <v>12892.70614978965</v>
      </c>
      <c r="I79" s="13"/>
    </row>
    <row r="80" spans="2:9" x14ac:dyDescent="0.35">
      <c r="B80" s="10">
        <v>67</v>
      </c>
      <c r="C80" s="77">
        <v>45931</v>
      </c>
      <c r="D80" s="25">
        <f t="shared" si="4"/>
        <v>714</v>
      </c>
      <c r="E80" s="52">
        <f t="shared" si="3"/>
        <v>12178.70614978965</v>
      </c>
      <c r="I80" s="13"/>
    </row>
    <row r="81" spans="2:9" x14ac:dyDescent="0.35">
      <c r="B81" s="10">
        <v>68</v>
      </c>
      <c r="C81" s="77">
        <v>45962</v>
      </c>
      <c r="D81" s="25">
        <f t="shared" si="4"/>
        <v>714</v>
      </c>
      <c r="E81" s="26">
        <f t="shared" si="3"/>
        <v>11464.70614978965</v>
      </c>
      <c r="I81" s="13"/>
    </row>
    <row r="82" spans="2:9" x14ac:dyDescent="0.35">
      <c r="B82" s="10">
        <v>69</v>
      </c>
      <c r="C82" s="77">
        <v>45992</v>
      </c>
      <c r="D82" s="25">
        <f t="shared" si="4"/>
        <v>714</v>
      </c>
      <c r="E82" s="26">
        <f t="shared" si="3"/>
        <v>10750.70614978965</v>
      </c>
      <c r="I82" s="13"/>
    </row>
    <row r="83" spans="2:9" x14ac:dyDescent="0.35">
      <c r="B83" s="10">
        <v>70</v>
      </c>
      <c r="C83" s="77">
        <v>46023</v>
      </c>
      <c r="D83" s="25">
        <f t="shared" si="4"/>
        <v>714</v>
      </c>
      <c r="E83" s="26">
        <f t="shared" si="3"/>
        <v>10036.70614978965</v>
      </c>
      <c r="I83" s="13"/>
    </row>
    <row r="84" spans="2:9" x14ac:dyDescent="0.35">
      <c r="B84" s="10">
        <v>71</v>
      </c>
      <c r="C84" s="77">
        <v>46054</v>
      </c>
      <c r="D84" s="25">
        <f t="shared" si="4"/>
        <v>714</v>
      </c>
      <c r="E84" s="52">
        <f t="shared" si="3"/>
        <v>9322.7061497896502</v>
      </c>
      <c r="I84" s="13"/>
    </row>
    <row r="85" spans="2:9" x14ac:dyDescent="0.35">
      <c r="B85" s="10">
        <v>72</v>
      </c>
      <c r="C85" s="77">
        <v>46082</v>
      </c>
      <c r="D85" s="25">
        <f t="shared" si="4"/>
        <v>714</v>
      </c>
      <c r="E85" s="26">
        <f t="shared" si="3"/>
        <v>8608.7061497896502</v>
      </c>
      <c r="I85" s="13"/>
    </row>
    <row r="86" spans="2:9" x14ac:dyDescent="0.35">
      <c r="B86" s="10">
        <v>73</v>
      </c>
      <c r="C86" s="77">
        <v>46113</v>
      </c>
      <c r="D86" s="25">
        <f t="shared" si="4"/>
        <v>714</v>
      </c>
      <c r="E86" s="52">
        <f t="shared" si="3"/>
        <v>7894.7061497896502</v>
      </c>
      <c r="I86" s="13"/>
    </row>
    <row r="87" spans="2:9" x14ac:dyDescent="0.35">
      <c r="B87" s="10">
        <v>74</v>
      </c>
      <c r="C87" s="77">
        <v>46143</v>
      </c>
      <c r="D87" s="25">
        <f t="shared" si="4"/>
        <v>714</v>
      </c>
      <c r="E87" s="26">
        <f t="shared" si="3"/>
        <v>7180.7061497896502</v>
      </c>
      <c r="I87" s="13"/>
    </row>
    <row r="88" spans="2:9" x14ac:dyDescent="0.35">
      <c r="B88" s="10">
        <v>75</v>
      </c>
      <c r="C88" s="77">
        <v>46174</v>
      </c>
      <c r="D88" s="25">
        <f t="shared" si="4"/>
        <v>714</v>
      </c>
      <c r="E88" s="52">
        <f t="shared" si="3"/>
        <v>6466.7061497896502</v>
      </c>
      <c r="I88" s="13"/>
    </row>
    <row r="89" spans="2:9" x14ac:dyDescent="0.35">
      <c r="B89" s="10">
        <v>76</v>
      </c>
      <c r="C89" s="77">
        <v>46204</v>
      </c>
      <c r="D89" s="25">
        <f t="shared" si="4"/>
        <v>714</v>
      </c>
      <c r="E89" s="26">
        <f t="shared" si="3"/>
        <v>5752.7061497896502</v>
      </c>
      <c r="I89" s="13"/>
    </row>
    <row r="90" spans="2:9" x14ac:dyDescent="0.35">
      <c r="B90" s="10">
        <v>77</v>
      </c>
      <c r="C90" s="77">
        <v>46235</v>
      </c>
      <c r="D90" s="25">
        <f t="shared" si="4"/>
        <v>714</v>
      </c>
      <c r="E90" s="52">
        <f t="shared" si="3"/>
        <v>5038.7061497896502</v>
      </c>
      <c r="I90" s="13"/>
    </row>
    <row r="91" spans="2:9" x14ac:dyDescent="0.35">
      <c r="B91" s="10">
        <v>78</v>
      </c>
      <c r="C91" s="77">
        <v>46266</v>
      </c>
      <c r="D91" s="25">
        <f t="shared" si="4"/>
        <v>714</v>
      </c>
      <c r="E91" s="26">
        <f t="shared" si="3"/>
        <v>4324.7061497896502</v>
      </c>
      <c r="I91" s="13"/>
    </row>
    <row r="92" spans="2:9" x14ac:dyDescent="0.35">
      <c r="B92" s="10">
        <v>79</v>
      </c>
      <c r="C92" s="77">
        <v>46296</v>
      </c>
      <c r="D92" s="25">
        <f t="shared" si="4"/>
        <v>714</v>
      </c>
      <c r="E92" s="52">
        <f t="shared" si="3"/>
        <v>3610.7061497896502</v>
      </c>
      <c r="I92" s="13"/>
    </row>
    <row r="93" spans="2:9" x14ac:dyDescent="0.35">
      <c r="B93" s="10">
        <v>80</v>
      </c>
      <c r="C93" s="77">
        <v>46327</v>
      </c>
      <c r="D93" s="25">
        <f t="shared" si="4"/>
        <v>714</v>
      </c>
      <c r="E93" s="26">
        <f t="shared" si="3"/>
        <v>2896.7061497896502</v>
      </c>
      <c r="I93" s="13"/>
    </row>
    <row r="94" spans="2:9" x14ac:dyDescent="0.35">
      <c r="B94" s="10">
        <v>81</v>
      </c>
      <c r="C94" s="77">
        <v>46357</v>
      </c>
      <c r="D94" s="25">
        <f t="shared" si="4"/>
        <v>714</v>
      </c>
      <c r="E94" s="26">
        <f t="shared" si="3"/>
        <v>2182.7061497896502</v>
      </c>
      <c r="I94" s="13"/>
    </row>
    <row r="95" spans="2:9" x14ac:dyDescent="0.35">
      <c r="B95" s="10">
        <v>82</v>
      </c>
      <c r="C95" s="77">
        <v>46388</v>
      </c>
      <c r="D95" s="25">
        <f t="shared" si="4"/>
        <v>714</v>
      </c>
      <c r="E95" s="26">
        <f t="shared" si="3"/>
        <v>1468.7061497896502</v>
      </c>
      <c r="I95" s="13"/>
    </row>
    <row r="96" spans="2:9" x14ac:dyDescent="0.35">
      <c r="B96" s="10">
        <v>83</v>
      </c>
      <c r="C96" s="77">
        <v>46419</v>
      </c>
      <c r="D96" s="25">
        <f t="shared" si="4"/>
        <v>714</v>
      </c>
      <c r="E96" s="26">
        <f t="shared" si="3"/>
        <v>754.70614978965023</v>
      </c>
      <c r="I96" s="13"/>
    </row>
    <row r="97" spans="2:10" x14ac:dyDescent="0.35">
      <c r="B97" s="10">
        <v>84</v>
      </c>
      <c r="C97" s="77">
        <v>46447</v>
      </c>
      <c r="D97" s="62">
        <f>+$D$7+41</f>
        <v>755</v>
      </c>
      <c r="E97" s="26">
        <f t="shared" si="3"/>
        <v>-0.29385021034977399</v>
      </c>
      <c r="F97" s="64" t="s">
        <v>76</v>
      </c>
      <c r="G97" s="45"/>
      <c r="H97" s="45"/>
      <c r="I97" s="81"/>
      <c r="J97" s="45"/>
    </row>
    <row r="98" spans="2:10" x14ac:dyDescent="0.35">
      <c r="B98" s="14"/>
      <c r="C98" s="15"/>
      <c r="D98" s="15"/>
      <c r="E98" s="60"/>
    </row>
  </sheetData>
  <pageMargins left="0.7" right="0.7" top="0.26" bottom="0.35" header="0.18" footer="0.17"/>
  <pageSetup scale="51" orientation="portrait" r:id="rId1"/>
  <headerFooter>
    <oddFooter>&amp;R&amp;Z&amp;F -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P73"/>
  <sheetViews>
    <sheetView topLeftCell="A49" zoomScaleNormal="100" workbookViewId="0">
      <selection activeCell="B74" sqref="B74"/>
    </sheetView>
  </sheetViews>
  <sheetFormatPr defaultColWidth="8.81640625" defaultRowHeight="14.5" x14ac:dyDescent="0.35"/>
  <cols>
    <col min="1" max="1" width="3" customWidth="1"/>
    <col min="2" max="2" width="50" customWidth="1"/>
    <col min="3" max="7" width="13.453125" customWidth="1"/>
    <col min="8" max="8" width="2.81640625" customWidth="1"/>
    <col min="9" max="9" width="14.1796875" customWidth="1"/>
    <col min="10" max="11" width="13.453125" customWidth="1"/>
    <col min="12" max="12" width="2.81640625" customWidth="1"/>
    <col min="13" max="13" width="14.36328125" customWidth="1"/>
    <col min="14" max="16" width="13.453125" customWidth="1"/>
  </cols>
  <sheetData>
    <row r="1" spans="2:14" x14ac:dyDescent="0.35">
      <c r="B1" s="4" t="s">
        <v>161</v>
      </c>
    </row>
    <row r="2" spans="2:14" x14ac:dyDescent="0.35">
      <c r="B2" s="4" t="s">
        <v>165</v>
      </c>
    </row>
    <row r="5" spans="2:14" ht="15" thickBot="1" x14ac:dyDescent="0.4">
      <c r="B5" s="53" t="s">
        <v>44</v>
      </c>
    </row>
    <row r="6" spans="2:14" x14ac:dyDescent="0.35">
      <c r="B6" s="142" t="s">
        <v>140</v>
      </c>
      <c r="C6" s="136"/>
      <c r="D6" s="136"/>
      <c r="E6" s="136"/>
      <c r="F6" s="136"/>
      <c r="G6" s="136"/>
      <c r="H6" s="136"/>
      <c r="I6" s="137"/>
    </row>
    <row r="7" spans="2:14" ht="28.5" customHeight="1" x14ac:dyDescent="0.35">
      <c r="B7" s="154" t="s">
        <v>141</v>
      </c>
      <c r="C7" s="155"/>
      <c r="D7" s="155"/>
      <c r="E7" s="155"/>
      <c r="F7" s="155"/>
      <c r="G7" s="155"/>
      <c r="H7" s="155"/>
      <c r="I7" s="156"/>
      <c r="N7" s="57"/>
    </row>
    <row r="8" spans="2:14" ht="33" customHeight="1" x14ac:dyDescent="0.35">
      <c r="B8" s="154" t="s">
        <v>142</v>
      </c>
      <c r="C8" s="155"/>
      <c r="D8" s="155"/>
      <c r="E8" s="155"/>
      <c r="F8" s="155"/>
      <c r="G8" s="155"/>
      <c r="H8" s="155"/>
      <c r="I8" s="156"/>
    </row>
    <row r="9" spans="2:14" x14ac:dyDescent="0.35">
      <c r="B9" s="143" t="s">
        <v>143</v>
      </c>
      <c r="C9" s="11"/>
      <c r="D9" s="11"/>
      <c r="E9" s="11"/>
      <c r="F9" s="11"/>
      <c r="G9" s="11"/>
      <c r="H9" s="11"/>
      <c r="I9" s="138"/>
    </row>
    <row r="10" spans="2:14" x14ac:dyDescent="0.35">
      <c r="B10" s="143" t="s">
        <v>144</v>
      </c>
      <c r="C10" s="11"/>
      <c r="D10" s="11"/>
      <c r="E10" s="11"/>
      <c r="F10" s="11"/>
      <c r="G10" s="11"/>
      <c r="H10" s="11"/>
      <c r="I10" s="138"/>
    </row>
    <row r="11" spans="2:14" x14ac:dyDescent="0.35">
      <c r="B11" s="143" t="s">
        <v>145</v>
      </c>
      <c r="C11" s="11"/>
      <c r="D11" s="11"/>
      <c r="E11" s="11"/>
      <c r="F11" s="11"/>
      <c r="G11" s="11"/>
      <c r="H11" s="11"/>
      <c r="I11" s="138"/>
    </row>
    <row r="12" spans="2:14" x14ac:dyDescent="0.35">
      <c r="B12" s="146" t="s">
        <v>67</v>
      </c>
      <c r="C12" s="144">
        <v>10000000</v>
      </c>
      <c r="D12" s="11"/>
      <c r="E12" s="11"/>
      <c r="F12" s="11"/>
      <c r="G12" s="11"/>
      <c r="H12" s="11"/>
      <c r="I12" s="138"/>
    </row>
    <row r="13" spans="2:14" x14ac:dyDescent="0.35">
      <c r="B13" s="146" t="s">
        <v>68</v>
      </c>
      <c r="C13" s="145">
        <v>75</v>
      </c>
      <c r="D13" s="11"/>
      <c r="E13" s="11"/>
      <c r="F13" s="11"/>
      <c r="G13" s="11"/>
      <c r="H13" s="11"/>
      <c r="I13" s="138"/>
    </row>
    <row r="14" spans="2:14" ht="15" thickBot="1" x14ac:dyDescent="0.4">
      <c r="B14" s="146" t="s">
        <v>72</v>
      </c>
      <c r="C14" s="37">
        <f>ROUND((C12/C13),0)</f>
        <v>133333</v>
      </c>
      <c r="D14" s="11"/>
      <c r="E14" s="11"/>
      <c r="F14" s="11"/>
      <c r="G14" s="11"/>
      <c r="H14" s="11"/>
      <c r="I14" s="138"/>
    </row>
    <row r="15" spans="2:14" ht="15.5" thickTop="1" thickBot="1" x14ac:dyDescent="0.4">
      <c r="B15" s="139"/>
      <c r="C15" s="140"/>
      <c r="D15" s="140"/>
      <c r="E15" s="140"/>
      <c r="F15" s="140"/>
      <c r="G15" s="140"/>
      <c r="H15" s="140"/>
      <c r="I15" s="141"/>
    </row>
    <row r="17" spans="2:11" x14ac:dyDescent="0.35">
      <c r="B17" s="4" t="s">
        <v>57</v>
      </c>
    </row>
    <row r="18" spans="2:11" x14ac:dyDescent="0.35">
      <c r="B18" s="34" t="s">
        <v>26</v>
      </c>
      <c r="C18" s="61">
        <f>+'5. Lease Receivable Schedules'!C25</f>
        <v>316556.30033485423</v>
      </c>
      <c r="D18" s="54" t="s">
        <v>159</v>
      </c>
      <c r="E18" s="36"/>
      <c r="F18" s="54"/>
      <c r="G18" s="36"/>
      <c r="H18" s="36"/>
      <c r="I18" s="36"/>
    </row>
    <row r="19" spans="2:11" x14ac:dyDescent="0.35">
      <c r="B19" s="35"/>
      <c r="C19" s="36"/>
      <c r="D19" s="54"/>
      <c r="E19" s="36"/>
      <c r="F19" s="36"/>
      <c r="G19" s="36"/>
      <c r="H19" s="36"/>
      <c r="I19" s="36"/>
    </row>
    <row r="20" spans="2:11" x14ac:dyDescent="0.35">
      <c r="C20" s="36"/>
      <c r="D20" s="36"/>
      <c r="E20" s="36"/>
      <c r="F20" s="36"/>
      <c r="G20" s="36"/>
      <c r="H20" s="36"/>
      <c r="I20" s="36"/>
    </row>
    <row r="21" spans="2:11" ht="15" thickBot="1" x14ac:dyDescent="0.4">
      <c r="B21" s="4" t="s">
        <v>69</v>
      </c>
      <c r="C21" s="37">
        <f>SUM(C18:C20)</f>
        <v>316556.30033485423</v>
      </c>
      <c r="D21" s="36"/>
      <c r="E21" s="36"/>
      <c r="F21" s="36"/>
      <c r="G21" s="36"/>
      <c r="H21" s="36"/>
      <c r="I21" s="36"/>
    </row>
    <row r="22" spans="2:11" ht="15" thickTop="1" x14ac:dyDescent="0.35">
      <c r="C22" s="36"/>
      <c r="D22" s="36"/>
      <c r="E22" s="36"/>
      <c r="F22" s="36"/>
      <c r="G22" s="36"/>
      <c r="H22" s="36"/>
      <c r="I22" s="36"/>
    </row>
    <row r="23" spans="2:11" x14ac:dyDescent="0.35">
      <c r="C23" s="36"/>
      <c r="D23" s="36"/>
      <c r="E23" s="36"/>
      <c r="F23" s="36"/>
      <c r="G23" s="36"/>
      <c r="H23" s="36"/>
      <c r="I23" s="36"/>
    </row>
    <row r="24" spans="2:11" x14ac:dyDescent="0.35">
      <c r="B24" s="4" t="s">
        <v>58</v>
      </c>
      <c r="C24" s="36"/>
      <c r="D24" s="36"/>
      <c r="E24" s="36"/>
      <c r="F24" s="36"/>
      <c r="G24" s="36"/>
      <c r="H24" s="36"/>
      <c r="I24" s="36"/>
    </row>
    <row r="25" spans="2:11" x14ac:dyDescent="0.35">
      <c r="B25" s="34" t="s">
        <v>75</v>
      </c>
      <c r="C25" s="36">
        <f>+C21</f>
        <v>316556.30033485423</v>
      </c>
      <c r="D25" s="54" t="s">
        <v>96</v>
      </c>
      <c r="E25" s="36"/>
      <c r="F25" s="36"/>
      <c r="G25" s="54"/>
      <c r="H25" s="36"/>
      <c r="I25" s="36"/>
    </row>
    <row r="26" spans="2:11" ht="33" customHeight="1" x14ac:dyDescent="0.35">
      <c r="B26" s="35" t="s">
        <v>70</v>
      </c>
      <c r="C26" s="78">
        <v>3000</v>
      </c>
      <c r="D26" s="54" t="s">
        <v>97</v>
      </c>
      <c r="E26" s="36"/>
      <c r="F26" s="36"/>
      <c r="G26" s="54"/>
      <c r="H26" s="36"/>
      <c r="I26" s="36"/>
    </row>
    <row r="27" spans="2:11" x14ac:dyDescent="0.35">
      <c r="C27" s="36"/>
      <c r="D27" s="36"/>
      <c r="E27" s="36"/>
      <c r="F27" s="36"/>
      <c r="G27" s="36"/>
      <c r="H27" s="36"/>
      <c r="I27" s="36"/>
    </row>
    <row r="28" spans="2:11" ht="15" thickBot="1" x14ac:dyDescent="0.4">
      <c r="B28" s="4" t="s">
        <v>71</v>
      </c>
      <c r="C28" s="37">
        <f>SUM(C25:C27)</f>
        <v>319556.30033485423</v>
      </c>
      <c r="D28" s="36"/>
      <c r="E28" s="36"/>
      <c r="F28" s="36"/>
      <c r="G28" s="36"/>
      <c r="H28" s="36"/>
      <c r="I28" s="36"/>
    </row>
    <row r="29" spans="2:11" ht="15" thickTop="1" x14ac:dyDescent="0.35">
      <c r="B29" s="4"/>
      <c r="C29" s="29"/>
      <c r="D29" s="36"/>
      <c r="E29" s="36"/>
      <c r="F29" s="36"/>
      <c r="G29" s="36"/>
      <c r="H29" s="36"/>
      <c r="I29" s="36"/>
    </row>
    <row r="30" spans="2:11" x14ac:dyDescent="0.35">
      <c r="C30" s="36"/>
      <c r="D30" s="36"/>
      <c r="E30" s="36"/>
      <c r="F30" s="36"/>
      <c r="G30" s="36"/>
      <c r="H30" s="36"/>
      <c r="I30" s="36"/>
    </row>
    <row r="31" spans="2:11" x14ac:dyDescent="0.35">
      <c r="C31" s="48" t="s">
        <v>53</v>
      </c>
      <c r="D31" s="49"/>
      <c r="E31" s="49"/>
      <c r="F31" s="49"/>
      <c r="G31" s="43"/>
      <c r="H31" s="36"/>
      <c r="I31" s="48" t="s">
        <v>46</v>
      </c>
      <c r="J31" s="50"/>
      <c r="K31" s="51"/>
    </row>
    <row r="32" spans="2:11" x14ac:dyDescent="0.35">
      <c r="B32" s="69" t="s">
        <v>81</v>
      </c>
      <c r="C32" s="70">
        <v>1</v>
      </c>
      <c r="D32" s="70">
        <v>2</v>
      </c>
      <c r="E32" s="70">
        <v>3</v>
      </c>
      <c r="F32" s="70">
        <v>4</v>
      </c>
      <c r="G32" s="43"/>
      <c r="H32" s="36"/>
      <c r="I32" s="70">
        <v>5</v>
      </c>
      <c r="J32" s="71"/>
      <c r="K32" s="51"/>
    </row>
    <row r="33" spans="2:16" ht="29" x14ac:dyDescent="0.35">
      <c r="C33" s="39" t="s">
        <v>61</v>
      </c>
      <c r="D33" s="39" t="s">
        <v>33</v>
      </c>
      <c r="E33" s="39" t="s">
        <v>62</v>
      </c>
      <c r="F33" s="39" t="s">
        <v>66</v>
      </c>
      <c r="G33" s="94" t="s">
        <v>38</v>
      </c>
      <c r="H33" s="39"/>
      <c r="I33" s="39" t="s">
        <v>73</v>
      </c>
      <c r="J33" s="39"/>
      <c r="K33" s="94" t="s">
        <v>49</v>
      </c>
      <c r="L33" s="96"/>
      <c r="M33" s="94" t="s">
        <v>55</v>
      </c>
    </row>
    <row r="34" spans="2:16" x14ac:dyDescent="0.35">
      <c r="B34" s="63" t="s">
        <v>30</v>
      </c>
      <c r="C34" s="41">
        <v>3000</v>
      </c>
      <c r="D34" s="41"/>
      <c r="E34" s="41">
        <f>3000*6</f>
        <v>18000</v>
      </c>
      <c r="F34" s="41"/>
      <c r="G34" s="95">
        <f t="shared" ref="G34:G36" si="0">SUM(C34:F34)</f>
        <v>21000</v>
      </c>
      <c r="H34" s="41"/>
      <c r="I34" s="41"/>
      <c r="J34" s="41"/>
      <c r="K34" s="95">
        <f t="shared" ref="K34:K40" si="1">SUM(I34:J34)</f>
        <v>0</v>
      </c>
      <c r="L34" s="97"/>
      <c r="M34" s="95">
        <f t="shared" ref="M34:M40" si="2">+K34+G34</f>
        <v>21000</v>
      </c>
      <c r="N34" s="38"/>
      <c r="O34" s="38"/>
      <c r="P34" s="38"/>
    </row>
    <row r="35" spans="2:16" x14ac:dyDescent="0.35">
      <c r="B35" s="63" t="s">
        <v>59</v>
      </c>
      <c r="C35" s="41"/>
      <c r="D35" s="41">
        <f>+C21</f>
        <v>316556.30033485423</v>
      </c>
      <c r="E35" s="41">
        <f>-+'5. Lease Receivable Schedules'!H42</f>
        <v>-14783</v>
      </c>
      <c r="F35" s="41"/>
      <c r="G35" s="95">
        <f t="shared" si="0"/>
        <v>301773.30033485423</v>
      </c>
      <c r="H35" s="41"/>
      <c r="I35" s="41"/>
      <c r="J35" s="41"/>
      <c r="K35" s="95">
        <f t="shared" si="1"/>
        <v>0</v>
      </c>
      <c r="L35" s="97"/>
      <c r="M35" s="95">
        <f t="shared" si="2"/>
        <v>301773.30033485423</v>
      </c>
      <c r="N35" s="38"/>
      <c r="O35" s="38"/>
      <c r="P35" s="38"/>
    </row>
    <row r="36" spans="2:16" x14ac:dyDescent="0.35">
      <c r="B36" s="63" t="s">
        <v>74</v>
      </c>
      <c r="C36" s="41"/>
      <c r="D36" s="41"/>
      <c r="E36" s="41"/>
      <c r="F36" s="41"/>
      <c r="G36" s="95">
        <f t="shared" si="0"/>
        <v>0</v>
      </c>
      <c r="H36" s="41"/>
      <c r="I36" s="41">
        <v>-133333</v>
      </c>
      <c r="J36" s="41"/>
      <c r="K36" s="95">
        <f t="shared" si="1"/>
        <v>-133333</v>
      </c>
      <c r="L36" s="97"/>
      <c r="M36" s="95">
        <f t="shared" si="2"/>
        <v>-133333</v>
      </c>
      <c r="N36" s="38"/>
      <c r="O36" s="38"/>
      <c r="P36" s="38"/>
    </row>
    <row r="37" spans="2:16" x14ac:dyDescent="0.35">
      <c r="B37" s="63" t="s">
        <v>58</v>
      </c>
      <c r="C37" s="41">
        <v>-3000</v>
      </c>
      <c r="D37" s="41">
        <f>-D35</f>
        <v>-316556.30033485423</v>
      </c>
      <c r="E37" s="41"/>
      <c r="F37" s="41">
        <f>+'6. Def Inflow Amort Schedules'!F19</f>
        <v>15978</v>
      </c>
      <c r="G37" s="95">
        <f>SUM(C37:F37)</f>
        <v>-303578.30033485423</v>
      </c>
      <c r="H37" s="41"/>
      <c r="I37" s="41"/>
      <c r="J37" s="41"/>
      <c r="K37" s="95">
        <f t="shared" si="1"/>
        <v>0</v>
      </c>
      <c r="L37" s="97"/>
      <c r="M37" s="95">
        <f t="shared" si="2"/>
        <v>-303578.30033485423</v>
      </c>
      <c r="N37" s="38"/>
      <c r="O37" s="38"/>
      <c r="P37" s="38"/>
    </row>
    <row r="38" spans="2:16" x14ac:dyDescent="0.35">
      <c r="B38" s="63" t="s">
        <v>60</v>
      </c>
      <c r="C38" s="41"/>
      <c r="D38" s="41"/>
      <c r="E38" s="41"/>
      <c r="F38" s="41">
        <f>-F37</f>
        <v>-15978</v>
      </c>
      <c r="G38" s="95">
        <f t="shared" ref="G38:G40" si="3">SUM(C38:F38)</f>
        <v>-15978</v>
      </c>
      <c r="H38" s="41"/>
      <c r="I38" s="41"/>
      <c r="J38" s="41"/>
      <c r="K38" s="95">
        <f t="shared" si="1"/>
        <v>0</v>
      </c>
      <c r="L38" s="97"/>
      <c r="M38" s="95">
        <f t="shared" si="2"/>
        <v>-15978</v>
      </c>
      <c r="N38" s="38"/>
      <c r="O38" s="38"/>
      <c r="P38" s="38"/>
    </row>
    <row r="39" spans="2:16" x14ac:dyDescent="0.35">
      <c r="B39" s="63" t="s">
        <v>63</v>
      </c>
      <c r="C39" s="41"/>
      <c r="D39" s="41"/>
      <c r="E39" s="41">
        <f>-+'5. Lease Receivable Schedules'!G42</f>
        <v>-3217</v>
      </c>
      <c r="F39" s="41"/>
      <c r="G39" s="95">
        <f t="shared" si="3"/>
        <v>-3217</v>
      </c>
      <c r="H39" s="41"/>
      <c r="I39" s="41"/>
      <c r="J39" s="41"/>
      <c r="K39" s="95">
        <f t="shared" si="1"/>
        <v>0</v>
      </c>
      <c r="L39" s="97"/>
      <c r="M39" s="95">
        <f t="shared" si="2"/>
        <v>-3217</v>
      </c>
      <c r="N39" s="38"/>
      <c r="O39" s="38"/>
      <c r="P39" s="38"/>
    </row>
    <row r="40" spans="2:16" x14ac:dyDescent="0.35">
      <c r="B40" s="63" t="s">
        <v>73</v>
      </c>
      <c r="C40" s="41"/>
      <c r="D40" s="41"/>
      <c r="E40" s="41"/>
      <c r="F40" s="41"/>
      <c r="G40" s="95">
        <f t="shared" si="3"/>
        <v>0</v>
      </c>
      <c r="H40" s="41"/>
      <c r="I40" s="41">
        <v>133333</v>
      </c>
      <c r="J40" s="41"/>
      <c r="K40" s="95">
        <f t="shared" si="1"/>
        <v>133333</v>
      </c>
      <c r="L40" s="97"/>
      <c r="M40" s="95">
        <f t="shared" si="2"/>
        <v>133333</v>
      </c>
      <c r="N40" s="38"/>
      <c r="O40" s="38"/>
      <c r="P40" s="38"/>
    </row>
    <row r="41" spans="2:16" x14ac:dyDescent="0.35">
      <c r="B41" s="42" t="s">
        <v>32</v>
      </c>
      <c r="C41" s="41">
        <f>SUM(C34:C40)</f>
        <v>0</v>
      </c>
      <c r="D41" s="41">
        <f>SUM(D34:D40)</f>
        <v>0</v>
      </c>
      <c r="E41" s="41">
        <f>SUM(E34:E40)</f>
        <v>0</v>
      </c>
      <c r="F41" s="41">
        <f>SUM(F34:F40)</f>
        <v>0</v>
      </c>
      <c r="G41" s="95">
        <f>SUM(G34:G40)</f>
        <v>0</v>
      </c>
      <c r="H41" s="41"/>
      <c r="I41" s="41">
        <f>SUM(I34:I40)</f>
        <v>0</v>
      </c>
      <c r="J41" s="41">
        <f>SUM(J34:J40)</f>
        <v>0</v>
      </c>
      <c r="K41" s="95">
        <f>SUM(K34:K40)</f>
        <v>0</v>
      </c>
      <c r="L41" s="97"/>
      <c r="M41" s="95">
        <f>SUM(M34:M40)</f>
        <v>0</v>
      </c>
      <c r="N41" s="38"/>
      <c r="O41" s="38"/>
      <c r="P41" s="38"/>
    </row>
    <row r="42" spans="2:16" x14ac:dyDescent="0.35">
      <c r="C42" s="38"/>
      <c r="D42" s="38"/>
      <c r="E42" s="38"/>
      <c r="F42" s="38"/>
      <c r="G42" s="38"/>
      <c r="H42" s="38"/>
      <c r="I42" s="38"/>
      <c r="J42" s="38"/>
      <c r="K42" s="38"/>
      <c r="L42" s="38"/>
      <c r="M42" s="38"/>
      <c r="N42" s="38"/>
      <c r="O42" s="38"/>
      <c r="P42" s="38"/>
    </row>
    <row r="43" spans="2:16" x14ac:dyDescent="0.35">
      <c r="B43" s="4" t="s">
        <v>83</v>
      </c>
      <c r="C43" s="36"/>
      <c r="D43" s="36"/>
      <c r="E43" s="36"/>
      <c r="F43" s="36"/>
      <c r="G43" s="36"/>
      <c r="H43" s="36"/>
      <c r="I43" s="36"/>
    </row>
    <row r="44" spans="2:16" x14ac:dyDescent="0.35">
      <c r="C44" s="36"/>
      <c r="D44" s="36"/>
      <c r="E44" s="36"/>
      <c r="F44" s="36"/>
      <c r="G44" s="36"/>
      <c r="H44" s="36"/>
      <c r="I44" s="36"/>
    </row>
    <row r="45" spans="2:16" x14ac:dyDescent="0.35">
      <c r="B45" s="4" t="s">
        <v>84</v>
      </c>
    </row>
    <row r="47" spans="2:16" ht="16" x14ac:dyDescent="0.5">
      <c r="B47" s="11"/>
      <c r="C47" s="127" t="s">
        <v>117</v>
      </c>
      <c r="D47" s="127" t="s">
        <v>118</v>
      </c>
      <c r="E47" s="36"/>
      <c r="F47" s="36"/>
    </row>
    <row r="48" spans="2:16" x14ac:dyDescent="0.35">
      <c r="B48" s="132" t="s">
        <v>122</v>
      </c>
      <c r="C48" s="36"/>
      <c r="D48" s="36"/>
      <c r="E48" s="36"/>
      <c r="F48" s="36"/>
    </row>
    <row r="49" spans="1:6" x14ac:dyDescent="0.35">
      <c r="A49" s="130" t="s">
        <v>119</v>
      </c>
      <c r="B49" s="128" t="s">
        <v>30</v>
      </c>
      <c r="C49" s="36">
        <v>3000</v>
      </c>
      <c r="D49" s="36"/>
      <c r="E49" s="36"/>
      <c r="F49" s="36"/>
    </row>
    <row r="50" spans="1:6" x14ac:dyDescent="0.35">
      <c r="A50" s="82"/>
      <c r="B50" s="129" t="s">
        <v>58</v>
      </c>
      <c r="C50" s="36"/>
      <c r="D50" s="36">
        <v>3000</v>
      </c>
      <c r="E50" s="36"/>
      <c r="F50" s="36"/>
    </row>
    <row r="51" spans="1:6" x14ac:dyDescent="0.35">
      <c r="A51" s="82"/>
      <c r="B51" s="131" t="s">
        <v>146</v>
      </c>
      <c r="C51" s="36"/>
      <c r="D51" s="36"/>
      <c r="E51" s="36"/>
      <c r="F51" s="36"/>
    </row>
    <row r="52" spans="1:6" x14ac:dyDescent="0.35">
      <c r="A52" s="82"/>
      <c r="B52" s="11"/>
      <c r="C52" s="36"/>
      <c r="D52" s="36"/>
      <c r="E52" s="36"/>
      <c r="F52" s="36"/>
    </row>
    <row r="53" spans="1:6" x14ac:dyDescent="0.35">
      <c r="A53" s="130" t="s">
        <v>121</v>
      </c>
      <c r="B53" s="128" t="s">
        <v>59</v>
      </c>
      <c r="C53" s="36">
        <v>316556</v>
      </c>
      <c r="D53" s="36"/>
      <c r="E53" s="36"/>
      <c r="F53" s="36"/>
    </row>
    <row r="54" spans="1:6" x14ac:dyDescent="0.35">
      <c r="A54" s="82"/>
      <c r="B54" s="129" t="s">
        <v>58</v>
      </c>
      <c r="C54" s="36"/>
      <c r="D54" s="36">
        <v>316556</v>
      </c>
      <c r="E54" s="36"/>
      <c r="F54" s="36"/>
    </row>
    <row r="55" spans="1:6" x14ac:dyDescent="0.35">
      <c r="A55" s="82"/>
      <c r="B55" s="131" t="s">
        <v>147</v>
      </c>
      <c r="C55" s="36"/>
      <c r="D55" s="36"/>
      <c r="E55" s="36"/>
      <c r="F55" s="36"/>
    </row>
    <row r="56" spans="1:6" x14ac:dyDescent="0.35">
      <c r="A56" s="82"/>
      <c r="B56" s="11"/>
      <c r="C56" s="36"/>
      <c r="D56" s="36"/>
      <c r="E56" s="36"/>
      <c r="F56" s="36"/>
    </row>
    <row r="57" spans="1:6" x14ac:dyDescent="0.35">
      <c r="A57" s="130" t="s">
        <v>123</v>
      </c>
      <c r="B57" s="128" t="s">
        <v>30</v>
      </c>
      <c r="C57" s="36">
        <v>18000</v>
      </c>
      <c r="D57" s="36"/>
      <c r="E57" s="36"/>
      <c r="F57" s="36"/>
    </row>
    <row r="58" spans="1:6" x14ac:dyDescent="0.35">
      <c r="A58" s="82"/>
      <c r="B58" s="129" t="s">
        <v>59</v>
      </c>
      <c r="C58" s="38"/>
      <c r="D58" s="36">
        <v>14783</v>
      </c>
      <c r="E58" s="36"/>
      <c r="F58" s="36"/>
    </row>
    <row r="59" spans="1:6" x14ac:dyDescent="0.35">
      <c r="A59" s="82"/>
      <c r="B59" s="129" t="s">
        <v>63</v>
      </c>
      <c r="C59" s="36"/>
      <c r="D59" s="38">
        <v>3217</v>
      </c>
      <c r="E59" s="36"/>
      <c r="F59" s="36"/>
    </row>
    <row r="60" spans="1:6" x14ac:dyDescent="0.35">
      <c r="A60" s="82"/>
      <c r="B60" s="133" t="s">
        <v>158</v>
      </c>
      <c r="C60" s="36"/>
      <c r="D60" s="36"/>
      <c r="E60" s="36"/>
      <c r="F60" s="36"/>
    </row>
    <row r="61" spans="1:6" x14ac:dyDescent="0.35">
      <c r="A61" s="82"/>
      <c r="C61" s="36"/>
      <c r="D61" s="36"/>
      <c r="E61" s="36"/>
      <c r="F61" s="36"/>
    </row>
    <row r="62" spans="1:6" x14ac:dyDescent="0.35">
      <c r="A62" s="130" t="s">
        <v>124</v>
      </c>
      <c r="B62" s="128" t="s">
        <v>58</v>
      </c>
      <c r="C62" s="36">
        <v>15978</v>
      </c>
      <c r="D62" s="36"/>
      <c r="E62" s="36"/>
      <c r="F62" s="36"/>
    </row>
    <row r="63" spans="1:6" x14ac:dyDescent="0.35">
      <c r="A63" s="82"/>
      <c r="B63" s="129" t="s">
        <v>60</v>
      </c>
      <c r="C63" s="36"/>
      <c r="D63" s="36">
        <v>15978</v>
      </c>
      <c r="E63" s="36"/>
      <c r="F63" s="36"/>
    </row>
    <row r="64" spans="1:6" x14ac:dyDescent="0.35">
      <c r="A64" s="82"/>
      <c r="B64" s="131" t="s">
        <v>160</v>
      </c>
      <c r="C64" s="36"/>
      <c r="D64" s="36"/>
      <c r="E64" s="36"/>
      <c r="F64" s="36"/>
    </row>
    <row r="65" spans="1:8" x14ac:dyDescent="0.35">
      <c r="A65" s="82"/>
      <c r="B65" s="131"/>
      <c r="C65" s="36"/>
      <c r="D65" s="36"/>
      <c r="E65" s="36"/>
      <c r="F65" s="36"/>
    </row>
    <row r="66" spans="1:8" x14ac:dyDescent="0.35">
      <c r="A66" s="82"/>
      <c r="B66" s="134" t="s">
        <v>130</v>
      </c>
      <c r="C66" s="36"/>
      <c r="D66" s="36"/>
      <c r="E66" s="36"/>
      <c r="F66" s="36"/>
    </row>
    <row r="67" spans="1:8" x14ac:dyDescent="0.35">
      <c r="A67" s="130" t="s">
        <v>125</v>
      </c>
      <c r="B67" s="11" t="s">
        <v>73</v>
      </c>
      <c r="C67" s="36">
        <v>133333</v>
      </c>
      <c r="D67" s="36"/>
      <c r="E67" s="36"/>
      <c r="F67" s="36"/>
    </row>
    <row r="68" spans="1:8" x14ac:dyDescent="0.35">
      <c r="A68" s="82"/>
      <c r="B68" s="129" t="s">
        <v>74</v>
      </c>
      <c r="C68" s="36"/>
      <c r="D68" s="36">
        <v>133333</v>
      </c>
      <c r="E68" s="36"/>
      <c r="F68" s="36"/>
    </row>
    <row r="69" spans="1:8" x14ac:dyDescent="0.35">
      <c r="A69" s="82"/>
      <c r="B69" s="131" t="s">
        <v>148</v>
      </c>
      <c r="C69" s="36"/>
      <c r="D69" s="36"/>
      <c r="E69" s="36"/>
      <c r="F69" s="36"/>
    </row>
    <row r="70" spans="1:8" x14ac:dyDescent="0.35">
      <c r="A70" s="82"/>
      <c r="C70" s="36"/>
      <c r="D70" s="36"/>
      <c r="E70" s="36"/>
      <c r="F70" s="36"/>
    </row>
    <row r="71" spans="1:8" x14ac:dyDescent="0.35">
      <c r="A71" s="82"/>
      <c r="C71" s="36"/>
      <c r="D71" s="36"/>
      <c r="E71" s="36"/>
      <c r="F71" s="36"/>
    </row>
    <row r="72" spans="1:8" x14ac:dyDescent="0.35">
      <c r="A72" s="82"/>
      <c r="C72" s="36"/>
      <c r="D72" s="36"/>
      <c r="E72" s="36"/>
      <c r="F72" s="36"/>
    </row>
    <row r="73" spans="1:8" x14ac:dyDescent="0.35">
      <c r="A73" s="82"/>
      <c r="C73" s="36"/>
      <c r="D73" s="36"/>
      <c r="E73" s="36"/>
      <c r="F73" s="36"/>
      <c r="G73" s="36"/>
      <c r="H73" s="36"/>
    </row>
  </sheetData>
  <mergeCells count="2">
    <mergeCell ref="B7:I7"/>
    <mergeCell ref="B8:I8"/>
  </mergeCells>
  <pageMargins left="0.25" right="0.26" top="0.27" bottom="0.37" header="0.17" footer="0.17"/>
  <pageSetup scale="56" orientation="portrait" r:id="rId1"/>
  <headerFooter>
    <oddFooter>&amp;R&amp;Z&amp;F -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K158"/>
  <sheetViews>
    <sheetView topLeftCell="A52" zoomScale="90" zoomScaleNormal="90" workbookViewId="0">
      <selection activeCell="B162" sqref="B162"/>
    </sheetView>
  </sheetViews>
  <sheetFormatPr defaultColWidth="8.81640625" defaultRowHeight="14.5" x14ac:dyDescent="0.35"/>
  <cols>
    <col min="1" max="1" width="9.81640625" customWidth="1"/>
    <col min="2" max="2" width="40.453125" bestFit="1" customWidth="1"/>
    <col min="3" max="6" width="13.36328125" customWidth="1"/>
    <col min="7" max="7" width="19" bestFit="1" customWidth="1"/>
    <col min="8" max="11" width="13.1796875" customWidth="1"/>
    <col min="12" max="12" width="15" customWidth="1"/>
    <col min="13" max="13" width="9.453125" bestFit="1" customWidth="1"/>
  </cols>
  <sheetData>
    <row r="1" spans="1:11" x14ac:dyDescent="0.35">
      <c r="A1" s="4" t="s">
        <v>161</v>
      </c>
    </row>
    <row r="2" spans="1:11" x14ac:dyDescent="0.35">
      <c r="A2" s="4" t="s">
        <v>163</v>
      </c>
      <c r="K2" s="24"/>
    </row>
    <row r="3" spans="1:11" x14ac:dyDescent="0.35">
      <c r="A3" s="4" t="s">
        <v>166</v>
      </c>
    </row>
    <row r="5" spans="1:11" ht="15" thickBot="1" x14ac:dyDescent="0.4">
      <c r="A5" s="53" t="s">
        <v>44</v>
      </c>
    </row>
    <row r="6" spans="1:11" x14ac:dyDescent="0.35">
      <c r="A6" s="142" t="s">
        <v>140</v>
      </c>
      <c r="B6" s="136"/>
      <c r="C6" s="136"/>
      <c r="D6" s="136"/>
      <c r="E6" s="136"/>
      <c r="F6" s="136"/>
      <c r="G6" s="136"/>
      <c r="H6" s="137"/>
    </row>
    <row r="7" spans="1:11" ht="15" customHeight="1" x14ac:dyDescent="0.35">
      <c r="A7" s="154" t="s">
        <v>141</v>
      </c>
      <c r="B7" s="155"/>
      <c r="C7" s="155"/>
      <c r="D7" s="155"/>
      <c r="E7" s="155"/>
      <c r="F7" s="155"/>
      <c r="G7" s="155"/>
      <c r="H7" s="156"/>
    </row>
    <row r="8" spans="1:11" ht="15" customHeight="1" x14ac:dyDescent="0.35">
      <c r="A8" s="154" t="s">
        <v>142</v>
      </c>
      <c r="B8" s="155"/>
      <c r="C8" s="155"/>
      <c r="D8" s="155"/>
      <c r="E8" s="155"/>
      <c r="F8" s="155"/>
      <c r="G8" s="155"/>
      <c r="H8" s="156"/>
    </row>
    <row r="9" spans="1:11" x14ac:dyDescent="0.35">
      <c r="A9" s="143" t="s">
        <v>143</v>
      </c>
      <c r="B9" s="11"/>
      <c r="C9" s="11"/>
      <c r="D9" s="11"/>
      <c r="E9" s="11"/>
      <c r="F9" s="11"/>
      <c r="G9" s="11"/>
      <c r="H9" s="138"/>
    </row>
    <row r="10" spans="1:11" x14ac:dyDescent="0.35">
      <c r="A10" s="143" t="s">
        <v>144</v>
      </c>
      <c r="B10" s="11"/>
      <c r="C10" s="11"/>
      <c r="D10" s="11"/>
      <c r="E10" s="11"/>
      <c r="F10" s="11"/>
      <c r="G10" s="11"/>
      <c r="H10" s="138"/>
    </row>
    <row r="11" spans="1:11" x14ac:dyDescent="0.35">
      <c r="A11" s="143" t="s">
        <v>145</v>
      </c>
      <c r="B11" s="11"/>
      <c r="C11" s="11"/>
      <c r="D11" s="11"/>
      <c r="E11" s="11"/>
      <c r="F11" s="11"/>
      <c r="G11" s="11"/>
      <c r="H11" s="138"/>
    </row>
    <row r="12" spans="1:11" x14ac:dyDescent="0.35">
      <c r="A12" s="146"/>
      <c r="B12" s="147" t="s">
        <v>67</v>
      </c>
      <c r="C12" s="144">
        <v>10000000</v>
      </c>
      <c r="D12" s="11"/>
      <c r="E12" s="11"/>
      <c r="F12" s="11"/>
      <c r="G12" s="11"/>
      <c r="H12" s="138"/>
    </row>
    <row r="13" spans="1:11" x14ac:dyDescent="0.35">
      <c r="A13" s="146"/>
      <c r="B13" s="147" t="s">
        <v>68</v>
      </c>
      <c r="C13" s="145">
        <v>75</v>
      </c>
      <c r="D13" s="11"/>
      <c r="E13" s="11"/>
      <c r="F13" s="11"/>
      <c r="G13" s="11"/>
      <c r="H13" s="138"/>
    </row>
    <row r="14" spans="1:11" ht="15" thickBot="1" x14ac:dyDescent="0.4">
      <c r="A14" s="146"/>
      <c r="B14" s="147" t="s">
        <v>72</v>
      </c>
      <c r="C14" s="37">
        <f>ROUND((C12/C13),0)</f>
        <v>133333</v>
      </c>
      <c r="D14" s="11"/>
      <c r="E14" s="11"/>
      <c r="F14" s="11"/>
      <c r="G14" s="11"/>
      <c r="H14" s="138"/>
    </row>
    <row r="15" spans="1:11" ht="15.5" thickTop="1" thickBot="1" x14ac:dyDescent="0.4">
      <c r="A15" s="139"/>
      <c r="B15" s="140"/>
      <c r="C15" s="140"/>
      <c r="D15" s="140"/>
      <c r="E15" s="140"/>
      <c r="F15" s="140"/>
      <c r="G15" s="140"/>
      <c r="H15" s="141"/>
    </row>
    <row r="16" spans="1:11" x14ac:dyDescent="0.35">
      <c r="C16" s="1"/>
      <c r="D16" s="23" t="s">
        <v>11</v>
      </c>
    </row>
    <row r="17" spans="1:4" x14ac:dyDescent="0.35">
      <c r="A17" s="16" t="s">
        <v>2</v>
      </c>
      <c r="B17" t="s">
        <v>0</v>
      </c>
      <c r="C17" s="83">
        <v>3000</v>
      </c>
      <c r="D17" s="22" t="s">
        <v>10</v>
      </c>
    </row>
    <row r="18" spans="1:4" x14ac:dyDescent="0.35">
      <c r="A18" s="16" t="s">
        <v>3</v>
      </c>
      <c r="B18" t="s">
        <v>1</v>
      </c>
      <c r="C18" s="84">
        <v>119</v>
      </c>
      <c r="D18" s="22" t="s">
        <v>9</v>
      </c>
    </row>
    <row r="19" spans="1:4" x14ac:dyDescent="0.35">
      <c r="A19" s="16" t="s">
        <v>4</v>
      </c>
      <c r="B19" t="s">
        <v>6</v>
      </c>
      <c r="C19" s="85">
        <v>2.5000000000000001E-2</v>
      </c>
      <c r="D19" s="22"/>
    </row>
    <row r="20" spans="1:4" x14ac:dyDescent="0.35">
      <c r="A20" s="16" t="s">
        <v>5</v>
      </c>
      <c r="B20" t="s">
        <v>7</v>
      </c>
      <c r="C20" s="90">
        <f>+C19/12</f>
        <v>2.0833333333333333E-3</v>
      </c>
      <c r="D20" s="22" t="s">
        <v>8</v>
      </c>
    </row>
    <row r="21" spans="1:4" x14ac:dyDescent="0.35">
      <c r="A21" s="16" t="s">
        <v>15</v>
      </c>
      <c r="B21" t="s">
        <v>12</v>
      </c>
      <c r="C21" s="45">
        <v>0</v>
      </c>
      <c r="D21" s="22" t="s">
        <v>13</v>
      </c>
    </row>
    <row r="22" spans="1:4" ht="43.5" x14ac:dyDescent="0.35">
      <c r="A22" s="16" t="s">
        <v>16</v>
      </c>
      <c r="B22" s="5" t="s">
        <v>100</v>
      </c>
      <c r="C22" s="45">
        <v>1</v>
      </c>
      <c r="D22" s="22" t="s">
        <v>14</v>
      </c>
    </row>
    <row r="23" spans="1:4" x14ac:dyDescent="0.35">
      <c r="A23" s="16" t="s">
        <v>99</v>
      </c>
      <c r="B23" t="s">
        <v>101</v>
      </c>
      <c r="C23" s="88">
        <v>44013</v>
      </c>
    </row>
    <row r="24" spans="1:4" ht="29" x14ac:dyDescent="0.35">
      <c r="A24" s="16" t="s">
        <v>102</v>
      </c>
      <c r="B24" s="5" t="s">
        <v>103</v>
      </c>
      <c r="C24">
        <v>1</v>
      </c>
    </row>
    <row r="25" spans="1:4" x14ac:dyDescent="0.35">
      <c r="A25" s="91"/>
      <c r="B25" s="91" t="s">
        <v>22</v>
      </c>
      <c r="C25" s="102">
        <f>PV(C20,C18,-C17,C21,C22)</f>
        <v>316556.30033485423</v>
      </c>
    </row>
    <row r="26" spans="1:4" x14ac:dyDescent="0.35">
      <c r="C26" s="36"/>
    </row>
    <row r="27" spans="1:4" x14ac:dyDescent="0.35">
      <c r="A27" s="4"/>
      <c r="B27" s="4" t="s">
        <v>21</v>
      </c>
      <c r="C27" s="103">
        <f>ROUND(PMT(C20,C18,-C25,,C22),0)</f>
        <v>3000</v>
      </c>
    </row>
    <row r="28" spans="1:4" x14ac:dyDescent="0.35">
      <c r="A28" s="4"/>
      <c r="B28" s="4"/>
    </row>
    <row r="29" spans="1:4" x14ac:dyDescent="0.35">
      <c r="A29" s="24"/>
      <c r="B29" s="24" t="s">
        <v>27</v>
      </c>
    </row>
    <row r="33" spans="1:8" x14ac:dyDescent="0.35">
      <c r="A33" s="7"/>
      <c r="B33" s="93" t="s">
        <v>109</v>
      </c>
      <c r="C33" s="8"/>
      <c r="D33" s="8"/>
      <c r="E33" s="8"/>
      <c r="F33" s="9"/>
    </row>
    <row r="34" spans="1:8" x14ac:dyDescent="0.35">
      <c r="A34" s="86" t="s">
        <v>17</v>
      </c>
      <c r="B34" s="11"/>
      <c r="C34" s="11"/>
      <c r="D34" s="11"/>
      <c r="E34" s="11"/>
      <c r="F34" s="12"/>
    </row>
    <row r="35" spans="1:8" x14ac:dyDescent="0.35">
      <c r="A35" s="87" t="s">
        <v>104</v>
      </c>
      <c r="B35" s="20" t="s">
        <v>98</v>
      </c>
      <c r="C35" s="20" t="s">
        <v>17</v>
      </c>
      <c r="D35" s="20" t="s">
        <v>19</v>
      </c>
      <c r="E35" s="20" t="s">
        <v>18</v>
      </c>
      <c r="F35" s="21" t="s">
        <v>20</v>
      </c>
    </row>
    <row r="36" spans="1:8" x14ac:dyDescent="0.35">
      <c r="A36" s="10"/>
      <c r="B36" s="11"/>
      <c r="C36" s="29"/>
      <c r="D36" s="29"/>
      <c r="E36" s="29"/>
      <c r="F36" s="32">
        <f>+C25</f>
        <v>316556.30033485423</v>
      </c>
      <c r="G36" s="6"/>
    </row>
    <row r="37" spans="1:8" x14ac:dyDescent="0.35">
      <c r="A37" s="86">
        <v>1</v>
      </c>
      <c r="B37" s="77">
        <f>+C23</f>
        <v>44013</v>
      </c>
      <c r="C37" s="31">
        <f>ROUND(+$C$27,0)</f>
        <v>3000</v>
      </c>
      <c r="D37" s="31">
        <v>0</v>
      </c>
      <c r="E37" s="31">
        <f>+C37-D37</f>
        <v>3000</v>
      </c>
      <c r="F37" s="26">
        <f>+F36-E37</f>
        <v>313556.30033485423</v>
      </c>
      <c r="G37" s="6"/>
    </row>
    <row r="38" spans="1:8" x14ac:dyDescent="0.35">
      <c r="A38" s="86">
        <v>2</v>
      </c>
      <c r="B38" s="77">
        <f>DATE(YEAR(B37),MONTH(B37)+$C$24,DAY(B37))</f>
        <v>44044</v>
      </c>
      <c r="C38" s="25">
        <f t="shared" ref="C38:C101" si="0">ROUND(+$C$27,0)</f>
        <v>3000</v>
      </c>
      <c r="D38" s="25">
        <f>ROUND(+F37*$C$20,0)</f>
        <v>653</v>
      </c>
      <c r="E38" s="25">
        <f>+C38-D38</f>
        <v>2347</v>
      </c>
      <c r="F38" s="26">
        <f>+F37-E38</f>
        <v>311209.30033485423</v>
      </c>
      <c r="G38" s="6"/>
    </row>
    <row r="39" spans="1:8" x14ac:dyDescent="0.35">
      <c r="A39" s="86">
        <v>3</v>
      </c>
      <c r="B39" s="77">
        <f t="shared" ref="B39:B102" si="1">DATE(YEAR(B38),MONTH(B38)+$C$24,DAY(B38))</f>
        <v>44075</v>
      </c>
      <c r="C39" s="25">
        <f t="shared" si="0"/>
        <v>3000</v>
      </c>
      <c r="D39" s="25">
        <f t="shared" ref="D39:D102" si="2">ROUND(+F38*$C$20,0)</f>
        <v>648</v>
      </c>
      <c r="E39" s="25">
        <f t="shared" ref="E39:E52" si="3">+C39-D39</f>
        <v>2352</v>
      </c>
      <c r="F39" s="26">
        <f t="shared" ref="F39:F52" si="4">+F38-E39</f>
        <v>308857.30033485423</v>
      </c>
      <c r="G39" s="6"/>
    </row>
    <row r="40" spans="1:8" x14ac:dyDescent="0.35">
      <c r="A40" s="86">
        <v>4</v>
      </c>
      <c r="B40" s="77">
        <f t="shared" si="1"/>
        <v>44105</v>
      </c>
      <c r="C40" s="25">
        <f t="shared" si="0"/>
        <v>3000</v>
      </c>
      <c r="D40" s="25">
        <f t="shared" si="2"/>
        <v>643</v>
      </c>
      <c r="E40" s="25">
        <f t="shared" si="3"/>
        <v>2357</v>
      </c>
      <c r="F40" s="26">
        <f t="shared" si="4"/>
        <v>306500.30033485423</v>
      </c>
      <c r="G40" s="44" t="s">
        <v>88</v>
      </c>
      <c r="H40" s="45"/>
    </row>
    <row r="41" spans="1:8" x14ac:dyDescent="0.35">
      <c r="A41" s="86">
        <v>5</v>
      </c>
      <c r="B41" s="77">
        <f t="shared" si="1"/>
        <v>44136</v>
      </c>
      <c r="C41" s="25">
        <f t="shared" si="0"/>
        <v>3000</v>
      </c>
      <c r="D41" s="25">
        <f t="shared" si="2"/>
        <v>639</v>
      </c>
      <c r="E41" s="25">
        <f t="shared" si="3"/>
        <v>2361</v>
      </c>
      <c r="F41" s="26">
        <f t="shared" si="4"/>
        <v>304139.30033485423</v>
      </c>
      <c r="G41" s="46" t="s">
        <v>19</v>
      </c>
      <c r="H41" s="46" t="s">
        <v>18</v>
      </c>
    </row>
    <row r="42" spans="1:8" x14ac:dyDescent="0.35">
      <c r="A42" s="86">
        <v>6</v>
      </c>
      <c r="B42" s="77">
        <f t="shared" si="1"/>
        <v>44166</v>
      </c>
      <c r="C42" s="25">
        <f t="shared" si="0"/>
        <v>3000</v>
      </c>
      <c r="D42" s="25">
        <f t="shared" si="2"/>
        <v>634</v>
      </c>
      <c r="E42" s="25">
        <f t="shared" si="3"/>
        <v>2366</v>
      </c>
      <c r="F42" s="27">
        <f t="shared" si="4"/>
        <v>301773.30033485423</v>
      </c>
      <c r="G42" s="47">
        <f>SUM(D37:D42)</f>
        <v>3217</v>
      </c>
      <c r="H42" s="47">
        <f>SUM(E37:E42)</f>
        <v>14783</v>
      </c>
    </row>
    <row r="43" spans="1:8" x14ac:dyDescent="0.35">
      <c r="A43" s="86">
        <v>7</v>
      </c>
      <c r="B43" s="77">
        <f t="shared" si="1"/>
        <v>44197</v>
      </c>
      <c r="C43" s="25">
        <f t="shared" si="0"/>
        <v>3000</v>
      </c>
      <c r="D43" s="25">
        <f t="shared" si="2"/>
        <v>629</v>
      </c>
      <c r="E43" s="25">
        <f t="shared" si="3"/>
        <v>2371</v>
      </c>
      <c r="F43" s="26">
        <f t="shared" si="4"/>
        <v>299402.30033485423</v>
      </c>
      <c r="G43" s="6"/>
    </row>
    <row r="44" spans="1:8" x14ac:dyDescent="0.35">
      <c r="A44" s="86">
        <v>8</v>
      </c>
      <c r="B44" s="77">
        <f t="shared" si="1"/>
        <v>44228</v>
      </c>
      <c r="C44" s="25">
        <f t="shared" si="0"/>
        <v>3000</v>
      </c>
      <c r="D44" s="25">
        <f t="shared" si="2"/>
        <v>624</v>
      </c>
      <c r="E44" s="25">
        <f t="shared" si="3"/>
        <v>2376</v>
      </c>
      <c r="F44" s="26">
        <f t="shared" si="4"/>
        <v>297026.30033485423</v>
      </c>
      <c r="G44" s="6"/>
    </row>
    <row r="45" spans="1:8" x14ac:dyDescent="0.35">
      <c r="A45" s="86">
        <v>9</v>
      </c>
      <c r="B45" s="77">
        <f t="shared" si="1"/>
        <v>44256</v>
      </c>
      <c r="C45" s="25">
        <f t="shared" si="0"/>
        <v>3000</v>
      </c>
      <c r="D45" s="25">
        <f t="shared" si="2"/>
        <v>619</v>
      </c>
      <c r="E45" s="25">
        <f t="shared" si="3"/>
        <v>2381</v>
      </c>
      <c r="F45" s="26">
        <f t="shared" si="4"/>
        <v>294645.30033485423</v>
      </c>
      <c r="G45" s="6"/>
    </row>
    <row r="46" spans="1:8" x14ac:dyDescent="0.35">
      <c r="A46" s="86">
        <v>10</v>
      </c>
      <c r="B46" s="77">
        <f t="shared" si="1"/>
        <v>44287</v>
      </c>
      <c r="C46" s="25">
        <f t="shared" si="0"/>
        <v>3000</v>
      </c>
      <c r="D46" s="25">
        <f t="shared" si="2"/>
        <v>614</v>
      </c>
      <c r="E46" s="25">
        <f t="shared" si="3"/>
        <v>2386</v>
      </c>
      <c r="F46" s="26">
        <f t="shared" si="4"/>
        <v>292259.30033485423</v>
      </c>
    </row>
    <row r="47" spans="1:8" x14ac:dyDescent="0.35">
      <c r="A47" s="86">
        <v>11</v>
      </c>
      <c r="B47" s="77">
        <f t="shared" si="1"/>
        <v>44317</v>
      </c>
      <c r="C47" s="25">
        <f t="shared" si="0"/>
        <v>3000</v>
      </c>
      <c r="D47" s="25">
        <f t="shared" si="2"/>
        <v>609</v>
      </c>
      <c r="E47" s="25">
        <f t="shared" si="3"/>
        <v>2391</v>
      </c>
      <c r="F47" s="26">
        <f t="shared" si="4"/>
        <v>289868.30033485423</v>
      </c>
    </row>
    <row r="48" spans="1:8" x14ac:dyDescent="0.35">
      <c r="A48" s="86">
        <v>12</v>
      </c>
      <c r="B48" s="77">
        <f t="shared" si="1"/>
        <v>44348</v>
      </c>
      <c r="C48" s="25">
        <f t="shared" si="0"/>
        <v>3000</v>
      </c>
      <c r="D48" s="25">
        <f t="shared" si="2"/>
        <v>604</v>
      </c>
      <c r="E48" s="25">
        <f t="shared" si="3"/>
        <v>2396</v>
      </c>
      <c r="F48" s="26">
        <f t="shared" si="4"/>
        <v>287472.30033485423</v>
      </c>
    </row>
    <row r="49" spans="1:7" x14ac:dyDescent="0.35">
      <c r="A49" s="86">
        <v>13</v>
      </c>
      <c r="B49" s="77">
        <f t="shared" si="1"/>
        <v>44378</v>
      </c>
      <c r="C49" s="25">
        <f t="shared" si="0"/>
        <v>3000</v>
      </c>
      <c r="D49" s="25">
        <f t="shared" si="2"/>
        <v>599</v>
      </c>
      <c r="E49" s="25">
        <f t="shared" si="3"/>
        <v>2401</v>
      </c>
      <c r="F49" s="26">
        <f t="shared" si="4"/>
        <v>285071.30033485423</v>
      </c>
    </row>
    <row r="50" spans="1:7" x14ac:dyDescent="0.35">
      <c r="A50" s="86">
        <v>14</v>
      </c>
      <c r="B50" s="77">
        <f t="shared" si="1"/>
        <v>44409</v>
      </c>
      <c r="C50" s="25">
        <f t="shared" si="0"/>
        <v>3000</v>
      </c>
      <c r="D50" s="25">
        <f t="shared" si="2"/>
        <v>594</v>
      </c>
      <c r="E50" s="25">
        <f t="shared" si="3"/>
        <v>2406</v>
      </c>
      <c r="F50" s="26">
        <f t="shared" si="4"/>
        <v>282665.30033485423</v>
      </c>
    </row>
    <row r="51" spans="1:7" x14ac:dyDescent="0.35">
      <c r="A51" s="86">
        <v>15</v>
      </c>
      <c r="B51" s="77">
        <f t="shared" si="1"/>
        <v>44440</v>
      </c>
      <c r="C51" s="25">
        <f t="shared" si="0"/>
        <v>3000</v>
      </c>
      <c r="D51" s="25">
        <f t="shared" si="2"/>
        <v>589</v>
      </c>
      <c r="E51" s="25">
        <f t="shared" si="3"/>
        <v>2411</v>
      </c>
      <c r="F51" s="26">
        <f t="shared" si="4"/>
        <v>280254.30033485423</v>
      </c>
      <c r="G51" s="6"/>
    </row>
    <row r="52" spans="1:7" x14ac:dyDescent="0.35">
      <c r="A52" s="86">
        <v>16</v>
      </c>
      <c r="B52" s="77">
        <f t="shared" si="1"/>
        <v>44470</v>
      </c>
      <c r="C52" s="25">
        <f t="shared" si="0"/>
        <v>3000</v>
      </c>
      <c r="D52" s="25">
        <f t="shared" si="2"/>
        <v>584</v>
      </c>
      <c r="E52" s="25">
        <f t="shared" si="3"/>
        <v>2416</v>
      </c>
      <c r="F52" s="26">
        <f t="shared" si="4"/>
        <v>277838.30033485423</v>
      </c>
      <c r="G52" s="6"/>
    </row>
    <row r="53" spans="1:7" x14ac:dyDescent="0.35">
      <c r="A53" s="86">
        <v>17</v>
      </c>
      <c r="B53" s="77">
        <f t="shared" si="1"/>
        <v>44501</v>
      </c>
      <c r="C53" s="25">
        <f t="shared" si="0"/>
        <v>3000</v>
      </c>
      <c r="D53" s="25">
        <f t="shared" si="2"/>
        <v>579</v>
      </c>
      <c r="E53" s="25">
        <f t="shared" ref="E53:E116" si="5">+C53-D53</f>
        <v>2421</v>
      </c>
      <c r="F53" s="26">
        <f t="shared" ref="F53:F116" si="6">+F52-E53</f>
        <v>275417.30033485423</v>
      </c>
      <c r="G53" s="6"/>
    </row>
    <row r="54" spans="1:7" x14ac:dyDescent="0.35">
      <c r="A54" s="86">
        <v>18</v>
      </c>
      <c r="B54" s="77">
        <f t="shared" si="1"/>
        <v>44531</v>
      </c>
      <c r="C54" s="25">
        <f t="shared" si="0"/>
        <v>3000</v>
      </c>
      <c r="D54" s="25">
        <f t="shared" si="2"/>
        <v>574</v>
      </c>
      <c r="E54" s="25">
        <f t="shared" si="5"/>
        <v>2426</v>
      </c>
      <c r="F54" s="26">
        <f t="shared" si="6"/>
        <v>272991.30033485423</v>
      </c>
      <c r="G54" s="6"/>
    </row>
    <row r="55" spans="1:7" x14ac:dyDescent="0.35">
      <c r="A55" s="86">
        <v>19</v>
      </c>
      <c r="B55" s="77">
        <f t="shared" si="1"/>
        <v>44562</v>
      </c>
      <c r="C55" s="25">
        <f t="shared" si="0"/>
        <v>3000</v>
      </c>
      <c r="D55" s="25">
        <f t="shared" si="2"/>
        <v>569</v>
      </c>
      <c r="E55" s="25">
        <f t="shared" si="5"/>
        <v>2431</v>
      </c>
      <c r="F55" s="26">
        <f t="shared" si="6"/>
        <v>270560.30033485423</v>
      </c>
      <c r="G55" s="6"/>
    </row>
    <row r="56" spans="1:7" x14ac:dyDescent="0.35">
      <c r="A56" s="86">
        <v>20</v>
      </c>
      <c r="B56" s="77">
        <f t="shared" si="1"/>
        <v>44593</v>
      </c>
      <c r="C56" s="25">
        <f t="shared" si="0"/>
        <v>3000</v>
      </c>
      <c r="D56" s="25">
        <f t="shared" si="2"/>
        <v>564</v>
      </c>
      <c r="E56" s="25">
        <f t="shared" si="5"/>
        <v>2436</v>
      </c>
      <c r="F56" s="26">
        <f t="shared" si="6"/>
        <v>268124.30033485423</v>
      </c>
      <c r="G56" s="6"/>
    </row>
    <row r="57" spans="1:7" x14ac:dyDescent="0.35">
      <c r="A57" s="86">
        <v>21</v>
      </c>
      <c r="B57" s="77">
        <f t="shared" si="1"/>
        <v>44621</v>
      </c>
      <c r="C57" s="25">
        <f t="shared" si="0"/>
        <v>3000</v>
      </c>
      <c r="D57" s="25">
        <f t="shared" si="2"/>
        <v>559</v>
      </c>
      <c r="E57" s="25">
        <f t="shared" si="5"/>
        <v>2441</v>
      </c>
      <c r="F57" s="26">
        <f t="shared" si="6"/>
        <v>265683.30033485423</v>
      </c>
      <c r="G57" s="6"/>
    </row>
    <row r="58" spans="1:7" x14ac:dyDescent="0.35">
      <c r="A58" s="86">
        <v>22</v>
      </c>
      <c r="B58" s="77">
        <f t="shared" si="1"/>
        <v>44652</v>
      </c>
      <c r="C58" s="25">
        <f t="shared" si="0"/>
        <v>3000</v>
      </c>
      <c r="D58" s="25">
        <f t="shared" si="2"/>
        <v>554</v>
      </c>
      <c r="E58" s="25">
        <f t="shared" si="5"/>
        <v>2446</v>
      </c>
      <c r="F58" s="26">
        <f t="shared" si="6"/>
        <v>263237.30033485423</v>
      </c>
      <c r="G58" s="6"/>
    </row>
    <row r="59" spans="1:7" x14ac:dyDescent="0.35">
      <c r="A59" s="86">
        <v>23</v>
      </c>
      <c r="B59" s="77">
        <f t="shared" si="1"/>
        <v>44682</v>
      </c>
      <c r="C59" s="25">
        <f t="shared" si="0"/>
        <v>3000</v>
      </c>
      <c r="D59" s="25">
        <f t="shared" si="2"/>
        <v>548</v>
      </c>
      <c r="E59" s="25">
        <f t="shared" si="5"/>
        <v>2452</v>
      </c>
      <c r="F59" s="26">
        <f t="shared" si="6"/>
        <v>260785.30033485423</v>
      </c>
      <c r="G59" s="6"/>
    </row>
    <row r="60" spans="1:7" x14ac:dyDescent="0.35">
      <c r="A60" s="86">
        <v>24</v>
      </c>
      <c r="B60" s="77">
        <f t="shared" si="1"/>
        <v>44713</v>
      </c>
      <c r="C60" s="25">
        <f t="shared" si="0"/>
        <v>3000</v>
      </c>
      <c r="D60" s="25">
        <f t="shared" si="2"/>
        <v>543</v>
      </c>
      <c r="E60" s="25">
        <f t="shared" si="5"/>
        <v>2457</v>
      </c>
      <c r="F60" s="26">
        <f t="shared" si="6"/>
        <v>258328.30033485423</v>
      </c>
      <c r="G60" s="6"/>
    </row>
    <row r="61" spans="1:7" x14ac:dyDescent="0.35">
      <c r="A61" s="86">
        <v>25</v>
      </c>
      <c r="B61" s="77">
        <f t="shared" si="1"/>
        <v>44743</v>
      </c>
      <c r="C61" s="25">
        <f t="shared" si="0"/>
        <v>3000</v>
      </c>
      <c r="D61" s="25">
        <f t="shared" si="2"/>
        <v>538</v>
      </c>
      <c r="E61" s="25">
        <f t="shared" si="5"/>
        <v>2462</v>
      </c>
      <c r="F61" s="26">
        <f t="shared" si="6"/>
        <v>255866.30033485423</v>
      </c>
      <c r="G61" s="6"/>
    </row>
    <row r="62" spans="1:7" hidden="1" x14ac:dyDescent="0.35">
      <c r="A62" s="86">
        <v>26</v>
      </c>
      <c r="B62" s="77">
        <f t="shared" si="1"/>
        <v>44774</v>
      </c>
      <c r="C62" s="25">
        <f t="shared" si="0"/>
        <v>3000</v>
      </c>
      <c r="D62" s="25">
        <f t="shared" si="2"/>
        <v>533</v>
      </c>
      <c r="E62" s="25">
        <f t="shared" si="5"/>
        <v>2467</v>
      </c>
      <c r="F62" s="26">
        <f t="shared" si="6"/>
        <v>253399.30033485423</v>
      </c>
      <c r="G62" s="6"/>
    </row>
    <row r="63" spans="1:7" hidden="1" x14ac:dyDescent="0.35">
      <c r="A63" s="86">
        <v>27</v>
      </c>
      <c r="B63" s="77">
        <f t="shared" si="1"/>
        <v>44805</v>
      </c>
      <c r="C63" s="25">
        <f t="shared" si="0"/>
        <v>3000</v>
      </c>
      <c r="D63" s="25">
        <f t="shared" si="2"/>
        <v>528</v>
      </c>
      <c r="E63" s="25">
        <f t="shared" si="5"/>
        <v>2472</v>
      </c>
      <c r="F63" s="26">
        <f t="shared" si="6"/>
        <v>250927.30033485423</v>
      </c>
      <c r="G63" s="6"/>
    </row>
    <row r="64" spans="1:7" hidden="1" x14ac:dyDescent="0.35">
      <c r="A64" s="86">
        <v>28</v>
      </c>
      <c r="B64" s="77">
        <f t="shared" si="1"/>
        <v>44835</v>
      </c>
      <c r="C64" s="25">
        <f t="shared" si="0"/>
        <v>3000</v>
      </c>
      <c r="D64" s="25">
        <f t="shared" si="2"/>
        <v>523</v>
      </c>
      <c r="E64" s="25">
        <f t="shared" si="5"/>
        <v>2477</v>
      </c>
      <c r="F64" s="26">
        <f t="shared" si="6"/>
        <v>248450.30033485423</v>
      </c>
      <c r="G64" s="6"/>
    </row>
    <row r="65" spans="1:7" hidden="1" x14ac:dyDescent="0.35">
      <c r="A65" s="86">
        <v>29</v>
      </c>
      <c r="B65" s="77">
        <f t="shared" si="1"/>
        <v>44866</v>
      </c>
      <c r="C65" s="25">
        <f t="shared" si="0"/>
        <v>3000</v>
      </c>
      <c r="D65" s="25">
        <f t="shared" si="2"/>
        <v>518</v>
      </c>
      <c r="E65" s="25">
        <f t="shared" si="5"/>
        <v>2482</v>
      </c>
      <c r="F65" s="26">
        <f t="shared" si="6"/>
        <v>245968.30033485423</v>
      </c>
      <c r="G65" s="6"/>
    </row>
    <row r="66" spans="1:7" hidden="1" x14ac:dyDescent="0.35">
      <c r="A66" s="86">
        <v>30</v>
      </c>
      <c r="B66" s="77">
        <f t="shared" si="1"/>
        <v>44896</v>
      </c>
      <c r="C66" s="25">
        <f t="shared" si="0"/>
        <v>3000</v>
      </c>
      <c r="D66" s="25">
        <f t="shared" si="2"/>
        <v>512</v>
      </c>
      <c r="E66" s="25">
        <f t="shared" si="5"/>
        <v>2488</v>
      </c>
      <c r="F66" s="26">
        <f t="shared" si="6"/>
        <v>243480.30033485423</v>
      </c>
      <c r="G66" s="6"/>
    </row>
    <row r="67" spans="1:7" hidden="1" x14ac:dyDescent="0.35">
      <c r="A67" s="86">
        <v>31</v>
      </c>
      <c r="B67" s="77">
        <f t="shared" si="1"/>
        <v>44927</v>
      </c>
      <c r="C67" s="25">
        <f t="shared" si="0"/>
        <v>3000</v>
      </c>
      <c r="D67" s="25">
        <f t="shared" si="2"/>
        <v>507</v>
      </c>
      <c r="E67" s="25">
        <f t="shared" si="5"/>
        <v>2493</v>
      </c>
      <c r="F67" s="26">
        <f t="shared" si="6"/>
        <v>240987.30033485423</v>
      </c>
      <c r="G67" s="6"/>
    </row>
    <row r="68" spans="1:7" hidden="1" x14ac:dyDescent="0.35">
      <c r="A68" s="86">
        <v>32</v>
      </c>
      <c r="B68" s="77">
        <f t="shared" si="1"/>
        <v>44958</v>
      </c>
      <c r="C68" s="25">
        <f t="shared" si="0"/>
        <v>3000</v>
      </c>
      <c r="D68" s="25">
        <f t="shared" si="2"/>
        <v>502</v>
      </c>
      <c r="E68" s="25">
        <f t="shared" si="5"/>
        <v>2498</v>
      </c>
      <c r="F68" s="26">
        <f t="shared" si="6"/>
        <v>238489.30033485423</v>
      </c>
      <c r="G68" s="6"/>
    </row>
    <row r="69" spans="1:7" hidden="1" x14ac:dyDescent="0.35">
      <c r="A69" s="86">
        <v>33</v>
      </c>
      <c r="B69" s="77">
        <f t="shared" si="1"/>
        <v>44986</v>
      </c>
      <c r="C69" s="25">
        <f t="shared" si="0"/>
        <v>3000</v>
      </c>
      <c r="D69" s="25">
        <f t="shared" si="2"/>
        <v>497</v>
      </c>
      <c r="E69" s="25">
        <f t="shared" si="5"/>
        <v>2503</v>
      </c>
      <c r="F69" s="26">
        <f t="shared" si="6"/>
        <v>235986.30033485423</v>
      </c>
      <c r="G69" s="6"/>
    </row>
    <row r="70" spans="1:7" hidden="1" x14ac:dyDescent="0.35">
      <c r="A70" s="86">
        <v>34</v>
      </c>
      <c r="B70" s="77">
        <f t="shared" si="1"/>
        <v>45017</v>
      </c>
      <c r="C70" s="25">
        <f t="shared" si="0"/>
        <v>3000</v>
      </c>
      <c r="D70" s="25">
        <f t="shared" si="2"/>
        <v>492</v>
      </c>
      <c r="E70" s="25">
        <f t="shared" si="5"/>
        <v>2508</v>
      </c>
      <c r="F70" s="26">
        <f t="shared" si="6"/>
        <v>233478.30033485423</v>
      </c>
      <c r="G70" s="6"/>
    </row>
    <row r="71" spans="1:7" hidden="1" x14ac:dyDescent="0.35">
      <c r="A71" s="86">
        <v>35</v>
      </c>
      <c r="B71" s="77">
        <f t="shared" si="1"/>
        <v>45047</v>
      </c>
      <c r="C71" s="25">
        <f t="shared" si="0"/>
        <v>3000</v>
      </c>
      <c r="D71" s="25">
        <f t="shared" si="2"/>
        <v>486</v>
      </c>
      <c r="E71" s="25">
        <f t="shared" si="5"/>
        <v>2514</v>
      </c>
      <c r="F71" s="26">
        <f t="shared" si="6"/>
        <v>230964.30033485423</v>
      </c>
      <c r="G71" s="6"/>
    </row>
    <row r="72" spans="1:7" hidden="1" x14ac:dyDescent="0.35">
      <c r="A72" s="86">
        <v>36</v>
      </c>
      <c r="B72" s="77">
        <f t="shared" si="1"/>
        <v>45078</v>
      </c>
      <c r="C72" s="25">
        <f t="shared" si="0"/>
        <v>3000</v>
      </c>
      <c r="D72" s="25">
        <f t="shared" si="2"/>
        <v>481</v>
      </c>
      <c r="E72" s="25">
        <f t="shared" si="5"/>
        <v>2519</v>
      </c>
      <c r="F72" s="26">
        <f t="shared" si="6"/>
        <v>228445.30033485423</v>
      </c>
      <c r="G72" s="6"/>
    </row>
    <row r="73" spans="1:7" hidden="1" x14ac:dyDescent="0.35">
      <c r="A73" s="86">
        <v>37</v>
      </c>
      <c r="B73" s="77">
        <f t="shared" si="1"/>
        <v>45108</v>
      </c>
      <c r="C73" s="25">
        <f t="shared" si="0"/>
        <v>3000</v>
      </c>
      <c r="D73" s="25">
        <f t="shared" si="2"/>
        <v>476</v>
      </c>
      <c r="E73" s="25">
        <f t="shared" si="5"/>
        <v>2524</v>
      </c>
      <c r="F73" s="26">
        <f t="shared" si="6"/>
        <v>225921.30033485423</v>
      </c>
      <c r="G73" s="6"/>
    </row>
    <row r="74" spans="1:7" hidden="1" x14ac:dyDescent="0.35">
      <c r="A74" s="86">
        <v>38</v>
      </c>
      <c r="B74" s="77">
        <f t="shared" si="1"/>
        <v>45139</v>
      </c>
      <c r="C74" s="25">
        <f t="shared" si="0"/>
        <v>3000</v>
      </c>
      <c r="D74" s="25">
        <f t="shared" si="2"/>
        <v>471</v>
      </c>
      <c r="E74" s="25">
        <f t="shared" si="5"/>
        <v>2529</v>
      </c>
      <c r="F74" s="26">
        <f t="shared" si="6"/>
        <v>223392.30033485423</v>
      </c>
      <c r="G74" s="6"/>
    </row>
    <row r="75" spans="1:7" hidden="1" x14ac:dyDescent="0.35">
      <c r="A75" s="86">
        <v>39</v>
      </c>
      <c r="B75" s="77">
        <f t="shared" si="1"/>
        <v>45170</v>
      </c>
      <c r="C75" s="25">
        <f t="shared" si="0"/>
        <v>3000</v>
      </c>
      <c r="D75" s="25">
        <f t="shared" si="2"/>
        <v>465</v>
      </c>
      <c r="E75" s="25">
        <f t="shared" si="5"/>
        <v>2535</v>
      </c>
      <c r="F75" s="26">
        <f t="shared" si="6"/>
        <v>220857.30033485423</v>
      </c>
      <c r="G75" s="6"/>
    </row>
    <row r="76" spans="1:7" hidden="1" x14ac:dyDescent="0.35">
      <c r="A76" s="86">
        <v>40</v>
      </c>
      <c r="B76" s="77">
        <f t="shared" si="1"/>
        <v>45200</v>
      </c>
      <c r="C76" s="25">
        <f t="shared" si="0"/>
        <v>3000</v>
      </c>
      <c r="D76" s="25">
        <f t="shared" si="2"/>
        <v>460</v>
      </c>
      <c r="E76" s="25">
        <f t="shared" si="5"/>
        <v>2540</v>
      </c>
      <c r="F76" s="26">
        <f t="shared" si="6"/>
        <v>218317.30033485423</v>
      </c>
      <c r="G76" s="6"/>
    </row>
    <row r="77" spans="1:7" hidden="1" x14ac:dyDescent="0.35">
      <c r="A77" s="86">
        <v>41</v>
      </c>
      <c r="B77" s="77">
        <f t="shared" si="1"/>
        <v>45231</v>
      </c>
      <c r="C77" s="25">
        <f t="shared" si="0"/>
        <v>3000</v>
      </c>
      <c r="D77" s="25">
        <f t="shared" si="2"/>
        <v>455</v>
      </c>
      <c r="E77" s="25">
        <f t="shared" si="5"/>
        <v>2545</v>
      </c>
      <c r="F77" s="26">
        <f t="shared" si="6"/>
        <v>215772.30033485423</v>
      </c>
      <c r="G77" s="6"/>
    </row>
    <row r="78" spans="1:7" hidden="1" x14ac:dyDescent="0.35">
      <c r="A78" s="86">
        <v>42</v>
      </c>
      <c r="B78" s="77">
        <f t="shared" si="1"/>
        <v>45261</v>
      </c>
      <c r="C78" s="25">
        <f t="shared" si="0"/>
        <v>3000</v>
      </c>
      <c r="D78" s="25">
        <f t="shared" si="2"/>
        <v>450</v>
      </c>
      <c r="E78" s="25">
        <f t="shared" si="5"/>
        <v>2550</v>
      </c>
      <c r="F78" s="26">
        <f t="shared" si="6"/>
        <v>213222.30033485423</v>
      </c>
      <c r="G78" s="6"/>
    </row>
    <row r="79" spans="1:7" hidden="1" x14ac:dyDescent="0.35">
      <c r="A79" s="86">
        <v>43</v>
      </c>
      <c r="B79" s="77">
        <f t="shared" si="1"/>
        <v>45292</v>
      </c>
      <c r="C79" s="25">
        <f t="shared" si="0"/>
        <v>3000</v>
      </c>
      <c r="D79" s="25">
        <f t="shared" si="2"/>
        <v>444</v>
      </c>
      <c r="E79" s="25">
        <f t="shared" si="5"/>
        <v>2556</v>
      </c>
      <c r="F79" s="26">
        <f t="shared" si="6"/>
        <v>210666.30033485423</v>
      </c>
      <c r="G79" s="6"/>
    </row>
    <row r="80" spans="1:7" hidden="1" x14ac:dyDescent="0.35">
      <c r="A80" s="86">
        <v>44</v>
      </c>
      <c r="B80" s="77">
        <f t="shared" si="1"/>
        <v>45323</v>
      </c>
      <c r="C80" s="25">
        <f t="shared" si="0"/>
        <v>3000</v>
      </c>
      <c r="D80" s="25">
        <f t="shared" si="2"/>
        <v>439</v>
      </c>
      <c r="E80" s="25">
        <f t="shared" si="5"/>
        <v>2561</v>
      </c>
      <c r="F80" s="26">
        <f t="shared" si="6"/>
        <v>208105.30033485423</v>
      </c>
      <c r="G80" s="6"/>
    </row>
    <row r="81" spans="1:7" hidden="1" x14ac:dyDescent="0.35">
      <c r="A81" s="86">
        <v>45</v>
      </c>
      <c r="B81" s="77">
        <f t="shared" si="1"/>
        <v>45352</v>
      </c>
      <c r="C81" s="25">
        <f t="shared" si="0"/>
        <v>3000</v>
      </c>
      <c r="D81" s="25">
        <f t="shared" si="2"/>
        <v>434</v>
      </c>
      <c r="E81" s="25">
        <f t="shared" si="5"/>
        <v>2566</v>
      </c>
      <c r="F81" s="26">
        <f t="shared" si="6"/>
        <v>205539.30033485423</v>
      </c>
      <c r="G81" s="6"/>
    </row>
    <row r="82" spans="1:7" hidden="1" x14ac:dyDescent="0.35">
      <c r="A82" s="86">
        <v>46</v>
      </c>
      <c r="B82" s="77">
        <f t="shared" si="1"/>
        <v>45383</v>
      </c>
      <c r="C82" s="25">
        <f t="shared" si="0"/>
        <v>3000</v>
      </c>
      <c r="D82" s="25">
        <f t="shared" si="2"/>
        <v>428</v>
      </c>
      <c r="E82" s="25">
        <f t="shared" si="5"/>
        <v>2572</v>
      </c>
      <c r="F82" s="26">
        <f t="shared" si="6"/>
        <v>202967.30033485423</v>
      </c>
      <c r="G82" s="6"/>
    </row>
    <row r="83" spans="1:7" hidden="1" x14ac:dyDescent="0.35">
      <c r="A83" s="86">
        <v>47</v>
      </c>
      <c r="B83" s="77">
        <f t="shared" si="1"/>
        <v>45413</v>
      </c>
      <c r="C83" s="25">
        <f t="shared" si="0"/>
        <v>3000</v>
      </c>
      <c r="D83" s="25">
        <f t="shared" si="2"/>
        <v>423</v>
      </c>
      <c r="E83" s="25">
        <f t="shared" si="5"/>
        <v>2577</v>
      </c>
      <c r="F83" s="26">
        <f t="shared" si="6"/>
        <v>200390.30033485423</v>
      </c>
      <c r="G83" s="6"/>
    </row>
    <row r="84" spans="1:7" hidden="1" x14ac:dyDescent="0.35">
      <c r="A84" s="86">
        <v>48</v>
      </c>
      <c r="B84" s="77">
        <f t="shared" si="1"/>
        <v>45444</v>
      </c>
      <c r="C84" s="25">
        <f t="shared" si="0"/>
        <v>3000</v>
      </c>
      <c r="D84" s="25">
        <f t="shared" si="2"/>
        <v>417</v>
      </c>
      <c r="E84" s="25">
        <f t="shared" si="5"/>
        <v>2583</v>
      </c>
      <c r="F84" s="26">
        <f t="shared" si="6"/>
        <v>197807.30033485423</v>
      </c>
      <c r="G84" s="6"/>
    </row>
    <row r="85" spans="1:7" hidden="1" x14ac:dyDescent="0.35">
      <c r="A85" s="86">
        <v>49</v>
      </c>
      <c r="B85" s="77">
        <f t="shared" si="1"/>
        <v>45474</v>
      </c>
      <c r="C85" s="25">
        <f t="shared" si="0"/>
        <v>3000</v>
      </c>
      <c r="D85" s="25">
        <f t="shared" si="2"/>
        <v>412</v>
      </c>
      <c r="E85" s="25">
        <f t="shared" si="5"/>
        <v>2588</v>
      </c>
      <c r="F85" s="26">
        <f t="shared" si="6"/>
        <v>195219.30033485423</v>
      </c>
      <c r="G85" s="6"/>
    </row>
    <row r="86" spans="1:7" hidden="1" x14ac:dyDescent="0.35">
      <c r="A86" s="86">
        <v>50</v>
      </c>
      <c r="B86" s="77">
        <f t="shared" si="1"/>
        <v>45505</v>
      </c>
      <c r="C86" s="25">
        <f t="shared" si="0"/>
        <v>3000</v>
      </c>
      <c r="D86" s="25">
        <f t="shared" si="2"/>
        <v>407</v>
      </c>
      <c r="E86" s="25">
        <f t="shared" si="5"/>
        <v>2593</v>
      </c>
      <c r="F86" s="26">
        <f t="shared" si="6"/>
        <v>192626.30033485423</v>
      </c>
      <c r="G86" s="6"/>
    </row>
    <row r="87" spans="1:7" hidden="1" x14ac:dyDescent="0.35">
      <c r="A87" s="86">
        <v>51</v>
      </c>
      <c r="B87" s="77">
        <f t="shared" si="1"/>
        <v>45536</v>
      </c>
      <c r="C87" s="25">
        <f t="shared" si="0"/>
        <v>3000</v>
      </c>
      <c r="D87" s="25">
        <f t="shared" si="2"/>
        <v>401</v>
      </c>
      <c r="E87" s="25">
        <f t="shared" si="5"/>
        <v>2599</v>
      </c>
      <c r="F87" s="26">
        <f t="shared" si="6"/>
        <v>190027.30033485423</v>
      </c>
      <c r="G87" s="6"/>
    </row>
    <row r="88" spans="1:7" hidden="1" x14ac:dyDescent="0.35">
      <c r="A88" s="86">
        <v>52</v>
      </c>
      <c r="B88" s="77">
        <f t="shared" si="1"/>
        <v>45566</v>
      </c>
      <c r="C88" s="25">
        <f t="shared" si="0"/>
        <v>3000</v>
      </c>
      <c r="D88" s="25">
        <f t="shared" si="2"/>
        <v>396</v>
      </c>
      <c r="E88" s="25">
        <f t="shared" si="5"/>
        <v>2604</v>
      </c>
      <c r="F88" s="26">
        <f t="shared" si="6"/>
        <v>187423.30033485423</v>
      </c>
      <c r="G88" s="6"/>
    </row>
    <row r="89" spans="1:7" hidden="1" x14ac:dyDescent="0.35">
      <c r="A89" s="86">
        <v>53</v>
      </c>
      <c r="B89" s="77">
        <f t="shared" si="1"/>
        <v>45597</v>
      </c>
      <c r="C89" s="25">
        <f t="shared" si="0"/>
        <v>3000</v>
      </c>
      <c r="D89" s="25">
        <f t="shared" si="2"/>
        <v>390</v>
      </c>
      <c r="E89" s="25">
        <f t="shared" si="5"/>
        <v>2610</v>
      </c>
      <c r="F89" s="26">
        <f t="shared" si="6"/>
        <v>184813.30033485423</v>
      </c>
      <c r="G89" s="6"/>
    </row>
    <row r="90" spans="1:7" hidden="1" x14ac:dyDescent="0.35">
      <c r="A90" s="86">
        <v>54</v>
      </c>
      <c r="B90" s="77">
        <f t="shared" si="1"/>
        <v>45627</v>
      </c>
      <c r="C90" s="25">
        <f t="shared" si="0"/>
        <v>3000</v>
      </c>
      <c r="D90" s="25">
        <f t="shared" si="2"/>
        <v>385</v>
      </c>
      <c r="E90" s="25">
        <f t="shared" si="5"/>
        <v>2615</v>
      </c>
      <c r="F90" s="26">
        <f t="shared" si="6"/>
        <v>182198.30033485423</v>
      </c>
      <c r="G90" s="6"/>
    </row>
    <row r="91" spans="1:7" hidden="1" x14ac:dyDescent="0.35">
      <c r="A91" s="86">
        <v>55</v>
      </c>
      <c r="B91" s="77">
        <f t="shared" si="1"/>
        <v>45658</v>
      </c>
      <c r="C91" s="25">
        <f t="shared" si="0"/>
        <v>3000</v>
      </c>
      <c r="D91" s="25">
        <f t="shared" si="2"/>
        <v>380</v>
      </c>
      <c r="E91" s="25">
        <f t="shared" si="5"/>
        <v>2620</v>
      </c>
      <c r="F91" s="26">
        <f t="shared" si="6"/>
        <v>179578.30033485423</v>
      </c>
      <c r="G91" s="6"/>
    </row>
    <row r="92" spans="1:7" hidden="1" x14ac:dyDescent="0.35">
      <c r="A92" s="86">
        <v>56</v>
      </c>
      <c r="B92" s="77">
        <f t="shared" si="1"/>
        <v>45689</v>
      </c>
      <c r="C92" s="25">
        <f t="shared" si="0"/>
        <v>3000</v>
      </c>
      <c r="D92" s="25">
        <f t="shared" si="2"/>
        <v>374</v>
      </c>
      <c r="E92" s="25">
        <f t="shared" si="5"/>
        <v>2626</v>
      </c>
      <c r="F92" s="26">
        <f t="shared" si="6"/>
        <v>176952.30033485423</v>
      </c>
      <c r="G92" s="6"/>
    </row>
    <row r="93" spans="1:7" hidden="1" x14ac:dyDescent="0.35">
      <c r="A93" s="86">
        <v>57</v>
      </c>
      <c r="B93" s="77">
        <f t="shared" si="1"/>
        <v>45717</v>
      </c>
      <c r="C93" s="25">
        <f t="shared" si="0"/>
        <v>3000</v>
      </c>
      <c r="D93" s="25">
        <f t="shared" si="2"/>
        <v>369</v>
      </c>
      <c r="E93" s="25">
        <f t="shared" si="5"/>
        <v>2631</v>
      </c>
      <c r="F93" s="26">
        <f t="shared" si="6"/>
        <v>174321.30033485423</v>
      </c>
      <c r="G93" s="6"/>
    </row>
    <row r="94" spans="1:7" hidden="1" x14ac:dyDescent="0.35">
      <c r="A94" s="86">
        <v>58</v>
      </c>
      <c r="B94" s="77">
        <f t="shared" si="1"/>
        <v>45748</v>
      </c>
      <c r="C94" s="25">
        <f t="shared" si="0"/>
        <v>3000</v>
      </c>
      <c r="D94" s="25">
        <f t="shared" si="2"/>
        <v>363</v>
      </c>
      <c r="E94" s="25">
        <f t="shared" si="5"/>
        <v>2637</v>
      </c>
      <c r="F94" s="26">
        <f t="shared" si="6"/>
        <v>171684.30033485423</v>
      </c>
      <c r="G94" s="6"/>
    </row>
    <row r="95" spans="1:7" hidden="1" x14ac:dyDescent="0.35">
      <c r="A95" s="86">
        <v>59</v>
      </c>
      <c r="B95" s="77">
        <f t="shared" si="1"/>
        <v>45778</v>
      </c>
      <c r="C95" s="25">
        <f t="shared" si="0"/>
        <v>3000</v>
      </c>
      <c r="D95" s="25">
        <f t="shared" si="2"/>
        <v>358</v>
      </c>
      <c r="E95" s="25">
        <f t="shared" si="5"/>
        <v>2642</v>
      </c>
      <c r="F95" s="26">
        <f t="shared" si="6"/>
        <v>169042.30033485423</v>
      </c>
      <c r="G95" s="6"/>
    </row>
    <row r="96" spans="1:7" hidden="1" x14ac:dyDescent="0.35">
      <c r="A96" s="86">
        <v>60</v>
      </c>
      <c r="B96" s="77">
        <f t="shared" si="1"/>
        <v>45809</v>
      </c>
      <c r="C96" s="25">
        <f t="shared" si="0"/>
        <v>3000</v>
      </c>
      <c r="D96" s="25">
        <f t="shared" si="2"/>
        <v>352</v>
      </c>
      <c r="E96" s="25">
        <f t="shared" si="5"/>
        <v>2648</v>
      </c>
      <c r="F96" s="26">
        <f t="shared" si="6"/>
        <v>166394.30033485423</v>
      </c>
      <c r="G96" s="6"/>
    </row>
    <row r="97" spans="1:7" hidden="1" x14ac:dyDescent="0.35">
      <c r="A97" s="86">
        <v>61</v>
      </c>
      <c r="B97" s="77">
        <f t="shared" si="1"/>
        <v>45839</v>
      </c>
      <c r="C97" s="25">
        <f t="shared" si="0"/>
        <v>3000</v>
      </c>
      <c r="D97" s="25">
        <f t="shared" si="2"/>
        <v>347</v>
      </c>
      <c r="E97" s="25">
        <f t="shared" si="5"/>
        <v>2653</v>
      </c>
      <c r="F97" s="26">
        <f t="shared" si="6"/>
        <v>163741.30033485423</v>
      </c>
      <c r="G97" s="6"/>
    </row>
    <row r="98" spans="1:7" hidden="1" x14ac:dyDescent="0.35">
      <c r="A98" s="86">
        <v>62</v>
      </c>
      <c r="B98" s="77">
        <f t="shared" si="1"/>
        <v>45870</v>
      </c>
      <c r="C98" s="25">
        <f t="shared" si="0"/>
        <v>3000</v>
      </c>
      <c r="D98" s="25">
        <f t="shared" si="2"/>
        <v>341</v>
      </c>
      <c r="E98" s="25">
        <f t="shared" si="5"/>
        <v>2659</v>
      </c>
      <c r="F98" s="26">
        <f t="shared" si="6"/>
        <v>161082.30033485423</v>
      </c>
      <c r="G98" s="6"/>
    </row>
    <row r="99" spans="1:7" hidden="1" x14ac:dyDescent="0.35">
      <c r="A99" s="86">
        <v>63</v>
      </c>
      <c r="B99" s="77">
        <f t="shared" si="1"/>
        <v>45901</v>
      </c>
      <c r="C99" s="25">
        <f t="shared" si="0"/>
        <v>3000</v>
      </c>
      <c r="D99" s="25">
        <f t="shared" si="2"/>
        <v>336</v>
      </c>
      <c r="E99" s="25">
        <f t="shared" si="5"/>
        <v>2664</v>
      </c>
      <c r="F99" s="26">
        <f t="shared" si="6"/>
        <v>158418.30033485423</v>
      </c>
      <c r="G99" s="6"/>
    </row>
    <row r="100" spans="1:7" hidden="1" x14ac:dyDescent="0.35">
      <c r="A100" s="86">
        <v>64</v>
      </c>
      <c r="B100" s="77">
        <f t="shared" si="1"/>
        <v>45931</v>
      </c>
      <c r="C100" s="25">
        <f t="shared" si="0"/>
        <v>3000</v>
      </c>
      <c r="D100" s="25">
        <f t="shared" si="2"/>
        <v>330</v>
      </c>
      <c r="E100" s="25">
        <f t="shared" si="5"/>
        <v>2670</v>
      </c>
      <c r="F100" s="26">
        <f t="shared" si="6"/>
        <v>155748.30033485423</v>
      </c>
    </row>
    <row r="101" spans="1:7" hidden="1" x14ac:dyDescent="0.35">
      <c r="A101" s="86">
        <v>65</v>
      </c>
      <c r="B101" s="77">
        <f t="shared" si="1"/>
        <v>45962</v>
      </c>
      <c r="C101" s="25">
        <f t="shared" si="0"/>
        <v>3000</v>
      </c>
      <c r="D101" s="25">
        <f t="shared" si="2"/>
        <v>324</v>
      </c>
      <c r="E101" s="25">
        <f t="shared" si="5"/>
        <v>2676</v>
      </c>
      <c r="F101" s="26">
        <f t="shared" si="6"/>
        <v>153072.30033485423</v>
      </c>
    </row>
    <row r="102" spans="1:7" hidden="1" x14ac:dyDescent="0.35">
      <c r="A102" s="86">
        <v>66</v>
      </c>
      <c r="B102" s="77">
        <f t="shared" si="1"/>
        <v>45992</v>
      </c>
      <c r="C102" s="25">
        <f t="shared" ref="C102:C155" si="7">ROUND(+$C$27,0)</f>
        <v>3000</v>
      </c>
      <c r="D102" s="25">
        <f t="shared" si="2"/>
        <v>319</v>
      </c>
      <c r="E102" s="25">
        <f t="shared" si="5"/>
        <v>2681</v>
      </c>
      <c r="F102" s="26">
        <f t="shared" si="6"/>
        <v>150391.30033485423</v>
      </c>
    </row>
    <row r="103" spans="1:7" hidden="1" x14ac:dyDescent="0.35">
      <c r="A103" s="86">
        <v>67</v>
      </c>
      <c r="B103" s="77">
        <f t="shared" ref="B103:B155" si="8">DATE(YEAR(B102),MONTH(B102)+$C$24,DAY(B102))</f>
        <v>46023</v>
      </c>
      <c r="C103" s="25">
        <f t="shared" si="7"/>
        <v>3000</v>
      </c>
      <c r="D103" s="25">
        <f t="shared" ref="D103:D155" si="9">ROUND(+F102*$C$20,0)</f>
        <v>313</v>
      </c>
      <c r="E103" s="25">
        <f t="shared" si="5"/>
        <v>2687</v>
      </c>
      <c r="F103" s="26">
        <f t="shared" si="6"/>
        <v>147704.30033485423</v>
      </c>
    </row>
    <row r="104" spans="1:7" hidden="1" x14ac:dyDescent="0.35">
      <c r="A104" s="86">
        <v>68</v>
      </c>
      <c r="B104" s="77">
        <f t="shared" si="8"/>
        <v>46054</v>
      </c>
      <c r="C104" s="25">
        <f t="shared" si="7"/>
        <v>3000</v>
      </c>
      <c r="D104" s="25">
        <f t="shared" si="9"/>
        <v>308</v>
      </c>
      <c r="E104" s="25">
        <f t="shared" si="5"/>
        <v>2692</v>
      </c>
      <c r="F104" s="26">
        <f t="shared" si="6"/>
        <v>145012.30033485423</v>
      </c>
    </row>
    <row r="105" spans="1:7" hidden="1" x14ac:dyDescent="0.35">
      <c r="A105" s="86">
        <v>69</v>
      </c>
      <c r="B105" s="77">
        <f t="shared" si="8"/>
        <v>46082</v>
      </c>
      <c r="C105" s="25">
        <f t="shared" si="7"/>
        <v>3000</v>
      </c>
      <c r="D105" s="25">
        <f t="shared" si="9"/>
        <v>302</v>
      </c>
      <c r="E105" s="25">
        <f t="shared" si="5"/>
        <v>2698</v>
      </c>
      <c r="F105" s="26">
        <f t="shared" si="6"/>
        <v>142314.30033485423</v>
      </c>
    </row>
    <row r="106" spans="1:7" hidden="1" x14ac:dyDescent="0.35">
      <c r="A106" s="86">
        <v>70</v>
      </c>
      <c r="B106" s="77">
        <f t="shared" si="8"/>
        <v>46113</v>
      </c>
      <c r="C106" s="25">
        <f t="shared" si="7"/>
        <v>3000</v>
      </c>
      <c r="D106" s="25">
        <f t="shared" si="9"/>
        <v>296</v>
      </c>
      <c r="E106" s="25">
        <f t="shared" si="5"/>
        <v>2704</v>
      </c>
      <c r="F106" s="26">
        <f t="shared" si="6"/>
        <v>139610.30033485423</v>
      </c>
    </row>
    <row r="107" spans="1:7" hidden="1" x14ac:dyDescent="0.35">
      <c r="A107" s="86">
        <v>71</v>
      </c>
      <c r="B107" s="77">
        <f t="shared" si="8"/>
        <v>46143</v>
      </c>
      <c r="C107" s="25">
        <f t="shared" si="7"/>
        <v>3000</v>
      </c>
      <c r="D107" s="25">
        <f t="shared" si="9"/>
        <v>291</v>
      </c>
      <c r="E107" s="25">
        <f t="shared" si="5"/>
        <v>2709</v>
      </c>
      <c r="F107" s="26">
        <f t="shared" si="6"/>
        <v>136901.30033485423</v>
      </c>
    </row>
    <row r="108" spans="1:7" hidden="1" x14ac:dyDescent="0.35">
      <c r="A108" s="86">
        <v>72</v>
      </c>
      <c r="B108" s="77">
        <f t="shared" si="8"/>
        <v>46174</v>
      </c>
      <c r="C108" s="25">
        <f t="shared" si="7"/>
        <v>3000</v>
      </c>
      <c r="D108" s="25">
        <f t="shared" si="9"/>
        <v>285</v>
      </c>
      <c r="E108" s="25">
        <f t="shared" si="5"/>
        <v>2715</v>
      </c>
      <c r="F108" s="26">
        <f t="shared" si="6"/>
        <v>134186.30033485423</v>
      </c>
    </row>
    <row r="109" spans="1:7" hidden="1" x14ac:dyDescent="0.35">
      <c r="A109" s="86">
        <v>73</v>
      </c>
      <c r="B109" s="77">
        <f t="shared" si="8"/>
        <v>46204</v>
      </c>
      <c r="C109" s="25">
        <f t="shared" si="7"/>
        <v>3000</v>
      </c>
      <c r="D109" s="25">
        <f t="shared" si="9"/>
        <v>280</v>
      </c>
      <c r="E109" s="25">
        <f t="shared" si="5"/>
        <v>2720</v>
      </c>
      <c r="F109" s="26">
        <f t="shared" si="6"/>
        <v>131466.30033485423</v>
      </c>
    </row>
    <row r="110" spans="1:7" hidden="1" x14ac:dyDescent="0.35">
      <c r="A110" s="86">
        <v>74</v>
      </c>
      <c r="B110" s="77">
        <f t="shared" si="8"/>
        <v>46235</v>
      </c>
      <c r="C110" s="25">
        <f t="shared" si="7"/>
        <v>3000</v>
      </c>
      <c r="D110" s="25">
        <f t="shared" si="9"/>
        <v>274</v>
      </c>
      <c r="E110" s="25">
        <f t="shared" si="5"/>
        <v>2726</v>
      </c>
      <c r="F110" s="26">
        <f t="shared" si="6"/>
        <v>128740.30033485423</v>
      </c>
    </row>
    <row r="111" spans="1:7" hidden="1" x14ac:dyDescent="0.35">
      <c r="A111" s="86">
        <v>75</v>
      </c>
      <c r="B111" s="77">
        <f t="shared" si="8"/>
        <v>46266</v>
      </c>
      <c r="C111" s="25">
        <f t="shared" si="7"/>
        <v>3000</v>
      </c>
      <c r="D111" s="25">
        <f t="shared" si="9"/>
        <v>268</v>
      </c>
      <c r="E111" s="25">
        <f t="shared" si="5"/>
        <v>2732</v>
      </c>
      <c r="F111" s="26">
        <f t="shared" si="6"/>
        <v>126008.30033485423</v>
      </c>
    </row>
    <row r="112" spans="1:7" hidden="1" x14ac:dyDescent="0.35">
      <c r="A112" s="86">
        <v>76</v>
      </c>
      <c r="B112" s="77">
        <f t="shared" si="8"/>
        <v>46296</v>
      </c>
      <c r="C112" s="25">
        <f t="shared" si="7"/>
        <v>3000</v>
      </c>
      <c r="D112" s="25">
        <f t="shared" si="9"/>
        <v>263</v>
      </c>
      <c r="E112" s="25">
        <f t="shared" si="5"/>
        <v>2737</v>
      </c>
      <c r="F112" s="26">
        <f t="shared" si="6"/>
        <v>123271.30033485423</v>
      </c>
    </row>
    <row r="113" spans="1:6" hidden="1" x14ac:dyDescent="0.35">
      <c r="A113" s="86">
        <v>77</v>
      </c>
      <c r="B113" s="77">
        <f t="shared" si="8"/>
        <v>46327</v>
      </c>
      <c r="C113" s="25">
        <f t="shared" si="7"/>
        <v>3000</v>
      </c>
      <c r="D113" s="25">
        <f t="shared" si="9"/>
        <v>257</v>
      </c>
      <c r="E113" s="25">
        <f t="shared" si="5"/>
        <v>2743</v>
      </c>
      <c r="F113" s="26">
        <f t="shared" si="6"/>
        <v>120528.30033485423</v>
      </c>
    </row>
    <row r="114" spans="1:6" hidden="1" x14ac:dyDescent="0.35">
      <c r="A114" s="86">
        <v>78</v>
      </c>
      <c r="B114" s="77">
        <f t="shared" si="8"/>
        <v>46357</v>
      </c>
      <c r="C114" s="25">
        <f t="shared" si="7"/>
        <v>3000</v>
      </c>
      <c r="D114" s="25">
        <f t="shared" si="9"/>
        <v>251</v>
      </c>
      <c r="E114" s="25">
        <f t="shared" si="5"/>
        <v>2749</v>
      </c>
      <c r="F114" s="26">
        <f t="shared" si="6"/>
        <v>117779.30033485423</v>
      </c>
    </row>
    <row r="115" spans="1:6" hidden="1" x14ac:dyDescent="0.35">
      <c r="A115" s="86">
        <v>79</v>
      </c>
      <c r="B115" s="77">
        <f t="shared" si="8"/>
        <v>46388</v>
      </c>
      <c r="C115" s="25">
        <f t="shared" si="7"/>
        <v>3000</v>
      </c>
      <c r="D115" s="25">
        <f t="shared" si="9"/>
        <v>245</v>
      </c>
      <c r="E115" s="25">
        <f t="shared" si="5"/>
        <v>2755</v>
      </c>
      <c r="F115" s="26">
        <f t="shared" si="6"/>
        <v>115024.30033485423</v>
      </c>
    </row>
    <row r="116" spans="1:6" hidden="1" x14ac:dyDescent="0.35">
      <c r="A116" s="86">
        <v>80</v>
      </c>
      <c r="B116" s="77">
        <f t="shared" si="8"/>
        <v>46419</v>
      </c>
      <c r="C116" s="25">
        <f t="shared" si="7"/>
        <v>3000</v>
      </c>
      <c r="D116" s="25">
        <f t="shared" si="9"/>
        <v>240</v>
      </c>
      <c r="E116" s="25">
        <f t="shared" si="5"/>
        <v>2760</v>
      </c>
      <c r="F116" s="26">
        <f t="shared" si="6"/>
        <v>112264.30033485423</v>
      </c>
    </row>
    <row r="117" spans="1:6" hidden="1" x14ac:dyDescent="0.35">
      <c r="A117" s="86">
        <v>81</v>
      </c>
      <c r="B117" s="77">
        <f t="shared" si="8"/>
        <v>46447</v>
      </c>
      <c r="C117" s="25">
        <f t="shared" si="7"/>
        <v>3000</v>
      </c>
      <c r="D117" s="25">
        <f t="shared" si="9"/>
        <v>234</v>
      </c>
      <c r="E117" s="25">
        <f t="shared" ref="E117:E155" si="10">+C117-D117</f>
        <v>2766</v>
      </c>
      <c r="F117" s="26">
        <f t="shared" ref="F117:F155" si="11">+F116-E117</f>
        <v>109498.30033485423</v>
      </c>
    </row>
    <row r="118" spans="1:6" hidden="1" x14ac:dyDescent="0.35">
      <c r="A118" s="86">
        <v>82</v>
      </c>
      <c r="B118" s="77">
        <f t="shared" si="8"/>
        <v>46478</v>
      </c>
      <c r="C118" s="25">
        <f t="shared" si="7"/>
        <v>3000</v>
      </c>
      <c r="D118" s="25">
        <f t="shared" si="9"/>
        <v>228</v>
      </c>
      <c r="E118" s="25">
        <f t="shared" si="10"/>
        <v>2772</v>
      </c>
      <c r="F118" s="26">
        <f t="shared" si="11"/>
        <v>106726.30033485423</v>
      </c>
    </row>
    <row r="119" spans="1:6" hidden="1" x14ac:dyDescent="0.35">
      <c r="A119" s="86">
        <v>83</v>
      </c>
      <c r="B119" s="77">
        <f t="shared" si="8"/>
        <v>46508</v>
      </c>
      <c r="C119" s="25">
        <f t="shared" si="7"/>
        <v>3000</v>
      </c>
      <c r="D119" s="25">
        <f t="shared" si="9"/>
        <v>222</v>
      </c>
      <c r="E119" s="25">
        <f t="shared" si="10"/>
        <v>2778</v>
      </c>
      <c r="F119" s="26">
        <f t="shared" si="11"/>
        <v>103948.30033485423</v>
      </c>
    </row>
    <row r="120" spans="1:6" hidden="1" x14ac:dyDescent="0.35">
      <c r="A120" s="86">
        <v>84</v>
      </c>
      <c r="B120" s="77">
        <f t="shared" si="8"/>
        <v>46539</v>
      </c>
      <c r="C120" s="25">
        <f t="shared" si="7"/>
        <v>3000</v>
      </c>
      <c r="D120" s="25">
        <f t="shared" si="9"/>
        <v>217</v>
      </c>
      <c r="E120" s="25">
        <f t="shared" si="10"/>
        <v>2783</v>
      </c>
      <c r="F120" s="26">
        <f t="shared" si="11"/>
        <v>101165.30033485423</v>
      </c>
    </row>
    <row r="121" spans="1:6" hidden="1" x14ac:dyDescent="0.35">
      <c r="A121" s="86">
        <v>85</v>
      </c>
      <c r="B121" s="77">
        <f t="shared" si="8"/>
        <v>46569</v>
      </c>
      <c r="C121" s="25">
        <f t="shared" si="7"/>
        <v>3000</v>
      </c>
      <c r="D121" s="25">
        <f t="shared" si="9"/>
        <v>211</v>
      </c>
      <c r="E121" s="25">
        <f t="shared" si="10"/>
        <v>2789</v>
      </c>
      <c r="F121" s="26">
        <f t="shared" si="11"/>
        <v>98376.300334854226</v>
      </c>
    </row>
    <row r="122" spans="1:6" hidden="1" x14ac:dyDescent="0.35">
      <c r="A122" s="86">
        <v>86</v>
      </c>
      <c r="B122" s="77">
        <f t="shared" si="8"/>
        <v>46600</v>
      </c>
      <c r="C122" s="25">
        <f t="shared" si="7"/>
        <v>3000</v>
      </c>
      <c r="D122" s="25">
        <f t="shared" si="9"/>
        <v>205</v>
      </c>
      <c r="E122" s="25">
        <f t="shared" si="10"/>
        <v>2795</v>
      </c>
      <c r="F122" s="26">
        <f t="shared" si="11"/>
        <v>95581.300334854226</v>
      </c>
    </row>
    <row r="123" spans="1:6" hidden="1" x14ac:dyDescent="0.35">
      <c r="A123" s="86">
        <v>87</v>
      </c>
      <c r="B123" s="77">
        <f t="shared" si="8"/>
        <v>46631</v>
      </c>
      <c r="C123" s="25">
        <f t="shared" si="7"/>
        <v>3000</v>
      </c>
      <c r="D123" s="25">
        <f t="shared" si="9"/>
        <v>199</v>
      </c>
      <c r="E123" s="25">
        <f t="shared" si="10"/>
        <v>2801</v>
      </c>
      <c r="F123" s="26">
        <f t="shared" si="11"/>
        <v>92780.300334854226</v>
      </c>
    </row>
    <row r="124" spans="1:6" hidden="1" x14ac:dyDescent="0.35">
      <c r="A124" s="86">
        <v>88</v>
      </c>
      <c r="B124" s="77">
        <f t="shared" si="8"/>
        <v>46661</v>
      </c>
      <c r="C124" s="25">
        <f t="shared" si="7"/>
        <v>3000</v>
      </c>
      <c r="D124" s="25">
        <f t="shared" si="9"/>
        <v>193</v>
      </c>
      <c r="E124" s="25">
        <f t="shared" si="10"/>
        <v>2807</v>
      </c>
      <c r="F124" s="26">
        <f t="shared" si="11"/>
        <v>89973.300334854226</v>
      </c>
    </row>
    <row r="125" spans="1:6" hidden="1" x14ac:dyDescent="0.35">
      <c r="A125" s="86">
        <v>89</v>
      </c>
      <c r="B125" s="77">
        <f t="shared" si="8"/>
        <v>46692</v>
      </c>
      <c r="C125" s="25">
        <f t="shared" si="7"/>
        <v>3000</v>
      </c>
      <c r="D125" s="25">
        <f t="shared" si="9"/>
        <v>187</v>
      </c>
      <c r="E125" s="25">
        <f t="shared" si="10"/>
        <v>2813</v>
      </c>
      <c r="F125" s="26">
        <f t="shared" si="11"/>
        <v>87160.300334854226</v>
      </c>
    </row>
    <row r="126" spans="1:6" hidden="1" x14ac:dyDescent="0.35">
      <c r="A126" s="86">
        <v>90</v>
      </c>
      <c r="B126" s="77">
        <f t="shared" si="8"/>
        <v>46722</v>
      </c>
      <c r="C126" s="25">
        <f t="shared" si="7"/>
        <v>3000</v>
      </c>
      <c r="D126" s="25">
        <f t="shared" si="9"/>
        <v>182</v>
      </c>
      <c r="E126" s="25">
        <f t="shared" si="10"/>
        <v>2818</v>
      </c>
      <c r="F126" s="26">
        <f t="shared" si="11"/>
        <v>84342.300334854226</v>
      </c>
    </row>
    <row r="127" spans="1:6" hidden="1" x14ac:dyDescent="0.35">
      <c r="A127" s="86">
        <v>91</v>
      </c>
      <c r="B127" s="77">
        <f t="shared" si="8"/>
        <v>46753</v>
      </c>
      <c r="C127" s="25">
        <f t="shared" si="7"/>
        <v>3000</v>
      </c>
      <c r="D127" s="25">
        <f t="shared" si="9"/>
        <v>176</v>
      </c>
      <c r="E127" s="25">
        <f t="shared" si="10"/>
        <v>2824</v>
      </c>
      <c r="F127" s="26">
        <f t="shared" si="11"/>
        <v>81518.300334854226</v>
      </c>
    </row>
    <row r="128" spans="1:6" hidden="1" x14ac:dyDescent="0.35">
      <c r="A128" s="86">
        <v>92</v>
      </c>
      <c r="B128" s="77">
        <f t="shared" si="8"/>
        <v>46784</v>
      </c>
      <c r="C128" s="25">
        <f t="shared" si="7"/>
        <v>3000</v>
      </c>
      <c r="D128" s="25">
        <f t="shared" si="9"/>
        <v>170</v>
      </c>
      <c r="E128" s="25">
        <f t="shared" si="10"/>
        <v>2830</v>
      </c>
      <c r="F128" s="26">
        <f t="shared" si="11"/>
        <v>78688.300334854226</v>
      </c>
    </row>
    <row r="129" spans="1:6" hidden="1" x14ac:dyDescent="0.35">
      <c r="A129" s="86">
        <v>93</v>
      </c>
      <c r="B129" s="77">
        <f t="shared" si="8"/>
        <v>46813</v>
      </c>
      <c r="C129" s="25">
        <f t="shared" si="7"/>
        <v>3000</v>
      </c>
      <c r="D129" s="25">
        <f t="shared" si="9"/>
        <v>164</v>
      </c>
      <c r="E129" s="25">
        <f t="shared" si="10"/>
        <v>2836</v>
      </c>
      <c r="F129" s="26">
        <f t="shared" si="11"/>
        <v>75852.300334854226</v>
      </c>
    </row>
    <row r="130" spans="1:6" hidden="1" x14ac:dyDescent="0.35">
      <c r="A130" s="86">
        <v>94</v>
      </c>
      <c r="B130" s="77">
        <f t="shared" si="8"/>
        <v>46844</v>
      </c>
      <c r="C130" s="25">
        <f t="shared" si="7"/>
        <v>3000</v>
      </c>
      <c r="D130" s="25">
        <f t="shared" si="9"/>
        <v>158</v>
      </c>
      <c r="E130" s="25">
        <f t="shared" si="10"/>
        <v>2842</v>
      </c>
      <c r="F130" s="26">
        <f t="shared" si="11"/>
        <v>73010.300334854226</v>
      </c>
    </row>
    <row r="131" spans="1:6" hidden="1" x14ac:dyDescent="0.35">
      <c r="A131" s="86">
        <v>95</v>
      </c>
      <c r="B131" s="77">
        <f t="shared" si="8"/>
        <v>46874</v>
      </c>
      <c r="C131" s="25">
        <f t="shared" si="7"/>
        <v>3000</v>
      </c>
      <c r="D131" s="25">
        <f t="shared" si="9"/>
        <v>152</v>
      </c>
      <c r="E131" s="25">
        <f t="shared" si="10"/>
        <v>2848</v>
      </c>
      <c r="F131" s="26">
        <f t="shared" si="11"/>
        <v>70162.300334854226</v>
      </c>
    </row>
    <row r="132" spans="1:6" hidden="1" x14ac:dyDescent="0.35">
      <c r="A132" s="86">
        <v>96</v>
      </c>
      <c r="B132" s="77">
        <f t="shared" si="8"/>
        <v>46905</v>
      </c>
      <c r="C132" s="25">
        <f t="shared" si="7"/>
        <v>3000</v>
      </c>
      <c r="D132" s="25">
        <f t="shared" si="9"/>
        <v>146</v>
      </c>
      <c r="E132" s="25">
        <f t="shared" si="10"/>
        <v>2854</v>
      </c>
      <c r="F132" s="26">
        <f t="shared" si="11"/>
        <v>67308.300334854226</v>
      </c>
    </row>
    <row r="133" spans="1:6" hidden="1" x14ac:dyDescent="0.35">
      <c r="A133" s="86">
        <v>97</v>
      </c>
      <c r="B133" s="77">
        <f t="shared" si="8"/>
        <v>46935</v>
      </c>
      <c r="C133" s="25">
        <f t="shared" si="7"/>
        <v>3000</v>
      </c>
      <c r="D133" s="25">
        <f t="shared" si="9"/>
        <v>140</v>
      </c>
      <c r="E133" s="25">
        <f t="shared" si="10"/>
        <v>2860</v>
      </c>
      <c r="F133" s="26">
        <f t="shared" si="11"/>
        <v>64448.300334854226</v>
      </c>
    </row>
    <row r="134" spans="1:6" hidden="1" x14ac:dyDescent="0.35">
      <c r="A134" s="86">
        <v>98</v>
      </c>
      <c r="B134" s="77">
        <f t="shared" si="8"/>
        <v>46966</v>
      </c>
      <c r="C134" s="25">
        <f t="shared" si="7"/>
        <v>3000</v>
      </c>
      <c r="D134" s="25">
        <f t="shared" si="9"/>
        <v>134</v>
      </c>
      <c r="E134" s="25">
        <f t="shared" si="10"/>
        <v>2866</v>
      </c>
      <c r="F134" s="26">
        <f t="shared" si="11"/>
        <v>61582.300334854226</v>
      </c>
    </row>
    <row r="135" spans="1:6" hidden="1" x14ac:dyDescent="0.35">
      <c r="A135" s="86">
        <v>99</v>
      </c>
      <c r="B135" s="77">
        <f t="shared" si="8"/>
        <v>46997</v>
      </c>
      <c r="C135" s="25">
        <f t="shared" si="7"/>
        <v>3000</v>
      </c>
      <c r="D135" s="25">
        <f t="shared" si="9"/>
        <v>128</v>
      </c>
      <c r="E135" s="25">
        <f t="shared" si="10"/>
        <v>2872</v>
      </c>
      <c r="F135" s="26">
        <f t="shared" si="11"/>
        <v>58710.300334854226</v>
      </c>
    </row>
    <row r="136" spans="1:6" hidden="1" x14ac:dyDescent="0.35">
      <c r="A136" s="86">
        <v>100</v>
      </c>
      <c r="B136" s="77">
        <f t="shared" si="8"/>
        <v>47027</v>
      </c>
      <c r="C136" s="25">
        <f t="shared" si="7"/>
        <v>3000</v>
      </c>
      <c r="D136" s="25">
        <f t="shared" si="9"/>
        <v>122</v>
      </c>
      <c r="E136" s="25">
        <f t="shared" si="10"/>
        <v>2878</v>
      </c>
      <c r="F136" s="26">
        <f t="shared" si="11"/>
        <v>55832.300334854226</v>
      </c>
    </row>
    <row r="137" spans="1:6" hidden="1" x14ac:dyDescent="0.35">
      <c r="A137" s="86">
        <v>101</v>
      </c>
      <c r="B137" s="77">
        <f t="shared" si="8"/>
        <v>47058</v>
      </c>
      <c r="C137" s="25">
        <f t="shared" si="7"/>
        <v>3000</v>
      </c>
      <c r="D137" s="25">
        <f t="shared" si="9"/>
        <v>116</v>
      </c>
      <c r="E137" s="25">
        <f t="shared" si="10"/>
        <v>2884</v>
      </c>
      <c r="F137" s="26">
        <f t="shared" si="11"/>
        <v>52948.300334854226</v>
      </c>
    </row>
    <row r="138" spans="1:6" hidden="1" x14ac:dyDescent="0.35">
      <c r="A138" s="86">
        <v>102</v>
      </c>
      <c r="B138" s="77">
        <f t="shared" si="8"/>
        <v>47088</v>
      </c>
      <c r="C138" s="25">
        <f t="shared" si="7"/>
        <v>3000</v>
      </c>
      <c r="D138" s="25">
        <f t="shared" si="9"/>
        <v>110</v>
      </c>
      <c r="E138" s="25">
        <f t="shared" si="10"/>
        <v>2890</v>
      </c>
      <c r="F138" s="26">
        <f t="shared" si="11"/>
        <v>50058.300334854226</v>
      </c>
    </row>
    <row r="139" spans="1:6" hidden="1" x14ac:dyDescent="0.35">
      <c r="A139" s="86">
        <v>103</v>
      </c>
      <c r="B139" s="77">
        <f t="shared" si="8"/>
        <v>47119</v>
      </c>
      <c r="C139" s="25">
        <f t="shared" si="7"/>
        <v>3000</v>
      </c>
      <c r="D139" s="25">
        <f t="shared" si="9"/>
        <v>104</v>
      </c>
      <c r="E139" s="25">
        <f t="shared" si="10"/>
        <v>2896</v>
      </c>
      <c r="F139" s="26">
        <f t="shared" si="11"/>
        <v>47162.300334854226</v>
      </c>
    </row>
    <row r="140" spans="1:6" hidden="1" x14ac:dyDescent="0.35">
      <c r="A140" s="86">
        <v>104</v>
      </c>
      <c r="B140" s="77">
        <f t="shared" si="8"/>
        <v>47150</v>
      </c>
      <c r="C140" s="25">
        <f t="shared" si="7"/>
        <v>3000</v>
      </c>
      <c r="D140" s="25">
        <f t="shared" si="9"/>
        <v>98</v>
      </c>
      <c r="E140" s="25">
        <f t="shared" si="10"/>
        <v>2902</v>
      </c>
      <c r="F140" s="26">
        <f t="shared" si="11"/>
        <v>44260.300334854226</v>
      </c>
    </row>
    <row r="141" spans="1:6" hidden="1" x14ac:dyDescent="0.35">
      <c r="A141" s="86">
        <v>105</v>
      </c>
      <c r="B141" s="77">
        <f t="shared" si="8"/>
        <v>47178</v>
      </c>
      <c r="C141" s="25">
        <f t="shared" si="7"/>
        <v>3000</v>
      </c>
      <c r="D141" s="25">
        <f t="shared" si="9"/>
        <v>92</v>
      </c>
      <c r="E141" s="25">
        <f t="shared" si="10"/>
        <v>2908</v>
      </c>
      <c r="F141" s="26">
        <f t="shared" si="11"/>
        <v>41352.300334854226</v>
      </c>
    </row>
    <row r="142" spans="1:6" hidden="1" x14ac:dyDescent="0.35">
      <c r="A142" s="86">
        <v>106</v>
      </c>
      <c r="B142" s="77">
        <f t="shared" si="8"/>
        <v>47209</v>
      </c>
      <c r="C142" s="25">
        <f t="shared" si="7"/>
        <v>3000</v>
      </c>
      <c r="D142" s="25">
        <f t="shared" si="9"/>
        <v>86</v>
      </c>
      <c r="E142" s="25">
        <f t="shared" si="10"/>
        <v>2914</v>
      </c>
      <c r="F142" s="26">
        <f t="shared" si="11"/>
        <v>38438.300334854226</v>
      </c>
    </row>
    <row r="143" spans="1:6" hidden="1" x14ac:dyDescent="0.35">
      <c r="A143" s="86">
        <v>107</v>
      </c>
      <c r="B143" s="77">
        <f t="shared" si="8"/>
        <v>47239</v>
      </c>
      <c r="C143" s="25">
        <f t="shared" si="7"/>
        <v>3000</v>
      </c>
      <c r="D143" s="25">
        <f t="shared" si="9"/>
        <v>80</v>
      </c>
      <c r="E143" s="25">
        <f t="shared" si="10"/>
        <v>2920</v>
      </c>
      <c r="F143" s="26">
        <f t="shared" si="11"/>
        <v>35518.300334854226</v>
      </c>
    </row>
    <row r="144" spans="1:6" x14ac:dyDescent="0.35">
      <c r="A144" s="86">
        <v>108</v>
      </c>
      <c r="B144" s="77">
        <f t="shared" si="8"/>
        <v>47270</v>
      </c>
      <c r="C144" s="25">
        <f t="shared" si="7"/>
        <v>3000</v>
      </c>
      <c r="D144" s="25">
        <f t="shared" si="9"/>
        <v>74</v>
      </c>
      <c r="E144" s="25">
        <f t="shared" si="10"/>
        <v>2926</v>
      </c>
      <c r="F144" s="26">
        <f t="shared" si="11"/>
        <v>32592.300334854226</v>
      </c>
    </row>
    <row r="145" spans="1:7" x14ac:dyDescent="0.35">
      <c r="A145" s="86">
        <v>109</v>
      </c>
      <c r="B145" s="77">
        <f t="shared" si="8"/>
        <v>47300</v>
      </c>
      <c r="C145" s="25">
        <f t="shared" si="7"/>
        <v>3000</v>
      </c>
      <c r="D145" s="25">
        <f t="shared" si="9"/>
        <v>68</v>
      </c>
      <c r="E145" s="25">
        <f t="shared" si="10"/>
        <v>2932</v>
      </c>
      <c r="F145" s="26">
        <f t="shared" si="11"/>
        <v>29660.300334854226</v>
      </c>
    </row>
    <row r="146" spans="1:7" x14ac:dyDescent="0.35">
      <c r="A146" s="86">
        <v>110</v>
      </c>
      <c r="B146" s="77">
        <f t="shared" si="8"/>
        <v>47331</v>
      </c>
      <c r="C146" s="25">
        <f t="shared" si="7"/>
        <v>3000</v>
      </c>
      <c r="D146" s="25">
        <f t="shared" si="9"/>
        <v>62</v>
      </c>
      <c r="E146" s="25">
        <f t="shared" si="10"/>
        <v>2938</v>
      </c>
      <c r="F146" s="26">
        <f t="shared" si="11"/>
        <v>26722.300334854226</v>
      </c>
    </row>
    <row r="147" spans="1:7" x14ac:dyDescent="0.35">
      <c r="A147" s="86">
        <v>111</v>
      </c>
      <c r="B147" s="77">
        <f t="shared" si="8"/>
        <v>47362</v>
      </c>
      <c r="C147" s="25">
        <f t="shared" si="7"/>
        <v>3000</v>
      </c>
      <c r="D147" s="25">
        <f t="shared" si="9"/>
        <v>56</v>
      </c>
      <c r="E147" s="25">
        <f t="shared" si="10"/>
        <v>2944</v>
      </c>
      <c r="F147" s="26">
        <f t="shared" si="11"/>
        <v>23778.300334854226</v>
      </c>
    </row>
    <row r="148" spans="1:7" x14ac:dyDescent="0.35">
      <c r="A148" s="86">
        <v>112</v>
      </c>
      <c r="B148" s="77">
        <f t="shared" si="8"/>
        <v>47392</v>
      </c>
      <c r="C148" s="25">
        <f t="shared" si="7"/>
        <v>3000</v>
      </c>
      <c r="D148" s="25">
        <f t="shared" si="9"/>
        <v>50</v>
      </c>
      <c r="E148" s="25">
        <f t="shared" si="10"/>
        <v>2950</v>
      </c>
      <c r="F148" s="26">
        <f t="shared" si="11"/>
        <v>20828.300334854226</v>
      </c>
    </row>
    <row r="149" spans="1:7" x14ac:dyDescent="0.35">
      <c r="A149" s="86">
        <v>113</v>
      </c>
      <c r="B149" s="77">
        <f t="shared" si="8"/>
        <v>47423</v>
      </c>
      <c r="C149" s="25">
        <f t="shared" si="7"/>
        <v>3000</v>
      </c>
      <c r="D149" s="25">
        <f t="shared" si="9"/>
        <v>43</v>
      </c>
      <c r="E149" s="25">
        <f t="shared" si="10"/>
        <v>2957</v>
      </c>
      <c r="F149" s="26">
        <f t="shared" si="11"/>
        <v>17871.300334854226</v>
      </c>
    </row>
    <row r="150" spans="1:7" x14ac:dyDescent="0.35">
      <c r="A150" s="86">
        <v>114</v>
      </c>
      <c r="B150" s="77">
        <f t="shared" si="8"/>
        <v>47453</v>
      </c>
      <c r="C150" s="25">
        <f t="shared" si="7"/>
        <v>3000</v>
      </c>
      <c r="D150" s="25">
        <f t="shared" si="9"/>
        <v>37</v>
      </c>
      <c r="E150" s="25">
        <f t="shared" si="10"/>
        <v>2963</v>
      </c>
      <c r="F150" s="26">
        <f t="shared" si="11"/>
        <v>14908.300334854226</v>
      </c>
    </row>
    <row r="151" spans="1:7" x14ac:dyDescent="0.35">
      <c r="A151" s="86">
        <v>115</v>
      </c>
      <c r="B151" s="77">
        <f t="shared" si="8"/>
        <v>47484</v>
      </c>
      <c r="C151" s="25">
        <f t="shared" si="7"/>
        <v>3000</v>
      </c>
      <c r="D151" s="25">
        <f t="shared" si="9"/>
        <v>31</v>
      </c>
      <c r="E151" s="25">
        <f t="shared" si="10"/>
        <v>2969</v>
      </c>
      <c r="F151" s="26">
        <f t="shared" si="11"/>
        <v>11939.300334854226</v>
      </c>
    </row>
    <row r="152" spans="1:7" x14ac:dyDescent="0.35">
      <c r="A152" s="86">
        <v>116</v>
      </c>
      <c r="B152" s="77">
        <f t="shared" si="8"/>
        <v>47515</v>
      </c>
      <c r="C152" s="25">
        <f t="shared" si="7"/>
        <v>3000</v>
      </c>
      <c r="D152" s="25">
        <f t="shared" si="9"/>
        <v>25</v>
      </c>
      <c r="E152" s="25">
        <f t="shared" si="10"/>
        <v>2975</v>
      </c>
      <c r="F152" s="26">
        <f t="shared" si="11"/>
        <v>8964.3003348542261</v>
      </c>
    </row>
    <row r="153" spans="1:7" x14ac:dyDescent="0.35">
      <c r="A153" s="86">
        <v>117</v>
      </c>
      <c r="B153" s="77">
        <f t="shared" si="8"/>
        <v>47543</v>
      </c>
      <c r="C153" s="25">
        <f t="shared" si="7"/>
        <v>3000</v>
      </c>
      <c r="D153" s="25">
        <f t="shared" si="9"/>
        <v>19</v>
      </c>
      <c r="E153" s="25">
        <f t="shared" si="10"/>
        <v>2981</v>
      </c>
      <c r="F153" s="26">
        <f t="shared" si="11"/>
        <v>5983.3003348542261</v>
      </c>
    </row>
    <row r="154" spans="1:7" x14ac:dyDescent="0.35">
      <c r="A154" s="86">
        <v>118</v>
      </c>
      <c r="B154" s="77">
        <f t="shared" si="8"/>
        <v>47574</v>
      </c>
      <c r="C154" s="25">
        <f t="shared" si="7"/>
        <v>3000</v>
      </c>
      <c r="D154" s="25">
        <f>ROUND(+F153*$C$20,0)-1</f>
        <v>11</v>
      </c>
      <c r="E154" s="25">
        <f t="shared" si="10"/>
        <v>2989</v>
      </c>
      <c r="F154" s="26">
        <f t="shared" si="11"/>
        <v>2994.3003348542261</v>
      </c>
      <c r="G154" s="22" t="s">
        <v>79</v>
      </c>
    </row>
    <row r="155" spans="1:7" x14ac:dyDescent="0.35">
      <c r="A155" s="86">
        <v>119</v>
      </c>
      <c r="B155" s="77">
        <f t="shared" si="8"/>
        <v>47604</v>
      </c>
      <c r="C155" s="25">
        <f t="shared" si="7"/>
        <v>3000</v>
      </c>
      <c r="D155" s="25">
        <f t="shared" si="9"/>
        <v>6</v>
      </c>
      <c r="E155" s="25">
        <f t="shared" si="10"/>
        <v>2994</v>
      </c>
      <c r="F155" s="26">
        <f t="shared" si="11"/>
        <v>0.30033485422609374</v>
      </c>
      <c r="G155" s="22" t="s">
        <v>79</v>
      </c>
    </row>
    <row r="156" spans="1:7" x14ac:dyDescent="0.35">
      <c r="A156" s="86"/>
      <c r="B156" s="77"/>
      <c r="C156" s="25"/>
      <c r="D156" s="68"/>
      <c r="E156" s="25"/>
      <c r="F156" s="26"/>
      <c r="G156" s="22" t="s">
        <v>90</v>
      </c>
    </row>
    <row r="157" spans="1:7" x14ac:dyDescent="0.35">
      <c r="A157" s="10"/>
      <c r="B157" s="11"/>
      <c r="C157" s="11"/>
      <c r="D157" s="11"/>
      <c r="E157" s="11"/>
      <c r="F157" s="12"/>
    </row>
    <row r="158" spans="1:7" x14ac:dyDescent="0.35">
      <c r="A158" s="14"/>
      <c r="B158" s="19" t="s">
        <v>24</v>
      </c>
      <c r="C158" s="15"/>
      <c r="D158" s="33">
        <f>SUM(D37:D157)</f>
        <v>40444</v>
      </c>
      <c r="E158" s="33">
        <f>SUM(E37:E157)</f>
        <v>316556</v>
      </c>
      <c r="F158" s="58">
        <f>SUM(D158:E158)</f>
        <v>357000</v>
      </c>
    </row>
  </sheetData>
  <mergeCells count="2">
    <mergeCell ref="A7:H7"/>
    <mergeCell ref="A8:H8"/>
  </mergeCells>
  <pageMargins left="0.22" right="0.17" top="0.27" bottom="0.45" header="0.17" footer="0.3"/>
  <pageSetup scale="47" orientation="portrait" r:id="rId1"/>
  <headerFooter>
    <oddFooter>&amp;R&amp;Z&amp;F -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B1:J135"/>
  <sheetViews>
    <sheetView workbookViewId="0">
      <selection activeCell="C139" sqref="C139"/>
    </sheetView>
  </sheetViews>
  <sheetFormatPr defaultColWidth="8.81640625" defaultRowHeight="14.5" x14ac:dyDescent="0.35"/>
  <cols>
    <col min="1" max="1" width="3" customWidth="1"/>
    <col min="2" max="2" width="5.453125" customWidth="1"/>
    <col min="3" max="3" width="31.453125" customWidth="1"/>
    <col min="4" max="4" width="14.1796875" customWidth="1"/>
    <col min="5" max="5" width="15.36328125" customWidth="1"/>
    <col min="6" max="6" width="10.453125" customWidth="1"/>
    <col min="7" max="7" width="35.36328125" customWidth="1"/>
  </cols>
  <sheetData>
    <row r="1" spans="2:10" x14ac:dyDescent="0.35">
      <c r="C1" s="4" t="s">
        <v>161</v>
      </c>
    </row>
    <row r="2" spans="2:10" x14ac:dyDescent="0.35">
      <c r="C2" s="4" t="s">
        <v>23</v>
      </c>
    </row>
    <row r="5" spans="2:10" x14ac:dyDescent="0.35">
      <c r="B5" s="7"/>
      <c r="C5" s="17" t="s">
        <v>105</v>
      </c>
      <c r="D5" s="8"/>
      <c r="E5" s="9"/>
    </row>
    <row r="6" spans="2:10" x14ac:dyDescent="0.35">
      <c r="B6" s="7"/>
      <c r="C6" s="72" t="s">
        <v>106</v>
      </c>
      <c r="D6" s="73">
        <f>+'4. Lessor Summary'!C28</f>
        <v>319556.30033485423</v>
      </c>
      <c r="E6" s="9"/>
    </row>
    <row r="7" spans="2:10" x14ac:dyDescent="0.35">
      <c r="B7" s="10"/>
      <c r="C7" s="74" t="s">
        <v>64</v>
      </c>
      <c r="D7" s="98">
        <f>12*10</f>
        <v>120</v>
      </c>
      <c r="E7" s="12"/>
    </row>
    <row r="8" spans="2:10" x14ac:dyDescent="0.35">
      <c r="B8" s="10"/>
      <c r="C8" s="74" t="s">
        <v>43</v>
      </c>
      <c r="D8" s="75">
        <f>ROUND(+D6/D7,0)</f>
        <v>2663</v>
      </c>
      <c r="E8" s="12"/>
    </row>
    <row r="9" spans="2:10" x14ac:dyDescent="0.35">
      <c r="B9" s="10"/>
      <c r="C9" s="74" t="s">
        <v>41</v>
      </c>
      <c r="D9" s="75">
        <f>+D8*12</f>
        <v>31956</v>
      </c>
      <c r="E9" s="12"/>
      <c r="J9" s="4"/>
    </row>
    <row r="10" spans="2:10" ht="29" x14ac:dyDescent="0.35">
      <c r="B10" s="10"/>
      <c r="C10" s="5" t="s">
        <v>103</v>
      </c>
      <c r="D10" s="99">
        <v>1</v>
      </c>
      <c r="E10" s="12"/>
      <c r="J10" s="4"/>
    </row>
    <row r="11" spans="2:10" x14ac:dyDescent="0.35">
      <c r="B11" s="10"/>
      <c r="C11" s="11"/>
      <c r="D11" s="11"/>
      <c r="E11" s="12"/>
    </row>
    <row r="12" spans="2:10" x14ac:dyDescent="0.35">
      <c r="B12" s="10"/>
      <c r="C12" s="20" t="s">
        <v>98</v>
      </c>
      <c r="D12" s="20" t="s">
        <v>87</v>
      </c>
      <c r="E12" s="21" t="s">
        <v>20</v>
      </c>
    </row>
    <row r="13" spans="2:10" x14ac:dyDescent="0.35">
      <c r="B13" s="10"/>
      <c r="C13" s="11"/>
      <c r="D13" s="29"/>
      <c r="E13" s="30">
        <f>+D6</f>
        <v>319556.30033485423</v>
      </c>
    </row>
    <row r="14" spans="2:10" x14ac:dyDescent="0.35">
      <c r="B14" s="10">
        <v>1</v>
      </c>
      <c r="C14" s="77">
        <f>+'5. Lease Receivable Schedules'!C23</f>
        <v>44013</v>
      </c>
      <c r="D14" s="31">
        <f>+$D$8</f>
        <v>2663</v>
      </c>
      <c r="E14" s="52">
        <f t="shared" ref="E14:E77" si="0">+E13-D14</f>
        <v>316893.30033485423</v>
      </c>
    </row>
    <row r="15" spans="2:10" x14ac:dyDescent="0.35">
      <c r="B15" s="10">
        <v>2</v>
      </c>
      <c r="C15" s="77">
        <f>DATE(YEAR(C14),MONTH(C14)+$D$10,DAY(C14))</f>
        <v>44044</v>
      </c>
      <c r="D15" s="25">
        <f t="shared" ref="D15:D78" si="1">+$D$8</f>
        <v>2663</v>
      </c>
      <c r="E15" s="52">
        <f t="shared" si="0"/>
        <v>314230.30033485423</v>
      </c>
    </row>
    <row r="16" spans="2:10" x14ac:dyDescent="0.35">
      <c r="B16" s="10">
        <v>3</v>
      </c>
      <c r="C16" s="77">
        <f t="shared" ref="C16:C79" si="2">DATE(YEAR(C15),MONTH(C15)+$D$10,DAY(C15))</f>
        <v>44075</v>
      </c>
      <c r="D16" s="25">
        <f t="shared" si="1"/>
        <v>2663</v>
      </c>
      <c r="E16" s="52">
        <f t="shared" si="0"/>
        <v>311567.30033485423</v>
      </c>
    </row>
    <row r="17" spans="2:7" x14ac:dyDescent="0.35">
      <c r="B17" s="10">
        <v>4</v>
      </c>
      <c r="C17" s="77">
        <f t="shared" si="2"/>
        <v>44105</v>
      </c>
      <c r="D17" s="25">
        <f t="shared" si="1"/>
        <v>2663</v>
      </c>
      <c r="E17" s="52">
        <f t="shared" si="0"/>
        <v>308904.30033485423</v>
      </c>
    </row>
    <row r="18" spans="2:7" x14ac:dyDescent="0.35">
      <c r="B18" s="10">
        <v>5</v>
      </c>
      <c r="C18" s="77">
        <f t="shared" si="2"/>
        <v>44136</v>
      </c>
      <c r="D18" s="25">
        <f t="shared" si="1"/>
        <v>2663</v>
      </c>
      <c r="E18" s="52">
        <f t="shared" si="0"/>
        <v>306241.30033485423</v>
      </c>
      <c r="F18" s="36"/>
    </row>
    <row r="19" spans="2:7" x14ac:dyDescent="0.35">
      <c r="B19" s="10">
        <v>6</v>
      </c>
      <c r="C19" s="77">
        <f t="shared" si="2"/>
        <v>44166</v>
      </c>
      <c r="D19" s="25">
        <f t="shared" si="1"/>
        <v>2663</v>
      </c>
      <c r="E19" s="52">
        <f t="shared" si="0"/>
        <v>303578.30033485423</v>
      </c>
      <c r="F19" s="100">
        <f>SUM(D14:D19)</f>
        <v>15978</v>
      </c>
      <c r="G19" s="101" t="s">
        <v>91</v>
      </c>
    </row>
    <row r="20" spans="2:7" x14ac:dyDescent="0.35">
      <c r="B20" s="10">
        <v>7</v>
      </c>
      <c r="C20" s="77">
        <f t="shared" si="2"/>
        <v>44197</v>
      </c>
      <c r="D20" s="25">
        <f t="shared" si="1"/>
        <v>2663</v>
      </c>
      <c r="E20" s="52">
        <f t="shared" si="0"/>
        <v>300915.30033485423</v>
      </c>
    </row>
    <row r="21" spans="2:7" x14ac:dyDescent="0.35">
      <c r="B21" s="10">
        <v>8</v>
      </c>
      <c r="C21" s="77">
        <f t="shared" si="2"/>
        <v>44228</v>
      </c>
      <c r="D21" s="25">
        <f t="shared" si="1"/>
        <v>2663</v>
      </c>
      <c r="E21" s="52">
        <f t="shared" si="0"/>
        <v>298252.30033485423</v>
      </c>
    </row>
    <row r="22" spans="2:7" x14ac:dyDescent="0.35">
      <c r="B22" s="10">
        <v>9</v>
      </c>
      <c r="C22" s="77">
        <f t="shared" si="2"/>
        <v>44256</v>
      </c>
      <c r="D22" s="25">
        <f t="shared" si="1"/>
        <v>2663</v>
      </c>
      <c r="E22" s="52">
        <f t="shared" si="0"/>
        <v>295589.30033485423</v>
      </c>
    </row>
    <row r="23" spans="2:7" x14ac:dyDescent="0.35">
      <c r="B23" s="10">
        <v>10</v>
      </c>
      <c r="C23" s="77">
        <f t="shared" si="2"/>
        <v>44287</v>
      </c>
      <c r="D23" s="25">
        <f t="shared" si="1"/>
        <v>2663</v>
      </c>
      <c r="E23" s="52">
        <f t="shared" si="0"/>
        <v>292926.30033485423</v>
      </c>
    </row>
    <row r="24" spans="2:7" x14ac:dyDescent="0.35">
      <c r="B24" s="10">
        <v>11</v>
      </c>
      <c r="C24" s="77">
        <f t="shared" si="2"/>
        <v>44317</v>
      </c>
      <c r="D24" s="25">
        <f t="shared" si="1"/>
        <v>2663</v>
      </c>
      <c r="E24" s="52">
        <f t="shared" si="0"/>
        <v>290263.30033485423</v>
      </c>
    </row>
    <row r="25" spans="2:7" x14ac:dyDescent="0.35">
      <c r="B25" s="10">
        <v>12</v>
      </c>
      <c r="C25" s="77">
        <f t="shared" si="2"/>
        <v>44348</v>
      </c>
      <c r="D25" s="25">
        <f t="shared" si="1"/>
        <v>2663</v>
      </c>
      <c r="E25" s="52">
        <f t="shared" si="0"/>
        <v>287600.30033485423</v>
      </c>
    </row>
    <row r="26" spans="2:7" x14ac:dyDescent="0.35">
      <c r="B26" s="10">
        <v>13</v>
      </c>
      <c r="C26" s="77">
        <f t="shared" si="2"/>
        <v>44378</v>
      </c>
      <c r="D26" s="25">
        <f t="shared" si="1"/>
        <v>2663</v>
      </c>
      <c r="E26" s="52">
        <f t="shared" si="0"/>
        <v>284937.30033485423</v>
      </c>
    </row>
    <row r="27" spans="2:7" x14ac:dyDescent="0.35">
      <c r="B27" s="10">
        <v>14</v>
      </c>
      <c r="C27" s="77">
        <f t="shared" si="2"/>
        <v>44409</v>
      </c>
      <c r="D27" s="25">
        <f t="shared" si="1"/>
        <v>2663</v>
      </c>
      <c r="E27" s="52">
        <f t="shared" si="0"/>
        <v>282274.30033485423</v>
      </c>
    </row>
    <row r="28" spans="2:7" x14ac:dyDescent="0.35">
      <c r="B28" s="10">
        <v>15</v>
      </c>
      <c r="C28" s="77">
        <f t="shared" si="2"/>
        <v>44440</v>
      </c>
      <c r="D28" s="25">
        <f t="shared" si="1"/>
        <v>2663</v>
      </c>
      <c r="E28" s="52">
        <f t="shared" si="0"/>
        <v>279611.30033485423</v>
      </c>
    </row>
    <row r="29" spans="2:7" x14ac:dyDescent="0.35">
      <c r="B29" s="10">
        <v>16</v>
      </c>
      <c r="C29" s="77">
        <f t="shared" si="2"/>
        <v>44470</v>
      </c>
      <c r="D29" s="25">
        <f t="shared" si="1"/>
        <v>2663</v>
      </c>
      <c r="E29" s="52">
        <f t="shared" si="0"/>
        <v>276948.30033485423</v>
      </c>
    </row>
    <row r="30" spans="2:7" x14ac:dyDescent="0.35">
      <c r="B30" s="10">
        <v>17</v>
      </c>
      <c r="C30" s="77">
        <f t="shared" si="2"/>
        <v>44501</v>
      </c>
      <c r="D30" s="25">
        <f t="shared" si="1"/>
        <v>2663</v>
      </c>
      <c r="E30" s="52">
        <f t="shared" si="0"/>
        <v>274285.30033485423</v>
      </c>
    </row>
    <row r="31" spans="2:7" x14ac:dyDescent="0.35">
      <c r="B31" s="10">
        <v>18</v>
      </c>
      <c r="C31" s="77">
        <f t="shared" si="2"/>
        <v>44531</v>
      </c>
      <c r="D31" s="25">
        <f t="shared" si="1"/>
        <v>2663</v>
      </c>
      <c r="E31" s="52">
        <f t="shared" si="0"/>
        <v>271622.30033485423</v>
      </c>
    </row>
    <row r="32" spans="2:7" x14ac:dyDescent="0.35">
      <c r="B32" s="10">
        <v>19</v>
      </c>
      <c r="C32" s="77">
        <f t="shared" si="2"/>
        <v>44562</v>
      </c>
      <c r="D32" s="25">
        <f t="shared" si="1"/>
        <v>2663</v>
      </c>
      <c r="E32" s="52">
        <f t="shared" si="0"/>
        <v>268959.30033485423</v>
      </c>
    </row>
    <row r="33" spans="2:5" x14ac:dyDescent="0.35">
      <c r="B33" s="10">
        <v>20</v>
      </c>
      <c r="C33" s="77">
        <f t="shared" si="2"/>
        <v>44593</v>
      </c>
      <c r="D33" s="25">
        <f t="shared" si="1"/>
        <v>2663</v>
      </c>
      <c r="E33" s="52">
        <f t="shared" si="0"/>
        <v>266296.30033485423</v>
      </c>
    </row>
    <row r="34" spans="2:5" x14ac:dyDescent="0.35">
      <c r="B34" s="10">
        <v>21</v>
      </c>
      <c r="C34" s="77">
        <f t="shared" si="2"/>
        <v>44621</v>
      </c>
      <c r="D34" s="25">
        <f t="shared" si="1"/>
        <v>2663</v>
      </c>
      <c r="E34" s="52">
        <f t="shared" si="0"/>
        <v>263633.30033485423</v>
      </c>
    </row>
    <row r="35" spans="2:5" x14ac:dyDescent="0.35">
      <c r="B35" s="10">
        <v>22</v>
      </c>
      <c r="C35" s="77">
        <f t="shared" si="2"/>
        <v>44652</v>
      </c>
      <c r="D35" s="25">
        <f t="shared" si="1"/>
        <v>2663</v>
      </c>
      <c r="E35" s="52">
        <f t="shared" si="0"/>
        <v>260970.30033485423</v>
      </c>
    </row>
    <row r="36" spans="2:5" x14ac:dyDescent="0.35">
      <c r="B36" s="10">
        <v>23</v>
      </c>
      <c r="C36" s="77">
        <f t="shared" si="2"/>
        <v>44682</v>
      </c>
      <c r="D36" s="25">
        <f t="shared" si="1"/>
        <v>2663</v>
      </c>
      <c r="E36" s="52">
        <f t="shared" si="0"/>
        <v>258307.30033485423</v>
      </c>
    </row>
    <row r="37" spans="2:5" x14ac:dyDescent="0.35">
      <c r="B37" s="10">
        <v>24</v>
      </c>
      <c r="C37" s="77">
        <f t="shared" si="2"/>
        <v>44713</v>
      </c>
      <c r="D37" s="25">
        <f t="shared" si="1"/>
        <v>2663</v>
      </c>
      <c r="E37" s="52">
        <f t="shared" si="0"/>
        <v>255644.30033485423</v>
      </c>
    </row>
    <row r="38" spans="2:5" x14ac:dyDescent="0.35">
      <c r="B38" s="10">
        <v>25</v>
      </c>
      <c r="C38" s="77">
        <f t="shared" si="2"/>
        <v>44743</v>
      </c>
      <c r="D38" s="25">
        <f t="shared" si="1"/>
        <v>2663</v>
      </c>
      <c r="E38" s="52">
        <f t="shared" si="0"/>
        <v>252981.30033485423</v>
      </c>
    </row>
    <row r="39" spans="2:5" x14ac:dyDescent="0.35">
      <c r="B39" s="10">
        <v>26</v>
      </c>
      <c r="C39" s="77">
        <f t="shared" si="2"/>
        <v>44774</v>
      </c>
      <c r="D39" s="25">
        <f t="shared" si="1"/>
        <v>2663</v>
      </c>
      <c r="E39" s="52">
        <f t="shared" si="0"/>
        <v>250318.30033485423</v>
      </c>
    </row>
    <row r="40" spans="2:5" x14ac:dyDescent="0.35">
      <c r="B40" s="10">
        <v>27</v>
      </c>
      <c r="C40" s="77">
        <f t="shared" si="2"/>
        <v>44805</v>
      </c>
      <c r="D40" s="25">
        <f t="shared" si="1"/>
        <v>2663</v>
      </c>
      <c r="E40" s="52">
        <f t="shared" si="0"/>
        <v>247655.30033485423</v>
      </c>
    </row>
    <row r="41" spans="2:5" x14ac:dyDescent="0.35">
      <c r="B41" s="10">
        <v>28</v>
      </c>
      <c r="C41" s="77">
        <f t="shared" si="2"/>
        <v>44835</v>
      </c>
      <c r="D41" s="25">
        <f t="shared" si="1"/>
        <v>2663</v>
      </c>
      <c r="E41" s="52">
        <f t="shared" si="0"/>
        <v>244992.30033485423</v>
      </c>
    </row>
    <row r="42" spans="2:5" x14ac:dyDescent="0.35">
      <c r="B42" s="10">
        <v>29</v>
      </c>
      <c r="C42" s="77">
        <f t="shared" si="2"/>
        <v>44866</v>
      </c>
      <c r="D42" s="25">
        <f t="shared" si="1"/>
        <v>2663</v>
      </c>
      <c r="E42" s="52">
        <f t="shared" si="0"/>
        <v>242329.30033485423</v>
      </c>
    </row>
    <row r="43" spans="2:5" x14ac:dyDescent="0.35">
      <c r="B43" s="10">
        <v>30</v>
      </c>
      <c r="C43" s="77">
        <f t="shared" si="2"/>
        <v>44896</v>
      </c>
      <c r="D43" s="25">
        <f t="shared" si="1"/>
        <v>2663</v>
      </c>
      <c r="E43" s="52">
        <f t="shared" si="0"/>
        <v>239666.30033485423</v>
      </c>
    </row>
    <row r="44" spans="2:5" x14ac:dyDescent="0.35">
      <c r="B44" s="10">
        <v>31</v>
      </c>
      <c r="C44" s="77">
        <f t="shared" si="2"/>
        <v>44927</v>
      </c>
      <c r="D44" s="25">
        <f t="shared" si="1"/>
        <v>2663</v>
      </c>
      <c r="E44" s="52">
        <f t="shared" si="0"/>
        <v>237003.30033485423</v>
      </c>
    </row>
    <row r="45" spans="2:5" x14ac:dyDescent="0.35">
      <c r="B45" s="10">
        <v>32</v>
      </c>
      <c r="C45" s="77">
        <f t="shared" si="2"/>
        <v>44958</v>
      </c>
      <c r="D45" s="25">
        <f t="shared" si="1"/>
        <v>2663</v>
      </c>
      <c r="E45" s="52">
        <f t="shared" si="0"/>
        <v>234340.30033485423</v>
      </c>
    </row>
    <row r="46" spans="2:5" x14ac:dyDescent="0.35">
      <c r="B46" s="10">
        <v>33</v>
      </c>
      <c r="C46" s="77">
        <f t="shared" si="2"/>
        <v>44986</v>
      </c>
      <c r="D46" s="25">
        <f t="shared" si="1"/>
        <v>2663</v>
      </c>
      <c r="E46" s="52">
        <f t="shared" si="0"/>
        <v>231677.30033485423</v>
      </c>
    </row>
    <row r="47" spans="2:5" x14ac:dyDescent="0.35">
      <c r="B47" s="10">
        <v>34</v>
      </c>
      <c r="C47" s="77">
        <f t="shared" si="2"/>
        <v>45017</v>
      </c>
      <c r="D47" s="25">
        <f t="shared" si="1"/>
        <v>2663</v>
      </c>
      <c r="E47" s="52">
        <f t="shared" si="0"/>
        <v>229014.30033485423</v>
      </c>
    </row>
    <row r="48" spans="2:5" x14ac:dyDescent="0.35">
      <c r="B48" s="10">
        <v>35</v>
      </c>
      <c r="C48" s="77">
        <f t="shared" si="2"/>
        <v>45047</v>
      </c>
      <c r="D48" s="25">
        <f t="shared" si="1"/>
        <v>2663</v>
      </c>
      <c r="E48" s="52">
        <f t="shared" si="0"/>
        <v>226351.30033485423</v>
      </c>
    </row>
    <row r="49" spans="2:5" x14ac:dyDescent="0.35">
      <c r="B49" s="10">
        <v>36</v>
      </c>
      <c r="C49" s="77">
        <f t="shared" si="2"/>
        <v>45078</v>
      </c>
      <c r="D49" s="25">
        <f t="shared" si="1"/>
        <v>2663</v>
      </c>
      <c r="E49" s="52">
        <f t="shared" si="0"/>
        <v>223688.30033485423</v>
      </c>
    </row>
    <row r="50" spans="2:5" x14ac:dyDescent="0.35">
      <c r="B50" s="10">
        <v>37</v>
      </c>
      <c r="C50" s="77">
        <f t="shared" si="2"/>
        <v>45108</v>
      </c>
      <c r="D50" s="25">
        <f t="shared" si="1"/>
        <v>2663</v>
      </c>
      <c r="E50" s="52">
        <f t="shared" si="0"/>
        <v>221025.30033485423</v>
      </c>
    </row>
    <row r="51" spans="2:5" x14ac:dyDescent="0.35">
      <c r="B51" s="10">
        <v>38</v>
      </c>
      <c r="C51" s="77">
        <f t="shared" si="2"/>
        <v>45139</v>
      </c>
      <c r="D51" s="25">
        <f t="shared" si="1"/>
        <v>2663</v>
      </c>
      <c r="E51" s="52">
        <f t="shared" si="0"/>
        <v>218362.30033485423</v>
      </c>
    </row>
    <row r="52" spans="2:5" x14ac:dyDescent="0.35">
      <c r="B52" s="10">
        <v>39</v>
      </c>
      <c r="C52" s="77">
        <f t="shared" si="2"/>
        <v>45170</v>
      </c>
      <c r="D52" s="25">
        <f t="shared" si="1"/>
        <v>2663</v>
      </c>
      <c r="E52" s="52">
        <f t="shared" si="0"/>
        <v>215699.30033485423</v>
      </c>
    </row>
    <row r="53" spans="2:5" x14ac:dyDescent="0.35">
      <c r="B53" s="10">
        <v>40</v>
      </c>
      <c r="C53" s="77">
        <f t="shared" si="2"/>
        <v>45200</v>
      </c>
      <c r="D53" s="25">
        <f t="shared" si="1"/>
        <v>2663</v>
      </c>
      <c r="E53" s="52">
        <f t="shared" si="0"/>
        <v>213036.30033485423</v>
      </c>
    </row>
    <row r="54" spans="2:5" x14ac:dyDescent="0.35">
      <c r="B54" s="10">
        <v>41</v>
      </c>
      <c r="C54" s="77">
        <f t="shared" si="2"/>
        <v>45231</v>
      </c>
      <c r="D54" s="25">
        <f t="shared" si="1"/>
        <v>2663</v>
      </c>
      <c r="E54" s="52">
        <f t="shared" si="0"/>
        <v>210373.30033485423</v>
      </c>
    </row>
    <row r="55" spans="2:5" x14ac:dyDescent="0.35">
      <c r="B55" s="10">
        <v>42</v>
      </c>
      <c r="C55" s="77">
        <f t="shared" si="2"/>
        <v>45261</v>
      </c>
      <c r="D55" s="25">
        <f t="shared" si="1"/>
        <v>2663</v>
      </c>
      <c r="E55" s="52">
        <f t="shared" si="0"/>
        <v>207710.30033485423</v>
      </c>
    </row>
    <row r="56" spans="2:5" x14ac:dyDescent="0.35">
      <c r="B56" s="10">
        <v>43</v>
      </c>
      <c r="C56" s="77">
        <f t="shared" si="2"/>
        <v>45292</v>
      </c>
      <c r="D56" s="25">
        <f t="shared" si="1"/>
        <v>2663</v>
      </c>
      <c r="E56" s="52">
        <f t="shared" si="0"/>
        <v>205047.30033485423</v>
      </c>
    </row>
    <row r="57" spans="2:5" x14ac:dyDescent="0.35">
      <c r="B57" s="10">
        <v>44</v>
      </c>
      <c r="C57" s="77">
        <f t="shared" si="2"/>
        <v>45323</v>
      </c>
      <c r="D57" s="25">
        <f t="shared" si="1"/>
        <v>2663</v>
      </c>
      <c r="E57" s="52">
        <f t="shared" si="0"/>
        <v>202384.30033485423</v>
      </c>
    </row>
    <row r="58" spans="2:5" x14ac:dyDescent="0.35">
      <c r="B58" s="10">
        <v>45</v>
      </c>
      <c r="C58" s="77">
        <f t="shared" si="2"/>
        <v>45352</v>
      </c>
      <c r="D58" s="25">
        <f t="shared" si="1"/>
        <v>2663</v>
      </c>
      <c r="E58" s="52">
        <f t="shared" si="0"/>
        <v>199721.30033485423</v>
      </c>
    </row>
    <row r="59" spans="2:5" x14ac:dyDescent="0.35">
      <c r="B59" s="10">
        <v>46</v>
      </c>
      <c r="C59" s="77">
        <f t="shared" si="2"/>
        <v>45383</v>
      </c>
      <c r="D59" s="25">
        <f t="shared" si="1"/>
        <v>2663</v>
      </c>
      <c r="E59" s="52">
        <f t="shared" si="0"/>
        <v>197058.30033485423</v>
      </c>
    </row>
    <row r="60" spans="2:5" x14ac:dyDescent="0.35">
      <c r="B60" s="10">
        <v>47</v>
      </c>
      <c r="C60" s="77">
        <f t="shared" si="2"/>
        <v>45413</v>
      </c>
      <c r="D60" s="25">
        <f t="shared" si="1"/>
        <v>2663</v>
      </c>
      <c r="E60" s="52">
        <f t="shared" si="0"/>
        <v>194395.30033485423</v>
      </c>
    </row>
    <row r="61" spans="2:5" x14ac:dyDescent="0.35">
      <c r="B61" s="10">
        <v>48</v>
      </c>
      <c r="C61" s="77">
        <f t="shared" si="2"/>
        <v>45444</v>
      </c>
      <c r="D61" s="25">
        <f t="shared" si="1"/>
        <v>2663</v>
      </c>
      <c r="E61" s="52">
        <f t="shared" si="0"/>
        <v>191732.30033485423</v>
      </c>
    </row>
    <row r="62" spans="2:5" x14ac:dyDescent="0.35">
      <c r="B62" s="10">
        <v>49</v>
      </c>
      <c r="C62" s="77">
        <f t="shared" si="2"/>
        <v>45474</v>
      </c>
      <c r="D62" s="25">
        <f t="shared" si="1"/>
        <v>2663</v>
      </c>
      <c r="E62" s="52">
        <f t="shared" si="0"/>
        <v>189069.30033485423</v>
      </c>
    </row>
    <row r="63" spans="2:5" x14ac:dyDescent="0.35">
      <c r="B63" s="10">
        <v>50</v>
      </c>
      <c r="C63" s="77">
        <f t="shared" si="2"/>
        <v>45505</v>
      </c>
      <c r="D63" s="25">
        <f t="shared" si="1"/>
        <v>2663</v>
      </c>
      <c r="E63" s="52">
        <f t="shared" si="0"/>
        <v>186406.30033485423</v>
      </c>
    </row>
    <row r="64" spans="2:5" x14ac:dyDescent="0.35">
      <c r="B64" s="10">
        <v>51</v>
      </c>
      <c r="C64" s="77">
        <f t="shared" si="2"/>
        <v>45536</v>
      </c>
      <c r="D64" s="25">
        <f t="shared" si="1"/>
        <v>2663</v>
      </c>
      <c r="E64" s="52">
        <f t="shared" si="0"/>
        <v>183743.30033485423</v>
      </c>
    </row>
    <row r="65" spans="2:5" x14ac:dyDescent="0.35">
      <c r="B65" s="10">
        <v>52</v>
      </c>
      <c r="C65" s="77">
        <f t="shared" si="2"/>
        <v>45566</v>
      </c>
      <c r="D65" s="25">
        <f t="shared" si="1"/>
        <v>2663</v>
      </c>
      <c r="E65" s="52">
        <f t="shared" si="0"/>
        <v>181080.30033485423</v>
      </c>
    </row>
    <row r="66" spans="2:5" x14ac:dyDescent="0.35">
      <c r="B66" s="10">
        <v>53</v>
      </c>
      <c r="C66" s="77">
        <f t="shared" si="2"/>
        <v>45597</v>
      </c>
      <c r="D66" s="25">
        <f t="shared" si="1"/>
        <v>2663</v>
      </c>
      <c r="E66" s="52">
        <f t="shared" si="0"/>
        <v>178417.30033485423</v>
      </c>
    </row>
    <row r="67" spans="2:5" x14ac:dyDescent="0.35">
      <c r="B67" s="10">
        <v>54</v>
      </c>
      <c r="C67" s="77">
        <f t="shared" si="2"/>
        <v>45627</v>
      </c>
      <c r="D67" s="25">
        <f t="shared" si="1"/>
        <v>2663</v>
      </c>
      <c r="E67" s="52">
        <f t="shared" si="0"/>
        <v>175754.30033485423</v>
      </c>
    </row>
    <row r="68" spans="2:5" x14ac:dyDescent="0.35">
      <c r="B68" s="10">
        <v>55</v>
      </c>
      <c r="C68" s="77">
        <f t="shared" si="2"/>
        <v>45658</v>
      </c>
      <c r="D68" s="25">
        <f t="shared" si="1"/>
        <v>2663</v>
      </c>
      <c r="E68" s="52">
        <f t="shared" si="0"/>
        <v>173091.30033485423</v>
      </c>
    </row>
    <row r="69" spans="2:5" x14ac:dyDescent="0.35">
      <c r="B69" s="10">
        <v>56</v>
      </c>
      <c r="C69" s="77">
        <f t="shared" si="2"/>
        <v>45689</v>
      </c>
      <c r="D69" s="25">
        <f t="shared" si="1"/>
        <v>2663</v>
      </c>
      <c r="E69" s="52">
        <f t="shared" si="0"/>
        <v>170428.30033485423</v>
      </c>
    </row>
    <row r="70" spans="2:5" x14ac:dyDescent="0.35">
      <c r="B70" s="10">
        <v>57</v>
      </c>
      <c r="C70" s="77">
        <f t="shared" si="2"/>
        <v>45717</v>
      </c>
      <c r="D70" s="25">
        <f t="shared" si="1"/>
        <v>2663</v>
      </c>
      <c r="E70" s="52">
        <f t="shared" si="0"/>
        <v>167765.30033485423</v>
      </c>
    </row>
    <row r="71" spans="2:5" x14ac:dyDescent="0.35">
      <c r="B71" s="10">
        <v>58</v>
      </c>
      <c r="C71" s="77">
        <f t="shared" si="2"/>
        <v>45748</v>
      </c>
      <c r="D71" s="25">
        <f t="shared" si="1"/>
        <v>2663</v>
      </c>
      <c r="E71" s="52">
        <f t="shared" si="0"/>
        <v>165102.30033485423</v>
      </c>
    </row>
    <row r="72" spans="2:5" x14ac:dyDescent="0.35">
      <c r="B72" s="10">
        <v>59</v>
      </c>
      <c r="C72" s="77">
        <f t="shared" si="2"/>
        <v>45778</v>
      </c>
      <c r="D72" s="25">
        <f t="shared" si="1"/>
        <v>2663</v>
      </c>
      <c r="E72" s="52">
        <f t="shared" si="0"/>
        <v>162439.30033485423</v>
      </c>
    </row>
    <row r="73" spans="2:5" x14ac:dyDescent="0.35">
      <c r="B73" s="10">
        <v>60</v>
      </c>
      <c r="C73" s="77">
        <f t="shared" si="2"/>
        <v>45809</v>
      </c>
      <c r="D73" s="25">
        <f t="shared" si="1"/>
        <v>2663</v>
      </c>
      <c r="E73" s="52">
        <f t="shared" si="0"/>
        <v>159776.30033485423</v>
      </c>
    </row>
    <row r="74" spans="2:5" x14ac:dyDescent="0.35">
      <c r="B74" s="10">
        <v>61</v>
      </c>
      <c r="C74" s="77">
        <f t="shared" si="2"/>
        <v>45839</v>
      </c>
      <c r="D74" s="25">
        <f t="shared" si="1"/>
        <v>2663</v>
      </c>
      <c r="E74" s="52">
        <f t="shared" si="0"/>
        <v>157113.30033485423</v>
      </c>
    </row>
    <row r="75" spans="2:5" x14ac:dyDescent="0.35">
      <c r="B75" s="10">
        <v>62</v>
      </c>
      <c r="C75" s="77">
        <f t="shared" si="2"/>
        <v>45870</v>
      </c>
      <c r="D75" s="25">
        <f t="shared" si="1"/>
        <v>2663</v>
      </c>
      <c r="E75" s="52">
        <f t="shared" si="0"/>
        <v>154450.30033485423</v>
      </c>
    </row>
    <row r="76" spans="2:5" x14ac:dyDescent="0.35">
      <c r="B76" s="10">
        <v>63</v>
      </c>
      <c r="C76" s="77">
        <f t="shared" si="2"/>
        <v>45901</v>
      </c>
      <c r="D76" s="25">
        <f t="shared" si="1"/>
        <v>2663</v>
      </c>
      <c r="E76" s="52">
        <f t="shared" si="0"/>
        <v>151787.30033485423</v>
      </c>
    </row>
    <row r="77" spans="2:5" x14ac:dyDescent="0.35">
      <c r="B77" s="10">
        <v>64</v>
      </c>
      <c r="C77" s="77">
        <f t="shared" si="2"/>
        <v>45931</v>
      </c>
      <c r="D77" s="25">
        <f t="shared" si="1"/>
        <v>2663</v>
      </c>
      <c r="E77" s="52">
        <f t="shared" si="0"/>
        <v>149124.30033485423</v>
      </c>
    </row>
    <row r="78" spans="2:5" x14ac:dyDescent="0.35">
      <c r="B78" s="10">
        <v>65</v>
      </c>
      <c r="C78" s="77">
        <f t="shared" si="2"/>
        <v>45962</v>
      </c>
      <c r="D78" s="25">
        <f t="shared" si="1"/>
        <v>2663</v>
      </c>
      <c r="E78" s="52">
        <f t="shared" ref="E78:E133" si="3">+E77-D78</f>
        <v>146461.30033485423</v>
      </c>
    </row>
    <row r="79" spans="2:5" x14ac:dyDescent="0.35">
      <c r="B79" s="10">
        <v>66</v>
      </c>
      <c r="C79" s="77">
        <f t="shared" si="2"/>
        <v>45992</v>
      </c>
      <c r="D79" s="25">
        <f t="shared" ref="D79:D132" si="4">+$D$8</f>
        <v>2663</v>
      </c>
      <c r="E79" s="52">
        <f t="shared" si="3"/>
        <v>143798.30033485423</v>
      </c>
    </row>
    <row r="80" spans="2:5" x14ac:dyDescent="0.35">
      <c r="B80" s="10">
        <v>67</v>
      </c>
      <c r="C80" s="77">
        <f t="shared" ref="C80:C133" si="5">DATE(YEAR(C79),MONTH(C79)+$D$10,DAY(C79))</f>
        <v>46023</v>
      </c>
      <c r="D80" s="25">
        <f t="shared" si="4"/>
        <v>2663</v>
      </c>
      <c r="E80" s="52">
        <f t="shared" si="3"/>
        <v>141135.30033485423</v>
      </c>
    </row>
    <row r="81" spans="2:5" x14ac:dyDescent="0.35">
      <c r="B81" s="10">
        <v>68</v>
      </c>
      <c r="C81" s="77">
        <f t="shared" si="5"/>
        <v>46054</v>
      </c>
      <c r="D81" s="25">
        <f t="shared" si="4"/>
        <v>2663</v>
      </c>
      <c r="E81" s="52">
        <f t="shared" si="3"/>
        <v>138472.30033485423</v>
      </c>
    </row>
    <row r="82" spans="2:5" x14ac:dyDescent="0.35">
      <c r="B82" s="10">
        <v>69</v>
      </c>
      <c r="C82" s="77">
        <f t="shared" si="5"/>
        <v>46082</v>
      </c>
      <c r="D82" s="25">
        <f t="shared" si="4"/>
        <v>2663</v>
      </c>
      <c r="E82" s="52">
        <f t="shared" si="3"/>
        <v>135809.30033485423</v>
      </c>
    </row>
    <row r="83" spans="2:5" x14ac:dyDescent="0.35">
      <c r="B83" s="10">
        <v>70</v>
      </c>
      <c r="C83" s="77">
        <f t="shared" si="5"/>
        <v>46113</v>
      </c>
      <c r="D83" s="25">
        <f t="shared" si="4"/>
        <v>2663</v>
      </c>
      <c r="E83" s="52">
        <f t="shared" si="3"/>
        <v>133146.30033485423</v>
      </c>
    </row>
    <row r="84" spans="2:5" x14ac:dyDescent="0.35">
      <c r="B84" s="10">
        <v>71</v>
      </c>
      <c r="C84" s="77">
        <f t="shared" si="5"/>
        <v>46143</v>
      </c>
      <c r="D84" s="25">
        <f t="shared" si="4"/>
        <v>2663</v>
      </c>
      <c r="E84" s="52">
        <f t="shared" si="3"/>
        <v>130483.30033485423</v>
      </c>
    </row>
    <row r="85" spans="2:5" x14ac:dyDescent="0.35">
      <c r="B85" s="10">
        <v>72</v>
      </c>
      <c r="C85" s="77">
        <f t="shared" si="5"/>
        <v>46174</v>
      </c>
      <c r="D85" s="25">
        <f t="shared" si="4"/>
        <v>2663</v>
      </c>
      <c r="E85" s="52">
        <f t="shared" si="3"/>
        <v>127820.30033485423</v>
      </c>
    </row>
    <row r="86" spans="2:5" x14ac:dyDescent="0.35">
      <c r="B86" s="10">
        <v>73</v>
      </c>
      <c r="C86" s="77">
        <f t="shared" si="5"/>
        <v>46204</v>
      </c>
      <c r="D86" s="25">
        <f t="shared" si="4"/>
        <v>2663</v>
      </c>
      <c r="E86" s="52">
        <f t="shared" si="3"/>
        <v>125157.30033485423</v>
      </c>
    </row>
    <row r="87" spans="2:5" x14ac:dyDescent="0.35">
      <c r="B87" s="10">
        <v>74</v>
      </c>
      <c r="C87" s="77">
        <f t="shared" si="5"/>
        <v>46235</v>
      </c>
      <c r="D87" s="25">
        <f t="shared" si="4"/>
        <v>2663</v>
      </c>
      <c r="E87" s="52">
        <f t="shared" si="3"/>
        <v>122494.30033485423</v>
      </c>
    </row>
    <row r="88" spans="2:5" x14ac:dyDescent="0.35">
      <c r="B88" s="10">
        <v>75</v>
      </c>
      <c r="C88" s="77">
        <f t="shared" si="5"/>
        <v>46266</v>
      </c>
      <c r="D88" s="25">
        <f t="shared" si="4"/>
        <v>2663</v>
      </c>
      <c r="E88" s="52">
        <f t="shared" si="3"/>
        <v>119831.30033485423</v>
      </c>
    </row>
    <row r="89" spans="2:5" x14ac:dyDescent="0.35">
      <c r="B89" s="10">
        <v>76</v>
      </c>
      <c r="C89" s="77">
        <f t="shared" si="5"/>
        <v>46296</v>
      </c>
      <c r="D89" s="25">
        <f t="shared" si="4"/>
        <v>2663</v>
      </c>
      <c r="E89" s="52">
        <f t="shared" si="3"/>
        <v>117168.30033485423</v>
      </c>
    </row>
    <row r="90" spans="2:5" x14ac:dyDescent="0.35">
      <c r="B90" s="10">
        <v>77</v>
      </c>
      <c r="C90" s="77">
        <f t="shared" si="5"/>
        <v>46327</v>
      </c>
      <c r="D90" s="25">
        <f t="shared" si="4"/>
        <v>2663</v>
      </c>
      <c r="E90" s="52">
        <f t="shared" si="3"/>
        <v>114505.30033485423</v>
      </c>
    </row>
    <row r="91" spans="2:5" x14ac:dyDescent="0.35">
      <c r="B91" s="10">
        <v>78</v>
      </c>
      <c r="C91" s="77">
        <f t="shared" si="5"/>
        <v>46357</v>
      </c>
      <c r="D91" s="25">
        <f t="shared" si="4"/>
        <v>2663</v>
      </c>
      <c r="E91" s="52">
        <f t="shared" si="3"/>
        <v>111842.30033485423</v>
      </c>
    </row>
    <row r="92" spans="2:5" x14ac:dyDescent="0.35">
      <c r="B92" s="10">
        <v>79</v>
      </c>
      <c r="C92" s="77">
        <f t="shared" si="5"/>
        <v>46388</v>
      </c>
      <c r="D92" s="25">
        <f t="shared" si="4"/>
        <v>2663</v>
      </c>
      <c r="E92" s="52">
        <f t="shared" si="3"/>
        <v>109179.30033485423</v>
      </c>
    </row>
    <row r="93" spans="2:5" x14ac:dyDescent="0.35">
      <c r="B93" s="10">
        <v>80</v>
      </c>
      <c r="C93" s="77">
        <f t="shared" si="5"/>
        <v>46419</v>
      </c>
      <c r="D93" s="25">
        <f t="shared" si="4"/>
        <v>2663</v>
      </c>
      <c r="E93" s="52">
        <f t="shared" si="3"/>
        <v>106516.30033485423</v>
      </c>
    </row>
    <row r="94" spans="2:5" x14ac:dyDescent="0.35">
      <c r="B94" s="10">
        <v>81</v>
      </c>
      <c r="C94" s="77">
        <f t="shared" si="5"/>
        <v>46447</v>
      </c>
      <c r="D94" s="25">
        <f t="shared" si="4"/>
        <v>2663</v>
      </c>
      <c r="E94" s="52">
        <f t="shared" si="3"/>
        <v>103853.30033485423</v>
      </c>
    </row>
    <row r="95" spans="2:5" x14ac:dyDescent="0.35">
      <c r="B95" s="10">
        <v>82</v>
      </c>
      <c r="C95" s="77">
        <f t="shared" si="5"/>
        <v>46478</v>
      </c>
      <c r="D95" s="25">
        <f t="shared" si="4"/>
        <v>2663</v>
      </c>
      <c r="E95" s="52">
        <f t="shared" si="3"/>
        <v>101190.30033485423</v>
      </c>
    </row>
    <row r="96" spans="2:5" x14ac:dyDescent="0.35">
      <c r="B96" s="10">
        <v>83</v>
      </c>
      <c r="C96" s="77">
        <f t="shared" si="5"/>
        <v>46508</v>
      </c>
      <c r="D96" s="25">
        <f t="shared" si="4"/>
        <v>2663</v>
      </c>
      <c r="E96" s="52">
        <f t="shared" si="3"/>
        <v>98527.300334854226</v>
      </c>
    </row>
    <row r="97" spans="2:5" x14ac:dyDescent="0.35">
      <c r="B97" s="10">
        <v>84</v>
      </c>
      <c r="C97" s="77">
        <f t="shared" si="5"/>
        <v>46539</v>
      </c>
      <c r="D97" s="25">
        <f t="shared" si="4"/>
        <v>2663</v>
      </c>
      <c r="E97" s="52">
        <f t="shared" si="3"/>
        <v>95864.300334854226</v>
      </c>
    </row>
    <row r="98" spans="2:5" x14ac:dyDescent="0.35">
      <c r="B98" s="10">
        <v>85</v>
      </c>
      <c r="C98" s="77">
        <f t="shared" si="5"/>
        <v>46569</v>
      </c>
      <c r="D98" s="25">
        <f t="shared" si="4"/>
        <v>2663</v>
      </c>
      <c r="E98" s="52">
        <f t="shared" si="3"/>
        <v>93201.300334854226</v>
      </c>
    </row>
    <row r="99" spans="2:5" x14ac:dyDescent="0.35">
      <c r="B99" s="10">
        <v>86</v>
      </c>
      <c r="C99" s="77">
        <f t="shared" si="5"/>
        <v>46600</v>
      </c>
      <c r="D99" s="25">
        <f t="shared" si="4"/>
        <v>2663</v>
      </c>
      <c r="E99" s="52">
        <f t="shared" si="3"/>
        <v>90538.300334854226</v>
      </c>
    </row>
    <row r="100" spans="2:5" x14ac:dyDescent="0.35">
      <c r="B100" s="10">
        <v>87</v>
      </c>
      <c r="C100" s="77">
        <f t="shared" si="5"/>
        <v>46631</v>
      </c>
      <c r="D100" s="25">
        <f t="shared" si="4"/>
        <v>2663</v>
      </c>
      <c r="E100" s="52">
        <f t="shared" si="3"/>
        <v>87875.300334854226</v>
      </c>
    </row>
    <row r="101" spans="2:5" x14ac:dyDescent="0.35">
      <c r="B101" s="10">
        <v>88</v>
      </c>
      <c r="C101" s="77">
        <f t="shared" si="5"/>
        <v>46661</v>
      </c>
      <c r="D101" s="25">
        <f t="shared" si="4"/>
        <v>2663</v>
      </c>
      <c r="E101" s="52">
        <f t="shared" si="3"/>
        <v>85212.300334854226</v>
      </c>
    </row>
    <row r="102" spans="2:5" x14ac:dyDescent="0.35">
      <c r="B102" s="10">
        <v>89</v>
      </c>
      <c r="C102" s="77">
        <f t="shared" si="5"/>
        <v>46692</v>
      </c>
      <c r="D102" s="25">
        <f t="shared" si="4"/>
        <v>2663</v>
      </c>
      <c r="E102" s="52">
        <f t="shared" si="3"/>
        <v>82549.300334854226</v>
      </c>
    </row>
    <row r="103" spans="2:5" x14ac:dyDescent="0.35">
      <c r="B103" s="10">
        <v>90</v>
      </c>
      <c r="C103" s="77">
        <f t="shared" si="5"/>
        <v>46722</v>
      </c>
      <c r="D103" s="25">
        <f t="shared" si="4"/>
        <v>2663</v>
      </c>
      <c r="E103" s="52">
        <f t="shared" si="3"/>
        <v>79886.300334854226</v>
      </c>
    </row>
    <row r="104" spans="2:5" x14ac:dyDescent="0.35">
      <c r="B104" s="10">
        <v>91</v>
      </c>
      <c r="C104" s="77">
        <f t="shared" si="5"/>
        <v>46753</v>
      </c>
      <c r="D104" s="25">
        <f t="shared" si="4"/>
        <v>2663</v>
      </c>
      <c r="E104" s="52">
        <f t="shared" si="3"/>
        <v>77223.300334854226</v>
      </c>
    </row>
    <row r="105" spans="2:5" x14ac:dyDescent="0.35">
      <c r="B105" s="10">
        <v>92</v>
      </c>
      <c r="C105" s="77">
        <f t="shared" si="5"/>
        <v>46784</v>
      </c>
      <c r="D105" s="25">
        <f t="shared" si="4"/>
        <v>2663</v>
      </c>
      <c r="E105" s="52">
        <f t="shared" si="3"/>
        <v>74560.300334854226</v>
      </c>
    </row>
    <row r="106" spans="2:5" x14ac:dyDescent="0.35">
      <c r="B106" s="10">
        <v>93</v>
      </c>
      <c r="C106" s="77">
        <f t="shared" si="5"/>
        <v>46813</v>
      </c>
      <c r="D106" s="25">
        <f t="shared" si="4"/>
        <v>2663</v>
      </c>
      <c r="E106" s="52">
        <f t="shared" si="3"/>
        <v>71897.300334854226</v>
      </c>
    </row>
    <row r="107" spans="2:5" x14ac:dyDescent="0.35">
      <c r="B107" s="10">
        <v>94</v>
      </c>
      <c r="C107" s="77">
        <f t="shared" si="5"/>
        <v>46844</v>
      </c>
      <c r="D107" s="25">
        <f t="shared" si="4"/>
        <v>2663</v>
      </c>
      <c r="E107" s="52">
        <f t="shared" si="3"/>
        <v>69234.300334854226</v>
      </c>
    </row>
    <row r="108" spans="2:5" x14ac:dyDescent="0.35">
      <c r="B108" s="10">
        <v>95</v>
      </c>
      <c r="C108" s="77">
        <f t="shared" si="5"/>
        <v>46874</v>
      </c>
      <c r="D108" s="25">
        <f t="shared" si="4"/>
        <v>2663</v>
      </c>
      <c r="E108" s="52">
        <f t="shared" si="3"/>
        <v>66571.300334854226</v>
      </c>
    </row>
    <row r="109" spans="2:5" x14ac:dyDescent="0.35">
      <c r="B109" s="10">
        <v>96</v>
      </c>
      <c r="C109" s="77">
        <f t="shared" si="5"/>
        <v>46905</v>
      </c>
      <c r="D109" s="25">
        <f t="shared" si="4"/>
        <v>2663</v>
      </c>
      <c r="E109" s="52">
        <f t="shared" si="3"/>
        <v>63908.300334854226</v>
      </c>
    </row>
    <row r="110" spans="2:5" x14ac:dyDescent="0.35">
      <c r="B110" s="10">
        <v>97</v>
      </c>
      <c r="C110" s="77">
        <f t="shared" si="5"/>
        <v>46935</v>
      </c>
      <c r="D110" s="25">
        <f t="shared" si="4"/>
        <v>2663</v>
      </c>
      <c r="E110" s="52">
        <f t="shared" si="3"/>
        <v>61245.300334854226</v>
      </c>
    </row>
    <row r="111" spans="2:5" x14ac:dyDescent="0.35">
      <c r="B111" s="10">
        <v>98</v>
      </c>
      <c r="C111" s="77">
        <f t="shared" si="5"/>
        <v>46966</v>
      </c>
      <c r="D111" s="25">
        <f t="shared" si="4"/>
        <v>2663</v>
      </c>
      <c r="E111" s="52">
        <f t="shared" si="3"/>
        <v>58582.300334854226</v>
      </c>
    </row>
    <row r="112" spans="2:5" x14ac:dyDescent="0.35">
      <c r="B112" s="10">
        <v>99</v>
      </c>
      <c r="C112" s="77">
        <f t="shared" si="5"/>
        <v>46997</v>
      </c>
      <c r="D112" s="25">
        <f t="shared" si="4"/>
        <v>2663</v>
      </c>
      <c r="E112" s="52">
        <f t="shared" si="3"/>
        <v>55919.300334854226</v>
      </c>
    </row>
    <row r="113" spans="2:5" x14ac:dyDescent="0.35">
      <c r="B113" s="10">
        <v>100</v>
      </c>
      <c r="C113" s="77">
        <f t="shared" si="5"/>
        <v>47027</v>
      </c>
      <c r="D113" s="25">
        <f t="shared" si="4"/>
        <v>2663</v>
      </c>
      <c r="E113" s="52">
        <f t="shared" si="3"/>
        <v>53256.300334854226</v>
      </c>
    </row>
    <row r="114" spans="2:5" x14ac:dyDescent="0.35">
      <c r="B114" s="10">
        <v>101</v>
      </c>
      <c r="C114" s="77">
        <f t="shared" si="5"/>
        <v>47058</v>
      </c>
      <c r="D114" s="25">
        <f t="shared" si="4"/>
        <v>2663</v>
      </c>
      <c r="E114" s="52">
        <f t="shared" si="3"/>
        <v>50593.300334854226</v>
      </c>
    </row>
    <row r="115" spans="2:5" x14ac:dyDescent="0.35">
      <c r="B115" s="10">
        <v>102</v>
      </c>
      <c r="C115" s="77">
        <f t="shared" si="5"/>
        <v>47088</v>
      </c>
      <c r="D115" s="25">
        <f t="shared" si="4"/>
        <v>2663</v>
      </c>
      <c r="E115" s="52">
        <f t="shared" si="3"/>
        <v>47930.300334854226</v>
      </c>
    </row>
    <row r="116" spans="2:5" x14ac:dyDescent="0.35">
      <c r="B116" s="10">
        <v>103</v>
      </c>
      <c r="C116" s="77">
        <f t="shared" si="5"/>
        <v>47119</v>
      </c>
      <c r="D116" s="25">
        <f t="shared" si="4"/>
        <v>2663</v>
      </c>
      <c r="E116" s="52">
        <f t="shared" si="3"/>
        <v>45267.300334854226</v>
      </c>
    </row>
    <row r="117" spans="2:5" x14ac:dyDescent="0.35">
      <c r="B117" s="10">
        <v>104</v>
      </c>
      <c r="C117" s="77">
        <f t="shared" si="5"/>
        <v>47150</v>
      </c>
      <c r="D117" s="25">
        <f t="shared" si="4"/>
        <v>2663</v>
      </c>
      <c r="E117" s="52">
        <f t="shared" si="3"/>
        <v>42604.300334854226</v>
      </c>
    </row>
    <row r="118" spans="2:5" x14ac:dyDescent="0.35">
      <c r="B118" s="10">
        <v>105</v>
      </c>
      <c r="C118" s="77">
        <f t="shared" si="5"/>
        <v>47178</v>
      </c>
      <c r="D118" s="25">
        <f t="shared" si="4"/>
        <v>2663</v>
      </c>
      <c r="E118" s="52">
        <f t="shared" si="3"/>
        <v>39941.300334854226</v>
      </c>
    </row>
    <row r="119" spans="2:5" x14ac:dyDescent="0.35">
      <c r="B119" s="10">
        <v>106</v>
      </c>
      <c r="C119" s="77">
        <f t="shared" si="5"/>
        <v>47209</v>
      </c>
      <c r="D119" s="25">
        <f t="shared" si="4"/>
        <v>2663</v>
      </c>
      <c r="E119" s="52">
        <f t="shared" si="3"/>
        <v>37278.300334854226</v>
      </c>
    </row>
    <row r="120" spans="2:5" x14ac:dyDescent="0.35">
      <c r="B120" s="10">
        <v>107</v>
      </c>
      <c r="C120" s="77">
        <f t="shared" si="5"/>
        <v>47239</v>
      </c>
      <c r="D120" s="25">
        <f t="shared" si="4"/>
        <v>2663</v>
      </c>
      <c r="E120" s="52">
        <f t="shared" si="3"/>
        <v>34615.300334854226</v>
      </c>
    </row>
    <row r="121" spans="2:5" x14ac:dyDescent="0.35">
      <c r="B121" s="10">
        <v>108</v>
      </c>
      <c r="C121" s="77">
        <f t="shared" si="5"/>
        <v>47270</v>
      </c>
      <c r="D121" s="25">
        <f t="shared" si="4"/>
        <v>2663</v>
      </c>
      <c r="E121" s="52">
        <f t="shared" si="3"/>
        <v>31952.300334854226</v>
      </c>
    </row>
    <row r="122" spans="2:5" x14ac:dyDescent="0.35">
      <c r="B122" s="10">
        <v>109</v>
      </c>
      <c r="C122" s="77">
        <f t="shared" si="5"/>
        <v>47300</v>
      </c>
      <c r="D122" s="25">
        <f t="shared" si="4"/>
        <v>2663</v>
      </c>
      <c r="E122" s="52">
        <f t="shared" si="3"/>
        <v>29289.300334854226</v>
      </c>
    </row>
    <row r="123" spans="2:5" x14ac:dyDescent="0.35">
      <c r="B123" s="10">
        <v>110</v>
      </c>
      <c r="C123" s="77">
        <f t="shared" si="5"/>
        <v>47331</v>
      </c>
      <c r="D123" s="25">
        <f t="shared" si="4"/>
        <v>2663</v>
      </c>
      <c r="E123" s="52">
        <f t="shared" si="3"/>
        <v>26626.300334854226</v>
      </c>
    </row>
    <row r="124" spans="2:5" x14ac:dyDescent="0.35">
      <c r="B124" s="10">
        <v>111</v>
      </c>
      <c r="C124" s="77">
        <f t="shared" si="5"/>
        <v>47362</v>
      </c>
      <c r="D124" s="25">
        <f t="shared" si="4"/>
        <v>2663</v>
      </c>
      <c r="E124" s="52">
        <f t="shared" si="3"/>
        <v>23963.300334854226</v>
      </c>
    </row>
    <row r="125" spans="2:5" x14ac:dyDescent="0.35">
      <c r="B125" s="10">
        <v>112</v>
      </c>
      <c r="C125" s="77">
        <f t="shared" si="5"/>
        <v>47392</v>
      </c>
      <c r="D125" s="25">
        <f t="shared" si="4"/>
        <v>2663</v>
      </c>
      <c r="E125" s="52">
        <f t="shared" si="3"/>
        <v>21300.300334854226</v>
      </c>
    </row>
    <row r="126" spans="2:5" x14ac:dyDescent="0.35">
      <c r="B126" s="10">
        <v>113</v>
      </c>
      <c r="C126" s="77">
        <f t="shared" si="5"/>
        <v>47423</v>
      </c>
      <c r="D126" s="25">
        <f t="shared" si="4"/>
        <v>2663</v>
      </c>
      <c r="E126" s="52">
        <f t="shared" si="3"/>
        <v>18637.300334854226</v>
      </c>
    </row>
    <row r="127" spans="2:5" x14ac:dyDescent="0.35">
      <c r="B127" s="10">
        <v>114</v>
      </c>
      <c r="C127" s="77">
        <f t="shared" si="5"/>
        <v>47453</v>
      </c>
      <c r="D127" s="25">
        <f t="shared" si="4"/>
        <v>2663</v>
      </c>
      <c r="E127" s="52">
        <f t="shared" si="3"/>
        <v>15974.300334854226</v>
      </c>
    </row>
    <row r="128" spans="2:5" x14ac:dyDescent="0.35">
      <c r="B128" s="10">
        <v>115</v>
      </c>
      <c r="C128" s="77">
        <f t="shared" si="5"/>
        <v>47484</v>
      </c>
      <c r="D128" s="25">
        <f t="shared" si="4"/>
        <v>2663</v>
      </c>
      <c r="E128" s="52">
        <f t="shared" si="3"/>
        <v>13311.300334854226</v>
      </c>
    </row>
    <row r="129" spans="2:10" x14ac:dyDescent="0.35">
      <c r="B129" s="10">
        <v>116</v>
      </c>
      <c r="C129" s="77">
        <f t="shared" si="5"/>
        <v>47515</v>
      </c>
      <c r="D129" s="25">
        <f t="shared" si="4"/>
        <v>2663</v>
      </c>
      <c r="E129" s="52">
        <f t="shared" si="3"/>
        <v>10648.300334854226</v>
      </c>
    </row>
    <row r="130" spans="2:10" x14ac:dyDescent="0.35">
      <c r="B130" s="10">
        <v>117</v>
      </c>
      <c r="C130" s="77">
        <f t="shared" si="5"/>
        <v>47543</v>
      </c>
      <c r="D130" s="25">
        <f t="shared" si="4"/>
        <v>2663</v>
      </c>
      <c r="E130" s="52">
        <f t="shared" si="3"/>
        <v>7985.3003348542261</v>
      </c>
    </row>
    <row r="131" spans="2:10" x14ac:dyDescent="0.35">
      <c r="B131" s="10">
        <v>118</v>
      </c>
      <c r="C131" s="77">
        <f t="shared" si="5"/>
        <v>47574</v>
      </c>
      <c r="D131" s="25">
        <f t="shared" si="4"/>
        <v>2663</v>
      </c>
      <c r="E131" s="52">
        <f t="shared" si="3"/>
        <v>5322.3003348542261</v>
      </c>
    </row>
    <row r="132" spans="2:10" x14ac:dyDescent="0.35">
      <c r="B132" s="10">
        <v>119</v>
      </c>
      <c r="C132" s="77">
        <f t="shared" si="5"/>
        <v>47604</v>
      </c>
      <c r="D132" s="25">
        <f t="shared" si="4"/>
        <v>2663</v>
      </c>
      <c r="E132" s="52">
        <f t="shared" si="3"/>
        <v>2659.3003348542261</v>
      </c>
    </row>
    <row r="133" spans="2:10" x14ac:dyDescent="0.35">
      <c r="B133" s="10">
        <v>120</v>
      </c>
      <c r="C133" s="77">
        <f t="shared" si="5"/>
        <v>47635</v>
      </c>
      <c r="D133" s="25">
        <f>+$D$86-4</f>
        <v>2659</v>
      </c>
      <c r="E133" s="52">
        <f t="shared" si="3"/>
        <v>0.30033485422609374</v>
      </c>
      <c r="F133" s="64" t="s">
        <v>76</v>
      </c>
      <c r="G133" s="45"/>
      <c r="H133" s="45"/>
      <c r="I133" s="45"/>
      <c r="J133" s="45"/>
    </row>
    <row r="134" spans="2:10" x14ac:dyDescent="0.35">
      <c r="B134" s="10"/>
      <c r="C134" s="76"/>
      <c r="D134" s="11"/>
      <c r="E134" s="12"/>
    </row>
    <row r="135" spans="2:10" x14ac:dyDescent="0.35">
      <c r="B135" s="14"/>
      <c r="C135" s="19" t="s">
        <v>65</v>
      </c>
      <c r="D135" s="59">
        <f>SUM(D14:D134)</f>
        <v>319556</v>
      </c>
      <c r="E135" s="60"/>
    </row>
  </sheetData>
  <pageMargins left="0.7" right="0.7" top="0.28000000000000003" bottom="0.32" header="0.17" footer="0.17"/>
  <pageSetup scale="37" orientation="portrait" r:id="rId1"/>
  <headerFooter>
    <oddFooter>&amp;R&amp;Z&amp;F -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Background</vt:lpstr>
      <vt:lpstr>1. Lessee Summary</vt:lpstr>
      <vt:lpstr>2. Lease Liablity Schedules</vt:lpstr>
      <vt:lpstr>3. Lease Asset Amort Schedules</vt:lpstr>
      <vt:lpstr>4. Lessor Summary</vt:lpstr>
      <vt:lpstr>5. Lease Receivable Schedules</vt:lpstr>
      <vt:lpstr>6. Def Inflow Amort Schedules</vt:lpstr>
      <vt:lpstr>'1. Lessee Summary'!Print_Area</vt:lpstr>
      <vt:lpstr>'2. Lease Liablity Schedules'!Print_Area</vt:lpstr>
      <vt:lpstr>'3. Lease Asset Amort Schedules'!Print_Area</vt:lpstr>
      <vt:lpstr>'4. Lessor Summary'!Print_Area</vt:lpstr>
      <vt:lpstr>'5. Lease Receivable Schedules'!Print_Area</vt:lpstr>
      <vt:lpstr>'6. Def Inflow Amort Schedules'!Print_Area</vt:lpstr>
      <vt:lpstr>Background!Print_Area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TBuikema</dc:creator>
  <cp:lastModifiedBy>Jerry Durham</cp:lastModifiedBy>
  <cp:lastPrinted>2019-05-16T14:29:10Z</cp:lastPrinted>
  <dcterms:created xsi:type="dcterms:W3CDTF">2018-10-03T13:58:13Z</dcterms:created>
  <dcterms:modified xsi:type="dcterms:W3CDTF">2022-05-19T02:53:24Z</dcterms:modified>
</cp:coreProperties>
</file>